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4년 9월\삼성증권(부동산금융팀)\케이원제15호판교위탁관리부동산투자회사(김수현)_2409\2.평가\"/>
    </mc:Choice>
  </mc:AlternateContent>
  <bookViews>
    <workbookView minimized="1" xWindow="0" yWindow="0" windowWidth="28800" windowHeight="12285" activeTab="3"/>
  </bookViews>
  <sheets>
    <sheet name="케이원15호정리" sheetId="14" r:id="rId1"/>
    <sheet name="리츠분석" sheetId="15" r:id="rId2"/>
    <sheet name="평가_DDM" sheetId="1" r:id="rId3"/>
    <sheet name="RE" sheetId="3" r:id="rId4"/>
    <sheet name="IS(Y)" sheetId="2" r:id="rId5"/>
    <sheet name="IS(M)" sheetId="12" r:id="rId6"/>
    <sheet name="CF(M)" sheetId="13" r:id="rId7"/>
    <sheet name="Key" sheetId="19" r:id="rId8"/>
    <sheet name="처분" sheetId="17" r:id="rId9"/>
    <sheet name="할인율" sheetId="5" r:id="rId10"/>
    <sheet name="24.2Q" sheetId="26" r:id="rId11"/>
    <sheet name="24.3Q" sheetId="27" r:id="rId12"/>
    <sheet name="24.1Q" sheetId="25" state="hidden" r:id="rId13"/>
    <sheet name="23.4Q" sheetId="24" state="hidden" r:id="rId14"/>
    <sheet name="23.3Q" sheetId="22" state="hidden" r:id="rId15"/>
    <sheet name="23.2Q" sheetId="21" state="hidden" r:id="rId16"/>
    <sheet name="22.4Q" sheetId="18" state="hidden" r:id="rId17"/>
    <sheet name="23.1Q" sheetId="20" state="hidden" r:id="rId18"/>
    <sheet name="22.3Q" sheetId="16" state="hidden" r:id="rId19"/>
    <sheet name="리츠 베타_22.2Q" sheetId="6" state="hidden"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_">[1]Training!$J$1:$J$45</definedName>
    <definedName name="______IRR2" hidden="1">[2]공정!$AH$25:$AH$37</definedName>
    <definedName name="______PL7" localSheetId="6" hidden="1">{#N/A,#N/A,TRUE,"대 차 대 조 표"}</definedName>
    <definedName name="______PL7" localSheetId="7" hidden="1">{#N/A,#N/A,TRUE,"대 차 대 조 표"}</definedName>
    <definedName name="______PL7" localSheetId="3" hidden="1">{#N/A,#N/A,TRUE,"대 차 대 조 표"}</definedName>
    <definedName name="______PL7" hidden="1">{#N/A,#N/A,TRUE,"대 차 대 조 표"}</definedName>
    <definedName name="_____FM2" localSheetId="6">BlankMacro1</definedName>
    <definedName name="_____FM2" localSheetId="7">BlankMacro1</definedName>
    <definedName name="_____FM2" localSheetId="3">BlankMacro1</definedName>
    <definedName name="_____FM2">BlankMacro1</definedName>
    <definedName name="_____GAS2">[3]노무비!#REF!</definedName>
    <definedName name="_____IRR2" hidden="1">[2]공정!$AH$25:$AH$37</definedName>
    <definedName name="_____PRN2">[4]내역서!#REF!</definedName>
    <definedName name="_____PRN3">[4]내역서!#REF!</definedName>
    <definedName name="_____PRN4">[4]내역서!#REF!</definedName>
    <definedName name="_____PRN6">[4]내역서!#REF!</definedName>
    <definedName name="_____PRN7">[4]내역서!#REF!</definedName>
    <definedName name="____IRR2" hidden="1">[2]공정!$AH$25:$AH$37</definedName>
    <definedName name="____PL7" localSheetId="6" hidden="1">{#N/A,#N/A,TRUE,"대 차 대 조 표"}</definedName>
    <definedName name="____PL7" localSheetId="7" hidden="1">{#N/A,#N/A,TRUE,"대 차 대 조 표"}</definedName>
    <definedName name="____PL7" localSheetId="3" hidden="1">{#N/A,#N/A,TRUE,"대 차 대 조 표"}</definedName>
    <definedName name="____PL7" hidden="1">{#N/A,#N/A,TRUE,"대 차 대 조 표"}</definedName>
    <definedName name="____PRN2">[4]내역서!#REF!</definedName>
    <definedName name="____PRN3">[4]내역서!#REF!</definedName>
    <definedName name="____PRN4">[4]내역서!#REF!</definedName>
    <definedName name="____PRN6">[4]내역서!#REF!</definedName>
    <definedName name="____PRN7">[4]내역서!#REF!</definedName>
    <definedName name="___DAT1">#REF!</definedName>
    <definedName name="___DAT12">#REF!</definedName>
    <definedName name="___DAT13">#REF!</definedName>
    <definedName name="___DAT14">#REF!</definedName>
    <definedName name="___DAT2">#REF!</definedName>
    <definedName name="___DAT3">#REF!</definedName>
    <definedName name="___DAT4">#REF!</definedName>
    <definedName name="___DAT6">#REF!</definedName>
    <definedName name="___DAT7">#REF!</definedName>
    <definedName name="___DAT8">#REF!</definedName>
    <definedName name="___DAT9">#REF!</definedName>
    <definedName name="___FM2" localSheetId="6">BlankMacro1</definedName>
    <definedName name="___FM2" localSheetId="7">BlankMacro1</definedName>
    <definedName name="___FM2" localSheetId="3">BlankMacro1</definedName>
    <definedName name="___FM2">BlankMacro1</definedName>
    <definedName name="___GAS2">[3]노무비!#REF!</definedName>
    <definedName name="___IRR2" hidden="1">[2]공정!$AH$25:$AH$37</definedName>
    <definedName name="___PL7" localSheetId="6" hidden="1">{#N/A,#N/A,TRUE,"대 차 대 조 표"}</definedName>
    <definedName name="___PL7" localSheetId="7" hidden="1">{#N/A,#N/A,TRUE,"대 차 대 조 표"}</definedName>
    <definedName name="___PL7" localSheetId="3" hidden="1">{#N/A,#N/A,TRUE,"대 차 대 조 표"}</definedName>
    <definedName name="___PL7" hidden="1">{#N/A,#N/A,TRUE,"대 차 대 조 표"}</definedName>
    <definedName name="___PRN2">[4]내역서!#REF!</definedName>
    <definedName name="___PRN3">[4]내역서!#REF!</definedName>
    <definedName name="___PRN4">[4]내역서!#REF!</definedName>
    <definedName name="___PRN6">[4]내역서!#REF!</definedName>
    <definedName name="___PRN7">[4]내역서!#REF!</definedName>
    <definedName name="__123" hidden="1">[5]목표세부명세!#REF!</definedName>
    <definedName name="__1233" hidden="1">[5]목표세부명세!#REF!</definedName>
    <definedName name="__1234" hidden="1">[5]목표세부명세!#REF!</definedName>
    <definedName name="__123Graph_A" localSheetId="1" hidden="1">[5]목표세부명세!#REF!</definedName>
    <definedName name="__123Graph_A" hidden="1">[5]목표세부명세!#REF!</definedName>
    <definedName name="__123Graph_B" localSheetId="1" hidden="1">[5]목표세부명세!#REF!</definedName>
    <definedName name="__123Graph_B" hidden="1">[5]목표세부명세!#REF!</definedName>
    <definedName name="__123Graph_LBL_A" hidden="1">#N/A</definedName>
    <definedName name="__123Graph_LBL_B" hidden="1">#N/A</definedName>
    <definedName name="__123Graph_X" hidden="1">#N/A</definedName>
    <definedName name="__AUD1">#REF!</definedName>
    <definedName name="__AUD2">#REF!</definedName>
    <definedName name="__AUD3">#REF!</definedName>
    <definedName name="__AUD4">#REF!</definedName>
    <definedName name="__DAT10">#REF!</definedName>
    <definedName name="__DAT11">#REF!</definedName>
    <definedName name="__DAT5">#REF!</definedName>
    <definedName name="__DEM1">#REF!</definedName>
    <definedName name="__DEM2">#REF!</definedName>
    <definedName name="__DEM3">#REF!</definedName>
    <definedName name="__DEM4">#REF!</definedName>
    <definedName name="__DemandLoad">TRUE</definedName>
    <definedName name="__esc2">'[6]Dash Board'!$P$26</definedName>
    <definedName name="__EUR1">[7]환율!$C$11</definedName>
    <definedName name="__EUR2">#REF!</definedName>
    <definedName name="__EUR3">#REF!</definedName>
    <definedName name="__EUR4">#REF!</definedName>
    <definedName name="__FM2" localSheetId="6">BlankMacro1</definedName>
    <definedName name="__FM2" localSheetId="7">BlankMacro1</definedName>
    <definedName name="__FM2" localSheetId="3">BlankMacro1</definedName>
    <definedName name="__FM2">BlankMacro1</definedName>
    <definedName name="__FRF1">#REF!</definedName>
    <definedName name="__FRF2">#REF!</definedName>
    <definedName name="__FRF3">#REF!</definedName>
    <definedName name="__FRF4">#REF!</definedName>
    <definedName name="__GAS2">[3]노무비!#REF!</definedName>
    <definedName name="__GBP1">#REF!</definedName>
    <definedName name="__GBP2">#REF!</definedName>
    <definedName name="__GBP3">#REF!</definedName>
    <definedName name="__GBP4">#REF!</definedName>
    <definedName name="__IRR2" hidden="1">[2]공정!$AH$25:$AH$37</definedName>
    <definedName name="__ITL1">#REF!</definedName>
    <definedName name="__ITL2">#REF!</definedName>
    <definedName name="__ITL3">#REF!</definedName>
    <definedName name="__ITL4">#REF!</definedName>
    <definedName name="__PL7" localSheetId="6" hidden="1">{#N/A,#N/A,TRUE,"대 차 대 조 표"}</definedName>
    <definedName name="__PL7" localSheetId="7" hidden="1">{#N/A,#N/A,TRUE,"대 차 대 조 표"}</definedName>
    <definedName name="__PL7" localSheetId="3" hidden="1">{#N/A,#N/A,TRUE,"대 차 대 조 표"}</definedName>
    <definedName name="__PL7" localSheetId="1" hidden="1">{#N/A,#N/A,TRUE,"대 차 대 조 표"}</definedName>
    <definedName name="__PL7" hidden="1">{#N/A,#N/A,TRUE,"대 차 대 조 표"}</definedName>
    <definedName name="__PRN10">#N/A</definedName>
    <definedName name="__PRN2">[4]내역서!#REF!</definedName>
    <definedName name="__PRN3" localSheetId="1">#N/A</definedName>
    <definedName name="__PRN3">[4]내역서!#REF!</definedName>
    <definedName name="__PRN4" localSheetId="1">#N/A</definedName>
    <definedName name="__PRN4">[4]내역서!#REF!</definedName>
    <definedName name="__PRN6">[4]내역서!#REF!</definedName>
    <definedName name="__PRN7">[4]내역서!#REF!</definedName>
    <definedName name="__PRN9">#N/A</definedName>
    <definedName name="__USD1">[7]환율!$C$8</definedName>
    <definedName name="__USD2">#REF!</definedName>
    <definedName name="__USD3">#REF!</definedName>
    <definedName name="__USD4">#REF!</definedName>
    <definedName name="__Vr1">[8]Budget!$A$4:$Q$123</definedName>
    <definedName name="__xlfn.BAHTTEXT">#NAME?</definedName>
    <definedName name="_1">#N/A</definedName>
    <definedName name="_1__123Graph_A차트_1" hidden="1">#REF!</definedName>
    <definedName name="_10320">[9]만기!#REF!</definedName>
    <definedName name="_10T1">#REF!</definedName>
    <definedName name="_10T2">#REF!</definedName>
    <definedName name="_11">'[10]בית השקעות'!#REF!</definedName>
    <definedName name="_121">'[10]בית השקעות'!#REF!</definedName>
    <definedName name="_13">'[10]בית השקעות'!#REF!</definedName>
    <definedName name="_14">'[10]בית השקעות'!#REF!</definedName>
    <definedName name="_14FM2_" localSheetId="6">BlankMacro1</definedName>
    <definedName name="_14FM2_" localSheetId="7">BlankMacro1</definedName>
    <definedName name="_14FM2_" localSheetId="3">BlankMacro1</definedName>
    <definedName name="_14FM2_">BlankMacro1</definedName>
    <definedName name="_15">'[10]בית השקעות'!#REF!</definedName>
    <definedName name="_1st_Yr_Turn_over_rate" localSheetId="1">[11]Assumption!#REF!</definedName>
    <definedName name="_1st_Yr_Turn_over_rate">[12]Assumption!#REF!</definedName>
    <definedName name="_1st_Yr_V" localSheetId="1">[11]Assumption!#REF!</definedName>
    <definedName name="_1st_Yr_V">[12]Assumption!#REF!</definedName>
    <definedName name="_1st_Yr_Vacancy" localSheetId="1">[11]Assumption!#REF!</definedName>
    <definedName name="_1st_Yr_Vacancy">[12]Assumption!#REF!</definedName>
    <definedName name="_1차중도금">[13]미납중도금후납시!$J$2</definedName>
    <definedName name="_2">#N/A</definedName>
    <definedName name="_2__123Graph_B차트_1" hidden="1">#REF!</definedName>
    <definedName name="_20T1">#REF!</definedName>
    <definedName name="_20T2">#REF!</definedName>
    <definedName name="_2년미만종목" localSheetId="18">#REF!</definedName>
    <definedName name="_2년미만종목" localSheetId="16">#REF!</definedName>
    <definedName name="_2년미만종목" localSheetId="17">#REF!</definedName>
    <definedName name="_2년미만종목" localSheetId="15">#REF!</definedName>
    <definedName name="_2년미만종목" localSheetId="14">#REF!</definedName>
    <definedName name="_2년미만종목" localSheetId="13">#REF!</definedName>
    <definedName name="_2년미만종목" localSheetId="12">#REF!</definedName>
    <definedName name="_2년미만종목" localSheetId="10">#REF!</definedName>
    <definedName name="_2년미만종목" localSheetId="11">#REF!</definedName>
    <definedName name="_2년미만종목">#REF!</definedName>
    <definedName name="_2차계약금">#REF!</definedName>
    <definedName name="_2차중도금">[13]미납중도금후납시!$K$2</definedName>
    <definedName name="_3">#N/A</definedName>
    <definedName name="_3__123Graph_C차트_1" hidden="1">#REF!</definedName>
    <definedName name="_3차중도금">[13]미납중도금후납시!$L$2</definedName>
    <definedName name="_4">'[10]בית השקעות'!#REF!</definedName>
    <definedName name="_40T1">#REF!</definedName>
    <definedName name="_40T2">#REF!</definedName>
    <definedName name="_4차중도금">[13]미납중도금후납시!$M$2</definedName>
    <definedName name="_5">'[10]בית השקעות'!#REF!</definedName>
    <definedName name="_50T1">#REF!</definedName>
    <definedName name="_50T2">#REF!</definedName>
    <definedName name="_5차중도금">#REF!</definedName>
    <definedName name="_6">'[10]בית השקעות'!#REF!</definedName>
    <definedName name="_60T1">#REF!</definedName>
    <definedName name="_60T2">#REF!</definedName>
    <definedName name="_6차중도금">#REF!</definedName>
    <definedName name="_70T1">#REF!</definedName>
    <definedName name="_70T2">#REF!</definedName>
    <definedName name="_7FM2_" localSheetId="6">BlankMacro1</definedName>
    <definedName name="_7FM2_" localSheetId="7">BlankMacro1</definedName>
    <definedName name="_7FM2_" localSheetId="3">BlankMacro1</definedName>
    <definedName name="_7FM2_">BlankMacro1</definedName>
    <definedName name="_7차중도금">#REF!</definedName>
    <definedName name="_90">#REF!</definedName>
    <definedName name="_90T1">#REF!</definedName>
    <definedName name="_90T2">#REF!</definedName>
    <definedName name="_96BUD" localSheetId="1">#REF!</definedName>
    <definedName name="_96BUD">#REF!</definedName>
    <definedName name="_A1">#N/A</definedName>
    <definedName name="_A2">#N/A</definedName>
    <definedName name="_A3">#N/A</definedName>
    <definedName name="_A4">#N/A</definedName>
    <definedName name="_A5">#N/A</definedName>
    <definedName name="_A6">#N/A</definedName>
    <definedName name="_A7">#N/A</definedName>
    <definedName name="_AUD1">#REF!</definedName>
    <definedName name="_AUD2">#REF!</definedName>
    <definedName name="_AUD3">#REF!</definedName>
    <definedName name="_AUD4">#REF!</definedName>
    <definedName name="_D20" localSheetId="6">{"Client Name or Project Name"}</definedName>
    <definedName name="_D20" localSheetId="7">{"Client Name or Project Name"}</definedName>
    <definedName name="_D20" localSheetId="3">{"Client Name or Project Name"}</definedName>
    <definedName name="_D20">{"Client Name or Project Name"}</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M1">#REF!</definedName>
    <definedName name="_DEM2">#REF!</definedName>
    <definedName name="_DEM3">#REF!</definedName>
    <definedName name="_DEM4">#REF!</definedName>
    <definedName name="_esc2">'[6]Dash Board'!$P$26</definedName>
    <definedName name="_EUR1">[7]환율!$C$11</definedName>
    <definedName name="_EUR2">#REF!</definedName>
    <definedName name="_EUR3">#REF!</definedName>
    <definedName name="_EUR4">#REF!</definedName>
    <definedName name="_Fill" localSheetId="1" hidden="1">[14]손익!#REF!</definedName>
    <definedName name="_Fill" hidden="1">#N/A</definedName>
    <definedName name="_xlnm._FilterDatabase" localSheetId="18" hidden="1">'22.3Q'!$B$9:$P$9</definedName>
    <definedName name="_xlnm._FilterDatabase" localSheetId="16" hidden="1">'22.4Q'!$B$9:$P$9</definedName>
    <definedName name="_xlnm._FilterDatabase" localSheetId="17" hidden="1">'23.1Q'!$B$9:$P$9</definedName>
    <definedName name="_xlnm._FilterDatabase" localSheetId="15" hidden="1">'23.2Q'!$C$9:$Q$9</definedName>
    <definedName name="_xlnm._FilterDatabase" localSheetId="14" hidden="1">'23.3Q'!$C$9:$Q$9</definedName>
    <definedName name="_xlnm._FilterDatabase" localSheetId="13" hidden="1">'23.4Q'!$C$9:$Q$9</definedName>
    <definedName name="_xlnm._FilterDatabase" localSheetId="12" hidden="1">'24.1Q'!$C$9:$Q$9</definedName>
    <definedName name="_xlnm._FilterDatabase" localSheetId="10" hidden="1">'24.2Q'!$C$9:$Q$9</definedName>
    <definedName name="_xlnm._FilterDatabase" localSheetId="11" hidden="1">'24.3Q'!$C$9:$Q$9</definedName>
    <definedName name="_xlnm._FilterDatabase" localSheetId="19" hidden="1">'리츠 베타_22.2Q'!$B$12:$M$12</definedName>
    <definedName name="_FM2" localSheetId="6">BlankMacro1</definedName>
    <definedName name="_FM2" localSheetId="7">BlankMacro1</definedName>
    <definedName name="_FM2" localSheetId="3">BlankMacro1</definedName>
    <definedName name="_FM2">BlankMacro1</definedName>
    <definedName name="_FRF1">#REF!</definedName>
    <definedName name="_FRF2">#REF!</definedName>
    <definedName name="_FRF3">#REF!</definedName>
    <definedName name="_FRF4">#REF!</definedName>
    <definedName name="_GAS2">[3]노무비!#REF!</definedName>
    <definedName name="_GBP1">#REF!</definedName>
    <definedName name="_GBP2">#REF!</definedName>
    <definedName name="_GBP3">#REF!</definedName>
    <definedName name="_GBP4">#REF!</definedName>
    <definedName name="_HOA1">#N/A</definedName>
    <definedName name="_HOA2">#N/A</definedName>
    <definedName name="_HOA3">#N/A</definedName>
    <definedName name="_HOA4">#N/A</definedName>
    <definedName name="_HOA5">#N/A</definedName>
    <definedName name="_HOA6">#N/A</definedName>
    <definedName name="_HOA7">#N/A</definedName>
    <definedName name="_INT1">#N/A</definedName>
    <definedName name="_INT2">#N/A</definedName>
    <definedName name="_INT3">#N/A</definedName>
    <definedName name="_INT4">#N/A</definedName>
    <definedName name="_INT5">#N/A</definedName>
    <definedName name="_INT6">#N/A</definedName>
    <definedName name="_INT7">#N/A</definedName>
    <definedName name="_INT8">#N/A</definedName>
    <definedName name="_INT9">#N/A</definedName>
    <definedName name="_IRR2" hidden="1">[2]공정!$AH$25:$AH$37</definedName>
    <definedName name="_ITL1">#REF!</definedName>
    <definedName name="_ITL2">#REF!</definedName>
    <definedName name="_ITL3">#REF!</definedName>
    <definedName name="_ITL4">#REF!</definedName>
    <definedName name="_Key1" localSheetId="1" hidden="1">#REF!</definedName>
    <definedName name="_Key1" hidden="1">#REF!</definedName>
    <definedName name="_Key2" localSheetId="1" hidden="1">#REF!</definedName>
    <definedName name="_Key2" hidden="1">#REF!</definedName>
    <definedName name="_key3" hidden="1">#REF!</definedName>
    <definedName name="_MatInverse_In" hidden="1">#N/A</definedName>
    <definedName name="_MatInverse_Out" hidden="1">#N/A</definedName>
    <definedName name="_Order1" hidden="1">0</definedName>
    <definedName name="_Order2" hidden="1">0</definedName>
    <definedName name="_Parse_Out" hidden="1">#N/A</definedName>
    <definedName name="_PL7" localSheetId="6" hidden="1">{#N/A,#N/A,TRUE,"대 차 대 조 표"}</definedName>
    <definedName name="_PL7" localSheetId="7" hidden="1">{#N/A,#N/A,TRUE,"대 차 대 조 표"}</definedName>
    <definedName name="_PL7" localSheetId="3" hidden="1">{#N/A,#N/A,TRUE,"대 차 대 조 표"}</definedName>
    <definedName name="_PL7" localSheetId="1" hidden="1">{#N/A,#N/A,TRUE,"대 차 대 조 표"}</definedName>
    <definedName name="_PL7" hidden="1">{#N/A,#N/A,TRUE,"대 차 대 조 표"}</definedName>
    <definedName name="_PRN10">#N/A</definedName>
    <definedName name="_PRN2">[4]내역서!#REF!</definedName>
    <definedName name="_PRN3" localSheetId="1">#N/A</definedName>
    <definedName name="_PRN3">[4]내역서!#REF!</definedName>
    <definedName name="_PRN4" localSheetId="1">#N/A</definedName>
    <definedName name="_PRN4">[4]내역서!#REF!</definedName>
    <definedName name="_PRN6">[4]내역서!#REF!</definedName>
    <definedName name="_PRN7">[4]내역서!#REF!</definedName>
    <definedName name="_PRN9">#N/A</definedName>
    <definedName name="_Regression_Int">1</definedName>
    <definedName name="_Sort" localSheetId="1" hidden="1">#REF!</definedName>
    <definedName name="_Sort" hidden="1">#N/A</definedName>
    <definedName name="_USD1">[7]환율!$C$8</definedName>
    <definedName name="_USD2">#REF!</definedName>
    <definedName name="_USD3">#REF!</definedName>
    <definedName name="_USD4">#REF!</definedName>
    <definedName name="_Vr1">[8]Budget!$A$4:$Q$123</definedName>
    <definedName name="_제외산업종목수" localSheetId="18">#REF!</definedName>
    <definedName name="_제외산업종목수" localSheetId="16">#REF!</definedName>
    <definedName name="_제외산업종목수" localSheetId="17">#REF!</definedName>
    <definedName name="_제외산업종목수" localSheetId="15">#REF!</definedName>
    <definedName name="_제외산업종목수" localSheetId="14">#REF!</definedName>
    <definedName name="_제외산업종목수" localSheetId="13">#REF!</definedName>
    <definedName name="_제외산업종목수" localSheetId="12">#REF!</definedName>
    <definedName name="_제외산업종목수" localSheetId="10">#REF!</definedName>
    <definedName name="_제외산업종목수" localSheetId="11">#REF!</definedName>
    <definedName name="_제외산업종목수">#REF!</definedName>
    <definedName name="\a">#N/A</definedName>
    <definedName name="\B" localSheetId="1">#REF!</definedName>
    <definedName name="\b">#N/A</definedName>
    <definedName name="\C" localSheetId="1">#REF!</definedName>
    <definedName name="\c">#N/A</definedName>
    <definedName name="\d" localSheetId="1">#REF!</definedName>
    <definedName name="\d">#REF!</definedName>
    <definedName name="\f">#REF!</definedName>
    <definedName name="\P" localSheetId="1">#REF!</definedName>
    <definedName name="\p">#REF!</definedName>
    <definedName name="\q" localSheetId="1">#REF!</definedName>
    <definedName name="\q">#REF!</definedName>
    <definedName name="\r">#N/A</definedName>
    <definedName name="\s">#N/A</definedName>
    <definedName name="\w">#N/A</definedName>
    <definedName name="\z" localSheetId="1">#REF!</definedName>
    <definedName name="\z">#REF!</definedName>
    <definedName name="a" localSheetId="1">[15]노무비!#REF!</definedName>
    <definedName name="A">#REF!</definedName>
    <definedName name="aa" localSheetId="1">'[16]Initial Input Variable'!#REF!</definedName>
    <definedName name="aa">'[17]Initial Input Variable'!#REF!</definedName>
    <definedName name="AAA" localSheetId="1">#REF!</definedName>
    <definedName name="aaa">#REF!</definedName>
    <definedName name="aaaa" localSheetId="1">'[18]인원계획-미화'!#REF!</definedName>
    <definedName name="aaaa">'[19]인원계획-미화'!#REF!</definedName>
    <definedName name="aaaaa">#REF!</definedName>
    <definedName name="aab" localSheetId="6" hidden="1">{#N/A,#N/A,FALSE,"동부"}</definedName>
    <definedName name="aab" localSheetId="7" hidden="1">{#N/A,#N/A,FALSE,"동부"}</definedName>
    <definedName name="aab" localSheetId="3" hidden="1">{#N/A,#N/A,FALSE,"동부"}</definedName>
    <definedName name="aab" hidden="1">{#N/A,#N/A,FALSE,"동부"}</definedName>
    <definedName name="AAFIRR10Y1">'[20]A (Calcs)'!$G$150</definedName>
    <definedName name="AAFIRR10Y10">'[20]A (Calcs)'!$G$159</definedName>
    <definedName name="AAFIRR10Y11">'[20]A (Calcs)'!$G$160</definedName>
    <definedName name="AAFIRR10Y12">'[20]A (Calcs)'!$G$161</definedName>
    <definedName name="AAFIRR10Y13">'[20]A (Calcs)'!$G$162</definedName>
    <definedName name="AAFIRR10Y14">'[20]A (Calcs)'!$G$163</definedName>
    <definedName name="AAFIRR10Y15">'[20]A (Calcs)'!$G$164</definedName>
    <definedName name="AAFIRR10Y16">'[20]A (Calcs)'!$G$165</definedName>
    <definedName name="AAFIRR10Y17">'[20]A (Calcs)'!$G$166</definedName>
    <definedName name="AAFIRR10Y18">'[20]A (Calcs)'!$G$167</definedName>
    <definedName name="AAFIRR10Y19">'[20]A (Calcs)'!$G$168</definedName>
    <definedName name="AAFIRR10Y2">'[20]A (Calcs)'!$G$151</definedName>
    <definedName name="AAFIRR10Y20">'[20]A (Calcs)'!$G$169</definedName>
    <definedName name="AAFIRR10Y3">'[20]A (Calcs)'!$G$152</definedName>
    <definedName name="AAFIRR10Y4">'[20]A (Calcs)'!$G$153</definedName>
    <definedName name="AAFIRR10Y5">'[20]A (Calcs)'!$G$154</definedName>
    <definedName name="AAFIRR10Y6">'[20]A (Calcs)'!$G$155</definedName>
    <definedName name="AAFIRR10Y7">'[20]A (Calcs)'!$G$156</definedName>
    <definedName name="AAFIRR10Y8">'[20]A (Calcs)'!$G$157</definedName>
    <definedName name="AAFIRR10Y9">'[20]A (Calcs)'!$G$158</definedName>
    <definedName name="AAMAFIRR10Y1">'[20]A (Calcs)'!$G$126</definedName>
    <definedName name="AAMAFIRR10Y10">'[20]A (Calcs)'!$G$135</definedName>
    <definedName name="AAMAFIRR10Y11">'[20]A (Calcs)'!$G$136</definedName>
    <definedName name="AAMAFIRR10Y12">'[20]A (Calcs)'!$G$137</definedName>
    <definedName name="AAMAFIRR10Y13">'[20]A (Calcs)'!$G$138</definedName>
    <definedName name="AAMAFIRR10Y14">'[20]A (Calcs)'!$G$139</definedName>
    <definedName name="AAMAFIRR10Y15">'[20]A (Calcs)'!$G$140</definedName>
    <definedName name="AAMAFIRR10Y16">'[20]A (Calcs)'!$G$141</definedName>
    <definedName name="AAMAFIRR10Y17">'[20]A (Calcs)'!$G$142</definedName>
    <definedName name="AAMAFIRR10Y18">'[20]A (Calcs)'!$G$143</definedName>
    <definedName name="AAMAFIRR10Y19">'[20]A (Calcs)'!$G$144</definedName>
    <definedName name="AAMAFIRR10Y2">'[20]A (Calcs)'!$G$127</definedName>
    <definedName name="AAMAFIRR10Y20">'[20]A (Calcs)'!$G$145</definedName>
    <definedName name="AAMAFIRR10Y3">'[20]A (Calcs)'!$G$128</definedName>
    <definedName name="AAMAFIRR10Y4">'[20]A (Calcs)'!$G$129</definedName>
    <definedName name="AAMAFIRR10Y5">'[20]A (Calcs)'!$G$130</definedName>
    <definedName name="AAMAFIRR10Y6">'[20]A (Calcs)'!$G$131</definedName>
    <definedName name="AAMAFIRR10Y7">'[20]A (Calcs)'!$G$132</definedName>
    <definedName name="AAMAFIRR10Y8">'[20]A (Calcs)'!$G$133</definedName>
    <definedName name="AAMAFIRR10Y9">'[20]A (Calcs)'!$G$134</definedName>
    <definedName name="abc" localSheetId="1">#REF!</definedName>
    <definedName name="abc">#REF!</definedName>
    <definedName name="abs" localSheetId="1">#REF!</definedName>
    <definedName name="abs">#REF!</definedName>
    <definedName name="Access_Button" hidden="1">"종합사번1999년_99년02월_퇴사__List"</definedName>
    <definedName name="AccessDatabase" hidden="1">"C:\My Documents\사번\종합사번1999년.mdb"</definedName>
    <definedName name="Accounts">'[21]RECIEPT&amp;PAYMENT'!#REF!</definedName>
    <definedName name="ACCT">#REF!</definedName>
    <definedName name="ACCUM">#N/A</definedName>
    <definedName name="Acquisition_Cost" localSheetId="1">#REF!</definedName>
    <definedName name="Acquisition_Cost">#REF!</definedName>
    <definedName name="ada232339iweu9r83u9q38u9r8qu" localSheetId="6">'CF(M)'!ada232339iweu9r83u9q38u9r8qu</definedName>
    <definedName name="ada232339iweu9r83u9q38u9r8qu" localSheetId="7">Key!ada232339iweu9r83u9q38u9r8qu</definedName>
    <definedName name="ada232339iweu9r83u9q38u9r8qu" localSheetId="3">RE!ada232339iweu9r83u9q38u9r8qu</definedName>
    <definedName name="ada232339iweu9r83u9q38u9r8qu">[0]!ada232339iweu9r83u9q38u9r8qu</definedName>
    <definedName name="Add_AcqCost" localSheetId="1">#REF!</definedName>
    <definedName name="Add_AcqCost">#REF!</definedName>
    <definedName name="Add_ExitCost" localSheetId="1">#REF!</definedName>
    <definedName name="Add_ExitCost">#REF!</definedName>
    <definedName name="Add_HedgeCost" localSheetId="1">#REF!</definedName>
    <definedName name="Add_HedgeCost">#REF!</definedName>
    <definedName name="Add_OperatingExp" localSheetId="1">#REF!</definedName>
    <definedName name="Add_OperatingExp">#REF!</definedName>
    <definedName name="Add_OtherInc" localSheetId="1">#REF!</definedName>
    <definedName name="Add_OtherInc">#REF!</definedName>
    <definedName name="Add_RentalInc" localSheetId="1">#REF!</definedName>
    <definedName name="Add_RentalInc">#REF!</definedName>
    <definedName name="adsas" localSheetId="6" hidden="1">{#N/A,#N/A,FALSE,"Aging Summary";#N/A,#N/A,FALSE,"Ratio Analysis";#N/A,#N/A,FALSE,"Test 120 Day Accts";#N/A,#N/A,FALSE,"Tickmarks"}</definedName>
    <definedName name="adsas" localSheetId="7" hidden="1">{#N/A,#N/A,FALSE,"Aging Summary";#N/A,#N/A,FALSE,"Ratio Analysis";#N/A,#N/A,FALSE,"Test 120 Day Accts";#N/A,#N/A,FALSE,"Tickmarks"}</definedName>
    <definedName name="adsas" localSheetId="3" hidden="1">{#N/A,#N/A,FALSE,"Aging Summary";#N/A,#N/A,FALSE,"Ratio Analysis";#N/A,#N/A,FALSE,"Test 120 Day Accts";#N/A,#N/A,FALSE,"Tickmarks"}</definedName>
    <definedName name="adsas" localSheetId="1" hidden="1">{#N/A,#N/A,FALSE,"Aging Summary";#N/A,#N/A,FALSE,"Ratio Analysis";#N/A,#N/A,FALSE,"Test 120 Day Accts";#N/A,#N/A,FALSE,"Tickmarks"}</definedName>
    <definedName name="adsas" hidden="1">{#N/A,#N/A,FALSE,"Aging Summary";#N/A,#N/A,FALSE,"Ratio Analysis";#N/A,#N/A,FALSE,"Test 120 Day Accts";#N/A,#N/A,FALSE,"Tickmarks"}</definedName>
    <definedName name="aer">#REF!</definedName>
    <definedName name="affectation">[22]Balance!$R$11:$U$250</definedName>
    <definedName name="al">#REF!</definedName>
    <definedName name="aldkjflasdjgladg" localSheetId="6">'CF(M)'!aldkjflasdjgladg</definedName>
    <definedName name="aldkjflasdjgladg" localSheetId="7">Key!aldkjflasdjgladg</definedName>
    <definedName name="aldkjflasdjgladg" localSheetId="3">RE!aldkjflasdjgladg</definedName>
    <definedName name="aldkjflasdjgladg">[0]!aldkjflasdjgladg</definedName>
    <definedName name="alkdkjadkfjhadkfhkad" localSheetId="6">'CF(M)'!alkdkjadkfjhadkfhkad</definedName>
    <definedName name="alkdkjadkfjhadkfhkad" localSheetId="7">Key!alkdkjadkfjhadkfhkad</definedName>
    <definedName name="alkdkjadkfjhadkfhkad" localSheetId="3">RE!alkdkjadkfjhadkfhkad</definedName>
    <definedName name="alkdkjadkfjhadkfhkad">[0]!alkdkjadkfjhadkfhkad</definedName>
    <definedName name="Alt">'[23]Cash Flow'!$A$2</definedName>
    <definedName name="AltGFDisplayIndex">'[20]B (Controls)'!$E$53</definedName>
    <definedName name="AltGFIndex">'[20]B (Controls)'!$E$52</definedName>
    <definedName name="AltReversionIRR">'[20]Set-Up'!$D$48</definedName>
    <definedName name="AMC_Fee" localSheetId="1">[11]Assumption!$B$8</definedName>
    <definedName name="AMC_Fee">[12]Assumption!$B$8</definedName>
    <definedName name="AMC_Promote_Fee" localSheetId="1">[11]Assumption!$B$11</definedName>
    <definedName name="AMC_Promote_Fee">[12]Assumption!$B$11</definedName>
    <definedName name="AMFee22">'[24]1 Cash Flow Analysis'!#REF!</definedName>
    <definedName name="AMFee23">'[24]1 Cash Flow Analysis'!#REF!</definedName>
    <definedName name="AMFee24">'[24]1 Cash Flow Analysis'!#REF!</definedName>
    <definedName name="AMFee25">'[24]1 Cash Flow Analysis'!#REF!</definedName>
    <definedName name="AMFee26">'[24]1 Cash Flow Analysis'!#REF!</definedName>
    <definedName name="AMFee27">'[24]1 Cash Flow Analysis'!#REF!</definedName>
    <definedName name="AMFee28">'[24]1 Cash Flow Analysis'!#REF!</definedName>
    <definedName name="AMFee29">'[24]1 Cash Flow Analysis'!#REF!</definedName>
    <definedName name="AMFee30">'[24]1 Cash Flow Analysis'!#REF!</definedName>
    <definedName name="AMFee31">'[24]1 Cash Flow Analysis'!#REF!</definedName>
    <definedName name="AMOUNT">#REF!</definedName>
    <definedName name="Amounts">'[21]RECIEPT&amp;PAYMENT'!#REF!</definedName>
    <definedName name="Annual_Allowance" localSheetId="1">#REF!</definedName>
    <definedName name="Annual_Allowance">#REF!</definedName>
    <definedName name="anscount" hidden="1">2</definedName>
    <definedName name="aoqtmwktksdnsdyd" localSheetId="6">'CF(M)'!aoqtmwktksdnsdyd</definedName>
    <definedName name="aoqtmwktksdnsdyd" localSheetId="7">Key!aoqtmwktksdnsdyd</definedName>
    <definedName name="aoqtmwktksdnsdyd" localSheetId="3">RE!aoqtmwktksdnsdyd</definedName>
    <definedName name="aoqtmwktksdnsdyd">[0]!aoqtmwktksdnsdyd</definedName>
    <definedName name="app.3.2.2" localSheetId="6" hidden="1">{#N/A,#N/A,FALSE,"동부"}</definedName>
    <definedName name="app.3.2.2" localSheetId="7" hidden="1">{#N/A,#N/A,FALSE,"동부"}</definedName>
    <definedName name="app.3.2.2" localSheetId="3" hidden="1">{#N/A,#N/A,FALSE,"동부"}</definedName>
    <definedName name="app.3.2.2" hidden="1">{#N/A,#N/A,FALSE,"동부"}</definedName>
    <definedName name="App3.2.2" localSheetId="6" hidden="1">{#N/A,#N/A,TRUE,"대 차 대 조 표"}</definedName>
    <definedName name="App3.2.2" localSheetId="7" hidden="1">{#N/A,#N/A,TRUE,"대 차 대 조 표"}</definedName>
    <definedName name="App3.2.2" localSheetId="3" hidden="1">{#N/A,#N/A,TRUE,"대 차 대 조 표"}</definedName>
    <definedName name="App3.2.2" hidden="1">{#N/A,#N/A,TRUE,"대 차 대 조 표"}</definedName>
    <definedName name="APPLIC">#N/A</definedName>
    <definedName name="Approved_Gross_Area" localSheetId="1">#REF!</definedName>
    <definedName name="Approved_Gross_Area">#REF!</definedName>
    <definedName name="AREA">#N/A</definedName>
    <definedName name="Area_Chonsei" localSheetId="1">#REF!</definedName>
    <definedName name="Area_Chonsei">#REF!</definedName>
    <definedName name="Area_Office" localSheetId="1">#REF!</definedName>
    <definedName name="Area_Office">#REF!</definedName>
    <definedName name="Area_Residential" localSheetId="1">#REF!</definedName>
    <definedName name="Area_Residential">#REF!</definedName>
    <definedName name="Area_Retail" localSheetId="1">#REF!</definedName>
    <definedName name="Area_Retail">#REF!</definedName>
    <definedName name="Area_Western" localSheetId="1">#REF!</definedName>
    <definedName name="Area_Western">#REF!</definedName>
    <definedName name="areaunit">[25]Stacking!$U$5</definedName>
    <definedName name="areaunitname">#REF!</definedName>
    <definedName name="as" localSheetId="6">BlankMacro1</definedName>
    <definedName name="as" localSheetId="7">BlankMacro1</definedName>
    <definedName name="as" localSheetId="3">BlankMacro1</definedName>
    <definedName name="as" localSheetId="1">BlankMacro1</definedName>
    <definedName name="as">BlankMacro1</definedName>
    <definedName name="AS2DocOpenMode" hidden="1">"AS2DocumentEdit"</definedName>
    <definedName name="AS2HasNoAutoHeaderFooter">" "</definedName>
    <definedName name="AS2ReportLS">1</definedName>
    <definedName name="AS2SyncStepLS">0</definedName>
    <definedName name="AS2TickmarkLS" hidden="1">#REF!</definedName>
    <definedName name="AS2VersionLS">300</definedName>
    <definedName name="asd" localSheetId="1">#REF!</definedName>
    <definedName name="asd">#REF!</definedName>
    <definedName name="asda">[26]Area!$F$46</definedName>
    <definedName name="asdaaaa" localSheetId="6">'CF(M)'!asdaaaa</definedName>
    <definedName name="asdaaaa" localSheetId="7">Key!asdaaaa</definedName>
    <definedName name="asdaaaa" localSheetId="3">RE!asdaaaa</definedName>
    <definedName name="asdaaaa">[0]!asdaaaa</definedName>
    <definedName name="asdf" localSheetId="6">'CF(M)'!asdf</definedName>
    <definedName name="asdf" localSheetId="7">Key!asdf</definedName>
    <definedName name="asdf" localSheetId="3">RE!asdf</definedName>
    <definedName name="asdf">[0]!asdf</definedName>
    <definedName name="asdfaf" localSheetId="6">'CF(M)'!asdfaf</definedName>
    <definedName name="asdfaf" localSheetId="7">Key!asdfaf</definedName>
    <definedName name="asdfaf" localSheetId="3">RE!asdfaf</definedName>
    <definedName name="asdfaf">[0]!asdfaf</definedName>
    <definedName name="ased" localSheetId="1">#REF!</definedName>
    <definedName name="ased">#REF!</definedName>
    <definedName name="Asset_MgmtFee" localSheetId="1">#REF!</definedName>
    <definedName name="Asset_MgmtFee">#REF!</definedName>
    <definedName name="AssetPercentageLookup">'[20]B (Controls)'!$E$85</definedName>
    <definedName name="assumption">#REF!</definedName>
    <definedName name="ATK" localSheetId="6">'CF(M)'!ATK</definedName>
    <definedName name="ATK" localSheetId="7">Key!ATK</definedName>
    <definedName name="ATK" localSheetId="3">RE!ATK</definedName>
    <definedName name="ATK">[0]!ATK</definedName>
    <definedName name="Auction">[27]Forecloser!$A$2:$M$250</definedName>
    <definedName name="AUTHORISE">#N/A</definedName>
    <definedName name="auto">#REF!</definedName>
    <definedName name="AUTOMATCH">#N/A</definedName>
    <definedName name="avrest" localSheetId="6">'CF(M)'!avrest</definedName>
    <definedName name="avrest" localSheetId="7">Key!avrest</definedName>
    <definedName name="avrest" localSheetId="3">RE!avrest</definedName>
    <definedName name="avrest" localSheetId="1">[28]!avrest</definedName>
    <definedName name="avrest">[0]!avrest</definedName>
    <definedName name="b" localSheetId="1">#REF!</definedName>
    <definedName name="b">[29]노무비!#REF!</definedName>
    <definedName name="B_10">#REF!</definedName>
    <definedName name="B_20">#REF!</definedName>
    <definedName name="B_40">#REF!</definedName>
    <definedName name="B_50">#REF!</definedName>
    <definedName name="B_60">#REF!</definedName>
    <definedName name="B_70">#REF!</definedName>
    <definedName name="B_90">#REF!</definedName>
    <definedName name="B_JEMU">#REF!</definedName>
    <definedName name="B_TOTAL">#REF!</definedName>
    <definedName name="B_TOTALT">#REF!</definedName>
    <definedName name="BadLink" localSheetId="1" hidden="1">#REF!</definedName>
    <definedName name="BadLink" hidden="1">#N/A</definedName>
    <definedName name="Balance1">[30]Balance!#REF!</definedName>
    <definedName name="balance1credit">[30]Balance!#REF!</definedName>
    <definedName name="balance1debit">[30]Balance!#REF!</definedName>
    <definedName name="BASE" localSheetId="1">#REF!</definedName>
    <definedName name="BASE">#REF!</definedName>
    <definedName name="basebalance">[31]Balance!$N$9:$S$491</definedName>
    <definedName name="BASECARR">#N/A</definedName>
    <definedName name="BASEDOC">#N/A</definedName>
    <definedName name="BASEGOODS">#N/A</definedName>
    <definedName name="BASEVAT">#N/A</definedName>
    <definedName name="BATCH">#N/A</definedName>
    <definedName name="bb" localSheetId="1">'[16]Initial Input Variable'!#REF!</definedName>
    <definedName name="bb">'[32]인원계획-미화'!#REF!</definedName>
    <definedName name="BBB" localSheetId="1">#REF!</definedName>
    <definedName name="BBB">#REF!</definedName>
    <definedName name="BF">#REF!</definedName>
    <definedName name="BG_Del">15</definedName>
    <definedName name="BG_Ins">4</definedName>
    <definedName name="BG_Mod">6</definedName>
    <definedName name="Borrow_Cost" localSheetId="1">#REF!</definedName>
    <definedName name="Borrow_Cost">#REF!</definedName>
    <definedName name="bs">[28]!bs</definedName>
    <definedName name="BS_C">#REF!</definedName>
    <definedName name="BS_T">#REF!</definedName>
    <definedName name="bsNote">[28]!bsNote</definedName>
    <definedName name="BT" localSheetId="6" hidden="1">{#N/A,#N/A,FALSE,"손익표지";#N/A,#N/A,FALSE,"손익계산";#N/A,#N/A,FALSE,"일반관리비";#N/A,#N/A,FALSE,"영업외수익";#N/A,#N/A,FALSE,"영업외비용";#N/A,#N/A,FALSE,"매출액";#N/A,#N/A,FALSE,"요약손익";#N/A,#N/A,FALSE,"요약대차";#N/A,#N/A,FALSE,"매출채권현황";#N/A,#N/A,FALSE,"매출채권명세"}</definedName>
    <definedName name="BT" localSheetId="7" hidden="1">{#N/A,#N/A,FALSE,"손익표지";#N/A,#N/A,FALSE,"손익계산";#N/A,#N/A,FALSE,"일반관리비";#N/A,#N/A,FALSE,"영업외수익";#N/A,#N/A,FALSE,"영업외비용";#N/A,#N/A,FALSE,"매출액";#N/A,#N/A,FALSE,"요약손익";#N/A,#N/A,FALSE,"요약대차";#N/A,#N/A,FALSE,"매출채권현황";#N/A,#N/A,FALSE,"매출채권명세"}</definedName>
    <definedName name="BT" localSheetId="3" hidden="1">{#N/A,#N/A,FALSE,"손익표지";#N/A,#N/A,FALSE,"손익계산";#N/A,#N/A,FALSE,"일반관리비";#N/A,#N/A,FALSE,"영업외수익";#N/A,#N/A,FALSE,"영업외비용";#N/A,#N/A,FALSE,"매출액";#N/A,#N/A,FALSE,"요약손익";#N/A,#N/A,FALSE,"요약대차";#N/A,#N/A,FALSE,"매출채권현황";#N/A,#N/A,FALSE,"매출채권명세"}</definedName>
    <definedName name="BT" localSheetId="1" hidden="1">{#N/A,#N/A,FALSE,"손익표지";#N/A,#N/A,FALSE,"손익계산";#N/A,#N/A,FALSE,"일반관리비";#N/A,#N/A,FALSE,"영업외수익";#N/A,#N/A,FALSE,"영업외비용";#N/A,#N/A,FALSE,"매출액";#N/A,#N/A,FALSE,"요약손익";#N/A,#N/A,FALSE,"요약대차";#N/A,#N/A,FALSE,"매출채권현황";#N/A,#N/A,FALSE,"매출채권명세"}</definedName>
    <definedName name="BT" hidden="1">{#N/A,#N/A,FALSE,"손익표지";#N/A,#N/A,FALSE,"손익계산";#N/A,#N/A,FALSE,"일반관리비";#N/A,#N/A,FALSE,"영업외수익";#N/A,#N/A,FALSE,"영업외비용";#N/A,#N/A,FALSE,"매출액";#N/A,#N/A,FALSE,"요약손익";#N/A,#N/A,FALSE,"요약대차";#N/A,#N/A,FALSE,"매출채권현황";#N/A,#N/A,FALSE,"매출채권명세"}</definedName>
    <definedName name="btnClose">[28]!btnClose</definedName>
    <definedName name="btnFootNoting">[28]!btnFootNoting</definedName>
    <definedName name="btnNext">[28]!btnNext</definedName>
    <definedName name="btnOK">[28]!btnOK</definedName>
    <definedName name="btnPrevious">[28]!btnPrevious</definedName>
    <definedName name="btnReturn">[28]!btnReturn</definedName>
    <definedName name="budget" localSheetId="1">[33]Situation!#REF!</definedName>
    <definedName name="Budget">#REF!</definedName>
    <definedName name="Budget2003">#REF!</definedName>
    <definedName name="budgetcum">[33]Situation!#REF!</definedName>
    <definedName name="budgetcum2">#REF!</definedName>
    <definedName name="BuiltIn_Print_Area___1">NA()</definedName>
    <definedName name="BuiltIn_Print_Area___1___0">NA()</definedName>
    <definedName name="BuiltIn_Print_Area___2">NA()</definedName>
    <definedName name="BuiltIn_Print_Area___2___0">NA()</definedName>
    <definedName name="BuiltIn_Print_Area___3">NA()</definedName>
    <definedName name="BuiltIn_Print_Area___3___0">NA()</definedName>
    <definedName name="Button_11">"X5수정전망_종합검토_List"</definedName>
    <definedName name="Buy_Price" localSheetId="1">#REF!</definedName>
    <definedName name="Buy_Price">#REF!</definedName>
    <definedName name="BU별" localSheetId="6" hidden="1">{#N/A,#N/A,FALSE,"동부"}</definedName>
    <definedName name="BU별" localSheetId="7" hidden="1">{#N/A,#N/A,FALSE,"동부"}</definedName>
    <definedName name="BU별" localSheetId="3" hidden="1">{#N/A,#N/A,FALSE,"동부"}</definedName>
    <definedName name="BU별" hidden="1">{#N/A,#N/A,FALSE,"동부"}</definedName>
    <definedName name="C_C_Balance">#REF!</definedName>
    <definedName name="CapEx_A" localSheetId="1">#REF!</definedName>
    <definedName name="CapEx_A">#REF!</definedName>
    <definedName name="CapEx_B" localSheetId="1">#REF!</definedName>
    <definedName name="CapEx_B">#REF!</definedName>
    <definedName name="CapEx_C" localSheetId="1">#REF!</definedName>
    <definedName name="CapEx_C">#REF!</definedName>
    <definedName name="CapEx_D" localSheetId="1">#REF!</definedName>
    <definedName name="CapEx_D">#REF!</definedName>
    <definedName name="CapEx_E" localSheetId="1">#REF!</definedName>
    <definedName name="CapEx_E">#REF!</definedName>
    <definedName name="CapEx_F" localSheetId="1">#REF!</definedName>
    <definedName name="CapEx_F">#REF!</definedName>
    <definedName name="CapEx_G" localSheetId="1">#REF!</definedName>
    <definedName name="CapEx_G">#REF!</definedName>
    <definedName name="CapEx_H" localSheetId="1">#REF!</definedName>
    <definedName name="CapEx_H">#REF!</definedName>
    <definedName name="Capital_Reserve" localSheetId="1">[11]Assumption!$B$10</definedName>
    <definedName name="Capital_Reserve">[12]Assumption!$B$10</definedName>
    <definedName name="CAPX22">'[24]1 Cash Flow Analysis'!#REF!</definedName>
    <definedName name="CAPX23">'[24]1 Cash Flow Analysis'!#REF!</definedName>
    <definedName name="CAPX24">'[24]1 Cash Flow Analysis'!#REF!</definedName>
    <definedName name="CAPX25">'[24]1 Cash Flow Analysis'!#REF!</definedName>
    <definedName name="CAPX26">'[24]1 Cash Flow Analysis'!#REF!</definedName>
    <definedName name="CAPX27">'[24]1 Cash Flow Analysis'!#REF!</definedName>
    <definedName name="CAPX28">'[24]1 Cash Flow Analysis'!#REF!</definedName>
    <definedName name="CAPX29">'[24]1 Cash Flow Analysis'!#REF!</definedName>
    <definedName name="CAPX30">'[24]1 Cash Flow Analysis'!#REF!</definedName>
    <definedName name="CAPX31">'[24]1 Cash Flow Analysis'!#REF!</definedName>
    <definedName name="CARD">#N/A</definedName>
    <definedName name="CARDEXPIRY">#N/A</definedName>
    <definedName name="CARDHOLDER">#N/A</definedName>
    <definedName name="CARDNUM">#N/A</definedName>
    <definedName name="Carpark_Revenue" localSheetId="1">#REF!</definedName>
    <definedName name="Carpark_Revenue">#REF!</definedName>
    <definedName name="cash">[28]!cash</definedName>
    <definedName name="Cashflow" localSheetId="1">#REF!</definedName>
    <definedName name="Cashflow">#REF!</definedName>
    <definedName name="CashFlow_Button1_Click">[28]!CashFlow_Button1_Click</definedName>
    <definedName name="CashflowStt" localSheetId="1">#REF!</definedName>
    <definedName name="CashflowStt">#REF!</definedName>
    <definedName name="cashIndex">[28]!cashIndex</definedName>
    <definedName name="cc" localSheetId="1">'[16]Initial Input Variable'!#REF!</definedName>
    <definedName name="cc">'[17]Initial Input Variable'!#REF!</definedName>
    <definedName name="CCC">#REF!</definedName>
    <definedName name="CE_C">#REF!</definedName>
    <definedName name="CELLNOTE10" localSheetId="1">[34]노무비!#REF!</definedName>
    <definedName name="CELLNOTE10">[34]노무비!#REF!</definedName>
    <definedName name="CELLNOTE4" localSheetId="1">[35]노무비!#REF!</definedName>
    <definedName name="CELLNOTE4">[36]노무비!#REF!</definedName>
    <definedName name="CELLNOTE5" localSheetId="1">[34]노무비!#REF!</definedName>
    <definedName name="CELLNOTE5">[37]노무비!#REF!</definedName>
    <definedName name="CELLNOTE6" localSheetId="1">[35]노무비!#REF!</definedName>
    <definedName name="CELLNOTE6">[36]노무비!#REF!</definedName>
    <definedName name="CELLNOTE8" localSheetId="1">[35]노무비!#REF!</definedName>
    <definedName name="CELLNOTE8">[35]노무비!#REF!</definedName>
    <definedName name="CENTA">#REF!</definedName>
    <definedName name="CENTA1">#REF!</definedName>
    <definedName name="CF_C">#REF!</definedName>
    <definedName name="cfdd" localSheetId="1">[34]노무비!#REF!</definedName>
    <definedName name="cfdd">[34]노무비!#REF!</definedName>
    <definedName name="Chonsei_Interest_Rate" localSheetId="1">#REF!</definedName>
    <definedName name="Chonsei_Interest_Rate">#REF!</definedName>
    <definedName name="Chonsei_Unit" localSheetId="1">#REF!</definedName>
    <definedName name="Chonsei_Unit">#REF!</definedName>
    <definedName name="Citi_Rent_Growth" localSheetId="1">[38]Assumption!$B$6</definedName>
    <definedName name="Citi_Rent_Growth">[39]Assumption!$B$6</definedName>
    <definedName name="CityState">'[20]Set-Up'!$D$6</definedName>
    <definedName name="ClientNameLabel">'[20]B (Controls)'!$E$82</definedName>
    <definedName name="CLT">[40]BA!$B$2</definedName>
    <definedName name="cmdqufrntjdgusghkd" localSheetId="6">'CF(M)'!cmdqufrntjdgusghkd</definedName>
    <definedName name="cmdqufrntjdgusghkd" localSheetId="7">Key!cmdqufrntjdgusghkd</definedName>
    <definedName name="cmdqufrntjdgusghkd" localSheetId="3">RE!cmdqufrntjdgusghkd</definedName>
    <definedName name="cmdqufrntjdgusghkd">[0]!cmdqufrntjdgusghkd</definedName>
    <definedName name="CODE">[4]내역서!#REF!</definedName>
    <definedName name="Codes">#REF!</definedName>
    <definedName name="comp" localSheetId="1">[41]comparables!$A$4:$DU$250</definedName>
    <definedName name="comp">[42]comparables!$A$4:$DU$250</definedName>
    <definedName name="Composite_Land_Tax" localSheetId="1">#REF!</definedName>
    <definedName name="Composite_Land_Tax">#REF!</definedName>
    <definedName name="ConstructionCost" localSheetId="1">#REF!</definedName>
    <definedName name="ConstructionCost">#REF!</definedName>
    <definedName name="CorpTax_Coeff" localSheetId="1">#REF!</definedName>
    <definedName name="CorpTax_Coeff">#REF!</definedName>
    <definedName name="cost" localSheetId="1">#REF!</definedName>
    <definedName name="cost">#REF!</definedName>
    <definedName name="Cost_of_sales">'[43]1 Cash Flow Analysis'!$M$108</definedName>
    <definedName name="CostData">[44]CostData!$A$1:$BL$65536</definedName>
    <definedName name="Costs_of_Sales" localSheetId="1">[11]Assumption!$B$6</definedName>
    <definedName name="Costs_of_Sales">[12]Assumption!$B$6</definedName>
    <definedName name="COUNTRY">#N/A</definedName>
    <definedName name="coursusd">#REF!</definedName>
    <definedName name="Cover">'[1]Facility Information'!$A$1:$H$27</definedName>
    <definedName name="CPI">'[43]Set-Up'!$D$23</definedName>
    <definedName name="CPI_Sambu_RR">#REF!</definedName>
    <definedName name="CR" localSheetId="1">#REF!</definedName>
    <definedName name="CR">#REF!</definedName>
    <definedName name="CRa" localSheetId="1">#REF!</definedName>
    <definedName name="CRa">#REF!</definedName>
    <definedName name="CRb" localSheetId="1">#REF!</definedName>
    <definedName name="CRb">#REF!</definedName>
    <definedName name="CRC_CorpTax_Coeff" localSheetId="1">#REF!</definedName>
    <definedName name="CRC_CorpTax_Coeff">#REF!</definedName>
    <definedName name="CRC_Special_Capital_Gain_Tax" localSheetId="1">#REF!</definedName>
    <definedName name="CRC_Special_Capital_Gain_Tax">#REF!</definedName>
    <definedName name="CRC_Tax_Base_above100" localSheetId="1">#REF!</definedName>
    <definedName name="CRC_Tax_Base_above100">#REF!</definedName>
    <definedName name="CRC_Tax_Base_below100" localSheetId="1">#REF!</definedName>
    <definedName name="CRC_Tax_Base_below100">#REF!</definedName>
    <definedName name="CRC_Tax_Rental_Above100" localSheetId="1">#REF!</definedName>
    <definedName name="CRC_Tax_Rental_Above100">#REF!</definedName>
    <definedName name="CRC_Tax_Rental_below100" localSheetId="1">#REF!</definedName>
    <definedName name="CRC_Tax_Rental_below100">#REF!</definedName>
    <definedName name="CRC_Tax_Withhold_Capital_Gains" localSheetId="1">#REF!</definedName>
    <definedName name="CRC_Tax_Withhold_Capital_Gains">#REF!</definedName>
    <definedName name="CRC_Tax_Withhold_Dividends" localSheetId="1">#REF!</definedName>
    <definedName name="CRC_Tax_Withhold_Dividends">#REF!</definedName>
    <definedName name="Critical_Component">#REF!</definedName>
    <definedName name="cumule">[22]Balance!$U$11:$U$250</definedName>
    <definedName name="cumule2">[45]Balance!#REF!</definedName>
    <definedName name="CURRCALC">#N/A</definedName>
    <definedName name="CURRCONV">#N/A</definedName>
    <definedName name="Currency" localSheetId="1">#REF!</definedName>
    <definedName name="Currency">#REF!</definedName>
    <definedName name="Currency_BSThreshold">[46]대차대조표!$I$3</definedName>
    <definedName name="Currency_PLThreshold">[46]손익계산서!$H$3</definedName>
    <definedName name="Current_Month" localSheetId="1">#REF!</definedName>
    <definedName name="Current_Month">#REF!</definedName>
    <definedName name="Current_Month_SvcCharge" localSheetId="1">#REF!</definedName>
    <definedName name="Current_Month_SvcCharge">#REF!</definedName>
    <definedName name="Current_Year" localSheetId="1">#REF!</definedName>
    <definedName name="Current_Year">#REF!</definedName>
    <definedName name="CURRTEXT">#N/A</definedName>
    <definedName name="CY_all_Assets">#REF!</definedName>
    <definedName name="CY_all_Equity">#REF!</definedName>
    <definedName name="CY_all_Income">#REF!</definedName>
    <definedName name="CY_all_Liabs">#REF!</definedName>
    <definedName name="CY_all_RetEarn_bf">#REF!</definedName>
    <definedName name="CY_knw_Assets">#REF!</definedName>
    <definedName name="CY_knw_Equity">#REF!</definedName>
    <definedName name="CY_knw_Income">#REF!</definedName>
    <definedName name="CY_knw_Liabs">#REF!</definedName>
    <definedName name="CY_knw_RetEarn_bf">#REF!</definedName>
    <definedName name="CY_lik_Equity">#REF!</definedName>
    <definedName name="CY_tx_all_Equity">#REF!</definedName>
    <definedName name="CY_tx_all_Income">#REF!</definedName>
    <definedName name="CY_tx_all_RetEarn_bf">#REF!</definedName>
    <definedName name="CY_tx_knw_Equity">#REF!</definedName>
    <definedName name="CY_tx_knw_Income">#REF!</definedName>
    <definedName name="CY_tx_knw_Liabs">#REF!</definedName>
    <definedName name="CY_tx_knw_RetEarn_bf">#REF!</definedName>
    <definedName name="d" localSheetId="6">'CF(M)'!d</definedName>
    <definedName name="d" localSheetId="7">Key!d</definedName>
    <definedName name="d" localSheetId="3">RE!d</definedName>
    <definedName name="D" localSheetId="1">#REF!</definedName>
    <definedName name="d">[0]!d</definedName>
    <definedName name="DATA" localSheetId="1">#REF!</definedName>
    <definedName name="DATA">#REF!</definedName>
    <definedName name="DATA1">#REF!</definedName>
    <definedName name="_xlnm.Database" localSheetId="1">#REF!</definedName>
    <definedName name="_xlnm.Database">#REF!</definedName>
    <definedName name="Date">[22]Balance!$B$1</definedName>
    <definedName name="Davinci_AnnFee_ofBuyAcq" localSheetId="1">#REF!</definedName>
    <definedName name="Davinci_AnnFee_ofBuyAcq">#REF!</definedName>
    <definedName name="Davinci_AnnFee_ofGrossRev" localSheetId="1">#REF!</definedName>
    <definedName name="Davinci_AnnFee_ofGrossRev">#REF!</definedName>
    <definedName name="DB">#REF!</definedName>
    <definedName name="DB_AC">#REF!</definedName>
    <definedName name="dbswhdgusdbswhdgus" localSheetId="6">'CF(M)'!dbswhdgusdbswhdgus</definedName>
    <definedName name="dbswhdgusdbswhdgus" localSheetId="7">Key!dbswhdgusdbswhdgus</definedName>
    <definedName name="dbswhdgusdbswhdgus" localSheetId="3">RE!dbswhdgusdbswhdgus</definedName>
    <definedName name="dbswhdgusdbswhdgus">[0]!dbswhdgusdbswhdgus</definedName>
    <definedName name="dd" localSheetId="1">'[16]Initial Input Variable'!#REF!</definedName>
    <definedName name="dd">'[17]Initial Input Variable'!#REF!</definedName>
    <definedName name="ddd" localSheetId="1">#REF!</definedName>
    <definedName name="DDD">#REF!</definedName>
    <definedName name="dddd" localSheetId="1">[35]노무비!#REF!</definedName>
    <definedName name="dddd">[35]노무비!#REF!</definedName>
    <definedName name="dddddddddddddddd" localSheetId="6">'CF(M)'!dddddddddddddddd</definedName>
    <definedName name="dddddddddddddddd" localSheetId="7">Key!dddddddddddddddd</definedName>
    <definedName name="dddddddddddddddd" localSheetId="3">RE!dddddddddddddddd</definedName>
    <definedName name="dddddddddddddddd">[0]!dddddddddddddddd</definedName>
    <definedName name="ddddddddddddddddddddd" localSheetId="6">'CF(M)'!ddddddddddddddddddddd</definedName>
    <definedName name="ddddddddddddddddddddd" localSheetId="7">Key!ddddddddddddddddddddd</definedName>
    <definedName name="ddddddddddddddddddddd" localSheetId="3">RE!ddddddddddddddddddddd</definedName>
    <definedName name="ddddddddddddddddddddd">[0]!ddddddddddddddddddddd</definedName>
    <definedName name="ddddddddddddddddddddddddd" localSheetId="6">'CF(M)'!ddddddddddddddddddddddddd</definedName>
    <definedName name="ddddddddddddddddddddddddd" localSheetId="7">Key!ddddddddddddddddddddddddd</definedName>
    <definedName name="ddddddddddddddddddddddddd" localSheetId="3">RE!ddddddddddddddddddddddddd</definedName>
    <definedName name="ddddddddddddddddddddddddd">[0]!ddddddddddddddddddddddddd</definedName>
    <definedName name="dddddddddddddddddddddddddddddddddd" localSheetId="6">'CF(M)'!dddddddddddddddddddddddddddddddddd</definedName>
    <definedName name="dddddddddddddddddddddddddddddddddd" localSheetId="7">Key!dddddddddddddddddddddddddddddddddd</definedName>
    <definedName name="dddddddddddddddddddddddddddddddddd" localSheetId="3">RE!dddddddddddddddddddddddddddddddddd</definedName>
    <definedName name="dddddddddddddddddddddddddddddddddd">[0]!dddddddddddddddddddddddddddddddddd</definedName>
    <definedName name="Deal_Name" localSheetId="1">[11]Assumption!$B$3</definedName>
    <definedName name="Deal_Name">[12]Assumption!$B$3</definedName>
    <definedName name="Debt_BreakFee" localSheetId="1">#REF!</definedName>
    <definedName name="Debt_BreakFee">#REF!</definedName>
    <definedName name="Debt_Ratio" localSheetId="1">#REF!</definedName>
    <definedName name="Debt_Ratio">#REF!</definedName>
    <definedName name="DebtType">'[47]Forum DB'!$AA$6:$AA$619</definedName>
    <definedName name="deduction" localSheetId="1">[41]Deduction!$A$2:$G$250</definedName>
    <definedName name="deduction">[42]Deduction!$A$2:$G$250</definedName>
    <definedName name="Deloitte.">'[48]S&amp;R'!$M$1</definedName>
    <definedName name="DELPHONE">#N/A</definedName>
    <definedName name="deposit">#REF!</definedName>
    <definedName name="Depreciation" localSheetId="1">#REF!</definedName>
    <definedName name="Depreciation">#REF!</definedName>
    <definedName name="detailbalance">[31]Balance!$O$9:$P$491</definedName>
    <definedName name="detteis">[31]DETBIL!$E$316</definedName>
    <definedName name="DF" localSheetId="6" hidden="1">{#N/A,#N/A,FALSE,"Aging Summary";#N/A,#N/A,FALSE,"Ratio Analysis";#N/A,#N/A,FALSE,"Test 120 Day Accts";#N/A,#N/A,FALSE,"Tickmarks"}</definedName>
    <definedName name="DF" localSheetId="7" hidden="1">{#N/A,#N/A,FALSE,"Aging Summary";#N/A,#N/A,FALSE,"Ratio Analysis";#N/A,#N/A,FALSE,"Test 120 Day Accts";#N/A,#N/A,FALSE,"Tickmarks"}</definedName>
    <definedName name="DF" localSheetId="3" hidden="1">{#N/A,#N/A,FALSE,"Aging Summary";#N/A,#N/A,FALSE,"Ratio Analysis";#N/A,#N/A,FALSE,"Test 120 Day Accts";#N/A,#N/A,FALSE,"Tickmarks"}</definedName>
    <definedName name="DF" localSheetId="1" hidden="1">{#N/A,#N/A,FALSE,"Aging Summary";#N/A,#N/A,FALSE,"Ratio Analysis";#N/A,#N/A,FALSE,"Test 120 Day Accts";#N/A,#N/A,FALSE,"Tickmarks"}</definedName>
    <definedName name="DF" hidden="1">{#N/A,#N/A,FALSE,"Aging Summary";#N/A,#N/A,FALSE,"Ratio Analysis";#N/A,#N/A,FALSE,"Test 120 Day Accts";#N/A,#N/A,FALSE,"Tickmarks"}</definedName>
    <definedName name="dfadfdddddddddddddddddddddddd" localSheetId="6">'CF(M)'!dfadfdddddddddddddddddddddddd</definedName>
    <definedName name="dfadfdddddddddddddddddddddddd" localSheetId="7">Key!dfadfdddddddddddddddddddddddd</definedName>
    <definedName name="dfadfdddddddddddddddddddddddd" localSheetId="3">RE!dfadfdddddddddddddddddddddddd</definedName>
    <definedName name="dfadfdddddddddddddddddddddddd">[0]!dfadfdddddddddddddddddddddddd</definedName>
    <definedName name="DFDF" localSheetId="6" hidden="1">{#N/A,#N/A,FALSE,"Aging Summary";#N/A,#N/A,FALSE,"Ratio Analysis";#N/A,#N/A,FALSE,"Test 120 Day Accts";#N/A,#N/A,FALSE,"Tickmarks"}</definedName>
    <definedName name="DFDF" localSheetId="7" hidden="1">{#N/A,#N/A,FALSE,"Aging Summary";#N/A,#N/A,FALSE,"Ratio Analysis";#N/A,#N/A,FALSE,"Test 120 Day Accts";#N/A,#N/A,FALSE,"Tickmarks"}</definedName>
    <definedName name="DFDF" localSheetId="3" hidden="1">{#N/A,#N/A,FALSE,"Aging Summary";#N/A,#N/A,FALSE,"Ratio Analysis";#N/A,#N/A,FALSE,"Test 120 Day Accts";#N/A,#N/A,FALSE,"Tickmarks"}</definedName>
    <definedName name="DFDF" localSheetId="1" hidden="1">{#N/A,#N/A,FALSE,"Aging Summary";#N/A,#N/A,FALSE,"Ratio Analysis";#N/A,#N/A,FALSE,"Test 120 Day Accts";#N/A,#N/A,FALSE,"Tickmarks"}</definedName>
    <definedName name="DFDF" hidden="1">{#N/A,#N/A,FALSE,"Aging Summary";#N/A,#N/A,FALSE,"Ratio Analysis";#N/A,#N/A,FALSE,"Test 120 Day Accts";#N/A,#N/A,FALSE,"Tickmarks"}</definedName>
    <definedName name="dfgasd">[49]노무비!#REF!</definedName>
    <definedName name="dhdhdh" localSheetId="1">'[18]인원계획-미화'!#REF!</definedName>
    <definedName name="dhdhdh">'[19]인원계획-미화'!#REF!</definedName>
    <definedName name="Discount_Factor" localSheetId="1">#REF!</definedName>
    <definedName name="Discount_Factor">#REF!</definedName>
    <definedName name="Discount_Period" localSheetId="1">#REF!</definedName>
    <definedName name="Discount_Period">#REF!</definedName>
    <definedName name="DistProceeds10Y1">#REF!</definedName>
    <definedName name="DistProceeds10Y10">#REF!</definedName>
    <definedName name="DistProceeds10Y11">#REF!</definedName>
    <definedName name="DistProceeds10Y12">#REF!</definedName>
    <definedName name="DistProceeds10Y13">#REF!</definedName>
    <definedName name="DistProceeds10Y14">#REF!</definedName>
    <definedName name="DistProceeds10Y15">#REF!</definedName>
    <definedName name="DistProceeds10Y16">#REF!</definedName>
    <definedName name="DistProceeds10Y17">#REF!</definedName>
    <definedName name="DistProceeds10Y18">#REF!</definedName>
    <definedName name="DistProceeds10Y19">#REF!</definedName>
    <definedName name="DistProceeds10Y2">#REF!</definedName>
    <definedName name="DistProceeds10Y20">#REF!</definedName>
    <definedName name="DistProceeds10Y3">#REF!</definedName>
    <definedName name="DistProceeds10Y4">#REF!</definedName>
    <definedName name="DistProceeds10Y5">#REF!</definedName>
    <definedName name="DistProceeds10Y6">#REF!</definedName>
    <definedName name="DistProceeds10Y7">#REF!</definedName>
    <definedName name="DistProceeds10Y8">#REF!</definedName>
    <definedName name="DistProceeds10Y9">#REF!</definedName>
    <definedName name="DJQAN" localSheetId="6" hidden="1">{#N/A,#N/A,TRUE,"대 차 대 조 표"}</definedName>
    <definedName name="DJQAN" localSheetId="7" hidden="1">{#N/A,#N/A,TRUE,"대 차 대 조 표"}</definedName>
    <definedName name="DJQAN" localSheetId="3" hidden="1">{#N/A,#N/A,TRUE,"대 차 대 조 표"}</definedName>
    <definedName name="DJQAN" localSheetId="1" hidden="1">{#N/A,#N/A,TRUE,"대 차 대 조 표"}</definedName>
    <definedName name="DJQAN" hidden="1">{#N/A,#N/A,TRUE,"대 차 대 조 표"}</definedName>
    <definedName name="DNFL" localSheetId="6" hidden="1">{#N/A,#N/A,FALSE,"동부"}</definedName>
    <definedName name="DNFL" localSheetId="7" hidden="1">{#N/A,#N/A,FALSE,"동부"}</definedName>
    <definedName name="DNFL" localSheetId="3" hidden="1">{#N/A,#N/A,FALSE,"동부"}</definedName>
    <definedName name="DNFL" hidden="1">{#N/A,#N/A,FALSE,"동부"}</definedName>
    <definedName name="DOCS">#N/A</definedName>
    <definedName name="Dongjin" localSheetId="1">#N/A</definedName>
    <definedName name="Dongjin">[50]!Dongjin</definedName>
    <definedName name="dsaldasdl">#REF!</definedName>
    <definedName name="dwqerdqw">#REF!</definedName>
    <definedName name="dyna" localSheetId="1">#REF!</definedName>
    <definedName name="dyna">#REF!</definedName>
    <definedName name="Dyna_Process" localSheetId="1">#REF!</definedName>
    <definedName name="Dyna_Process">#REF!</definedName>
    <definedName name="E">#REF!</definedName>
    <definedName name="ECOF" localSheetId="1">[11]Assumption!$B$16</definedName>
    <definedName name="ECOF">[12]Assumption!$B$16</definedName>
    <definedName name="ee" localSheetId="1">'[16]Initial Input Variable'!#REF!</definedName>
    <definedName name="ee">'[17]Initial Input Variable'!#REF!</definedName>
    <definedName name="EEC">#N/A</definedName>
    <definedName name="Effective_Tax_Rate">#REF!</definedName>
    <definedName name="EMEABUDGET">#REF!</definedName>
    <definedName name="EMEASUMMARY">#REF!</definedName>
    <definedName name="EntryYield" localSheetId="1">#REF!</definedName>
    <definedName name="EntryYield">#REF!</definedName>
    <definedName name="EntryYield_GoalSeek" localSheetId="1">#REF!</definedName>
    <definedName name="EntryYield_GoalSeek">#REF!</definedName>
    <definedName name="esc">#REF!</definedName>
    <definedName name="esc_rent">#REF!</definedName>
    <definedName name="esc_rent_gic">#REF!</definedName>
    <definedName name="escalation">#REF!</definedName>
    <definedName name="Escalation_Rate" localSheetId="1">[11]Assumption!$B$22</definedName>
    <definedName name="Escalation_Rate">[12]Assumption!$B$22</definedName>
    <definedName name="ex" localSheetId="1">[51]Area!$AA$3</definedName>
    <definedName name="ex">[52]Area!$AA$3</definedName>
    <definedName name="Exchange_Rate" localSheetId="1">[11]Assumption!$B$4</definedName>
    <definedName name="Exchange_Rate">[12]Assumption!$B$4</definedName>
    <definedName name="EXCLUDE">#N/A</definedName>
    <definedName name="Exit_Cap" localSheetId="1">[11]Assumption!$B$5</definedName>
    <definedName name="Exit_Cap">[12]Assumption!$B$5</definedName>
    <definedName name="Exit_Cost" localSheetId="1">#REF!</definedName>
    <definedName name="Exit_Cost">#REF!</definedName>
    <definedName name="Exit_Date" localSheetId="1">#REF!</definedName>
    <definedName name="Exit_Date">#REF!</definedName>
    <definedName name="Exit_Price" localSheetId="1">#REF!</definedName>
    <definedName name="Exit_Price">#REF!</definedName>
    <definedName name="Exit_Reversion" localSheetId="1">#REF!</definedName>
    <definedName name="Exit_Reversion">#REF!</definedName>
    <definedName name="Exit_Term" localSheetId="1">#REF!</definedName>
    <definedName name="Exit_Term">#REF!</definedName>
    <definedName name="ExpandOutputs">[28]!ExpandOutputs</definedName>
    <definedName name="ExpandVPeriods">[28]!ExpandVPeriods</definedName>
    <definedName name="Expected_Error_Rate">#REF!</definedName>
    <definedName name="Expenses" localSheetId="1">#REF!</definedName>
    <definedName name="Expenses">#REF!</definedName>
    <definedName name="ExportFile">[28]!ExportFile</definedName>
    <definedName name="ExportFile1111" localSheetId="6">'CF(M)'!ExportFile1111</definedName>
    <definedName name="ExportFile1111" localSheetId="7">Key!ExportFile1111</definedName>
    <definedName name="ExportFile1111" localSheetId="3">RE!ExportFile1111</definedName>
    <definedName name="ExportFile1111">[0]!ExportFile1111</definedName>
    <definedName name="Exportfile12345" localSheetId="6">'CF(M)'!Exportfile12345</definedName>
    <definedName name="Exportfile12345" localSheetId="7">Key!Exportfile12345</definedName>
    <definedName name="Exportfile12345" localSheetId="3">RE!Exportfile12345</definedName>
    <definedName name="Exportfile12345">[0]!Exportfile12345</definedName>
    <definedName name="External_Renovation" localSheetId="1">#REF!</definedName>
    <definedName name="External_Renovation">#REF!</definedName>
    <definedName name="_xlnm.Extract">#REF!</definedName>
    <definedName name="f" localSheetId="1" hidden="1">{#N/A,#N/A,FALSE,"BS";#N/A,#N/A,FALSE,"PL";#N/A,#N/A,FALSE,"처분";#N/A,#N/A,FALSE,"현금";#N/A,#N/A,FALSE,"매출";#N/A,#N/A,FALSE,"원가";#N/A,#N/A,FALSE,"경영"}</definedName>
    <definedName name="f">[53]시설총괄!#REF!</definedName>
    <definedName name="F_123">[28]!F_123</definedName>
    <definedName name="Factor">#REF!</definedName>
    <definedName name="FA증감">#REF!</definedName>
    <definedName name="FD" localSheetId="6" hidden="1">{#N/A,#N/A,FALSE,"Aging Summary";#N/A,#N/A,FALSE,"Ratio Analysis";#N/A,#N/A,FALSE,"Test 120 Day Accts";#N/A,#N/A,FALSE,"Tickmarks"}</definedName>
    <definedName name="FD" localSheetId="7" hidden="1">{#N/A,#N/A,FALSE,"Aging Summary";#N/A,#N/A,FALSE,"Ratio Analysis";#N/A,#N/A,FALSE,"Test 120 Day Accts";#N/A,#N/A,FALSE,"Tickmarks"}</definedName>
    <definedName name="FD" localSheetId="3" hidden="1">{#N/A,#N/A,FALSE,"Aging Summary";#N/A,#N/A,FALSE,"Ratio Analysis";#N/A,#N/A,FALSE,"Test 120 Day Accts";#N/A,#N/A,FALSE,"Tickmarks"}</definedName>
    <definedName name="FD" localSheetId="1" hidden="1">{#N/A,#N/A,FALSE,"Aging Summary";#N/A,#N/A,FALSE,"Ratio Analysis";#N/A,#N/A,FALSE,"Test 120 Day Accts";#N/A,#N/A,FALSE,"Tickmarks"}</definedName>
    <definedName name="FD" hidden="1">{#N/A,#N/A,FALSE,"Aging Summary";#N/A,#N/A,FALSE,"Ratio Analysis";#N/A,#N/A,FALSE,"Test 120 Day Accts";#N/A,#N/A,FALSE,"Tickmarks"}</definedName>
    <definedName name="FDFD"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f">[28]!fdff</definedName>
    <definedName name="fdsgsd">'[54]S&amp;R'!$F$51</definedName>
    <definedName name="FeesHiddenIndex">'[20]B (Controls)'!$E$79</definedName>
    <definedName name="fewfwfw">#REF!</definedName>
    <definedName name="ff" localSheetId="1">'[16]Initial Input Variable'!#REF!</definedName>
    <definedName name="ff">'[17]Initial Input Variable'!#REF!</definedName>
    <definedName name="fff"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gfgd">[28]!ffgfgd</definedName>
    <definedName name="FINAL_FS">[28]!FINAL_FS</definedName>
    <definedName name="finalReport">[28]!finalReport</definedName>
    <definedName name="Financing_Fee" localSheetId="1">#REF!</definedName>
    <definedName name="Financing_Fee">#REF!</definedName>
    <definedName name="FirstFinYearEnd" localSheetId="1">[55]재무가정!$H$13</definedName>
    <definedName name="FirstFinYearEnd">[56]재무가정!$H$13</definedName>
    <definedName name="fljkod" localSheetId="6" hidden="1">{#N/A,#N/A,FALSE,"이력서&amp;자기소개서"}</definedName>
    <definedName name="fljkod" localSheetId="7" hidden="1">{#N/A,#N/A,FALSE,"이력서&amp;자기소개서"}</definedName>
    <definedName name="fljkod" localSheetId="3" hidden="1">{#N/A,#N/A,FALSE,"이력서&amp;자기소개서"}</definedName>
    <definedName name="fljkod" hidden="1">{#N/A,#N/A,FALSE,"이력서&amp;자기소개서"}</definedName>
    <definedName name="Floors" localSheetId="1">#REF!</definedName>
    <definedName name="Floors">#REF!</definedName>
    <definedName name="FM계약일할" localSheetId="6" hidden="1">{#N/A,#N/A,TRUE,"대 차 대 조 표"}</definedName>
    <definedName name="FM계약일할" localSheetId="7" hidden="1">{#N/A,#N/A,TRUE,"대 차 대 조 표"}</definedName>
    <definedName name="FM계약일할" localSheetId="3" hidden="1">{#N/A,#N/A,TRUE,"대 차 대 조 표"}</definedName>
    <definedName name="FM계약일할" localSheetId="1" hidden="1">{#N/A,#N/A,TRUE,"대 차 대 조 표"}</definedName>
    <definedName name="FM계약일할" hidden="1">{#N/A,#N/A,TRUE,"대 차 대 조 표"}</definedName>
    <definedName name="fournimmo">[31]DETBIL!$E$323</definedName>
    <definedName name="G">#REF!</definedName>
    <definedName name="GALP" localSheetId="1">[11]Assumption!#REF!</definedName>
    <definedName name="GALP">[12]Assumption!#REF!</definedName>
    <definedName name="GDF" hidden="1">#REF!</definedName>
    <definedName name="GE_Share" localSheetId="1">[11]Assumption!$B$18</definedName>
    <definedName name="GE_Share">[12]Assumption!$B$18</definedName>
    <definedName name="GECC_Share" localSheetId="1">[57]Assumption!$B$18</definedName>
    <definedName name="GECC_Share">[58]Assumption!$B$18</definedName>
    <definedName name="GEMCO" hidden="1">#N/A</definedName>
    <definedName name="General">[1]General!$A$1:$J$557</definedName>
    <definedName name="GFA" localSheetId="1">#REF!</definedName>
    <definedName name="GFA">'[59]Operating Summary'!$F$4</definedName>
    <definedName name="GFA_Before" localSheetId="1">#REF!</definedName>
    <definedName name="GFA_Before">#REF!</definedName>
    <definedName name="GFACJ" localSheetId="1">'[60]2004CJ'!$I$1</definedName>
    <definedName name="GFACJ">'[61]2004CJ'!$I$1</definedName>
    <definedName name="gg" localSheetId="1">'[16]Initial Input Variable'!#REF!</definedName>
    <definedName name="gg">'[17]Initial Input Variable'!#REF!</definedName>
    <definedName name="GLALS" localSheetId="6">'CF(M)'!GLALS</definedName>
    <definedName name="GLALS" localSheetId="7">Key!GLALS</definedName>
    <definedName name="GLALS" localSheetId="3">RE!GLALS</definedName>
    <definedName name="GLALS">[0]!GLALS</definedName>
    <definedName name="GRADE">#N/A</definedName>
    <definedName name="Graph" localSheetId="1">#REF!</definedName>
    <definedName name="Graph">#REF!</definedName>
    <definedName name="GROUP">#N/A</definedName>
    <definedName name="GrowthRateLookup">'[43]B (Controls)'!$L$13:$Q$13</definedName>
    <definedName name="GrowthRateLookupYear">'[43]B (Controls)'!$L$8:$Q$8</definedName>
    <definedName name="GVF">[50]!GVF</definedName>
    <definedName name="H">#REF!</definedName>
    <definedName name="hardwar" hidden="1">#N/A</definedName>
    <definedName name="Hedge_Cost" localSheetId="1">#REF!</definedName>
    <definedName name="Hedge_Cost">#REF!</definedName>
    <definedName name="hgc" localSheetId="6" hidden="1">{#N/A,#N/A,TRUE,"대 차 대 조 표"}</definedName>
    <definedName name="hgc" localSheetId="7" hidden="1">{#N/A,#N/A,TRUE,"대 차 대 조 표"}</definedName>
    <definedName name="hgc" localSheetId="3" hidden="1">{#N/A,#N/A,TRUE,"대 차 대 조 표"}</definedName>
    <definedName name="hgc" localSheetId="1" hidden="1">{#N/A,#N/A,TRUE,"대 차 대 조 표"}</definedName>
    <definedName name="hgc" hidden="1">{#N/A,#N/A,TRUE,"대 차 대 조 표"}</definedName>
    <definedName name="hh" localSheetId="1">'[16]Initial Input Variable'!#REF!</definedName>
    <definedName name="hh">'[17]Initial Input Variable'!#REF!</definedName>
    <definedName name="hhh" localSheetId="1">'[18]인원계획-미화'!#REF!</definedName>
    <definedName name="hhh">'[19]인원계획-미화'!#REF!</definedName>
    <definedName name="hhhhhhhh">[35]노무비!#REF!</definedName>
    <definedName name="HJ" hidden="1">#REF!</definedName>
    <definedName name="HOCREDFLAG">#N/A</definedName>
    <definedName name="HOCREDSTOP">#N/A</definedName>
    <definedName name="Hold_Year" localSheetId="1">#REF!</definedName>
    <definedName name="Hold_Year">#REF!</definedName>
    <definedName name="HOMEXP">#N/A</definedName>
    <definedName name="HOPHONE">#N/A</definedName>
    <definedName name="HOREF">#N/A</definedName>
    <definedName name="HOSAN">#N/A</definedName>
    <definedName name="HOUSECODE">#N/A</definedName>
    <definedName name="HOVATCODE">#N/A</definedName>
    <definedName name="HOVATRATE">#N/A</definedName>
    <definedName name="HOZIP">#N/A</definedName>
    <definedName name="HTML_CodePage" hidden="1">949</definedName>
    <definedName name="HTML_Control" localSheetId="6" hidden="1">{"'Sheet1'!$E$7"}</definedName>
    <definedName name="HTML_Control" localSheetId="7" hidden="1">{"'Sheet1'!$E$7"}</definedName>
    <definedName name="HTML_Control" localSheetId="3" hidden="1">{"'Sheet1'!$E$7"}</definedName>
    <definedName name="HTML_Control" localSheetId="1">{"'Sheet1'!$E$7"}</definedName>
    <definedName name="HTML_Control" hidden="1">{"'Sheet1'!$E$7"}</definedName>
    <definedName name="HTML_Description" hidden="1">""</definedName>
    <definedName name="HTML_Email" hidden="1">""</definedName>
    <definedName name="HTML_Header" hidden="1">"Sheet1"</definedName>
    <definedName name="HTML_LastUpdate" hidden="1">"01-02-01"</definedName>
    <definedName name="HTML_LineAfter" hidden="1">FALSE</definedName>
    <definedName name="HTML_LineBefore" hidden="1">FALSE</definedName>
    <definedName name="HTML_Name" hidden="1">"기획-25"</definedName>
    <definedName name="HTML_OBDlg2" hidden="1">TRUE</definedName>
    <definedName name="HTML_OBDlg4" hidden="1">TRUE</definedName>
    <definedName name="HTML_OS" hidden="1">0</definedName>
    <definedName name="HTML_PathFile" hidden="1">"C:\My Documents\산업단지.htm"</definedName>
    <definedName name="HTML_Title" hidden="1">"s5-5산업 및 경제"</definedName>
    <definedName name="I">#REF!</definedName>
    <definedName name="id" localSheetId="1">[62]Id!$A$3:$BD$202</definedName>
    <definedName name="id">[63]Id!$A$3:$BD$202</definedName>
    <definedName name="IFCalc10Rev1">'[20]A (Calcs)'!$J$41</definedName>
    <definedName name="IFCalc10Rev10">'[20]A (Calcs)'!$J$50</definedName>
    <definedName name="IFCalc10Rev11">'[20]A (Calcs)'!$J$51</definedName>
    <definedName name="IFCalc10Rev12">'[20]A (Calcs)'!$J$52</definedName>
    <definedName name="IFCalc10Rev13">'[20]A (Calcs)'!$J$53</definedName>
    <definedName name="IFCalc10Rev14">'[20]A (Calcs)'!$J$54</definedName>
    <definedName name="IFCalc10Rev15">'[20]A (Calcs)'!$J$55</definedName>
    <definedName name="IFCalc10Rev16">'[20]A (Calcs)'!$J$56</definedName>
    <definedName name="IFCalc10Rev17">'[20]A (Calcs)'!$J$57</definedName>
    <definedName name="IFCalc10Rev18">'[20]A (Calcs)'!$J$58</definedName>
    <definedName name="IFCalc10Rev19">'[20]A (Calcs)'!$J$59</definedName>
    <definedName name="IFCalc10Rev2">'[20]A (Calcs)'!$J$42</definedName>
    <definedName name="IFCalc10Rev20">'[20]A (Calcs)'!$J$60</definedName>
    <definedName name="IFCalc10Rev3">'[20]A (Calcs)'!$J$43</definedName>
    <definedName name="IFCalc10Rev4">'[20]A (Calcs)'!$J$44</definedName>
    <definedName name="IFCalc10Rev5">'[20]A (Calcs)'!$J$45</definedName>
    <definedName name="IFCalc10Rev6">'[20]A (Calcs)'!$J$46</definedName>
    <definedName name="IFCalc10Rev7">'[20]A (Calcs)'!$J$47</definedName>
    <definedName name="IFCalc10Rev8">'[20]A (Calcs)'!$J$48</definedName>
    <definedName name="IFCalc10Rev9">'[20]A (Calcs)'!$J$49</definedName>
    <definedName name="ii" localSheetId="1">'[16]Initial Input Variable'!#REF!</definedName>
    <definedName name="ii">'[17]Initial Input Variable'!#REF!</definedName>
    <definedName name="import" localSheetId="6">'CF(M)'!import</definedName>
    <definedName name="import" localSheetId="7">Key!import</definedName>
    <definedName name="import" localSheetId="3">RE!import</definedName>
    <definedName name="import" localSheetId="1">[28]!import</definedName>
    <definedName name="import">[0]!import</definedName>
    <definedName name="ImportFile">[28]!ImportFile</definedName>
    <definedName name="Importfileeeeeeeeee" localSheetId="6">'CF(M)'!Importfileeeeeeeeee</definedName>
    <definedName name="Importfileeeeeeeeee" localSheetId="7">Key!Importfileeeeeeeeee</definedName>
    <definedName name="Importfileeeeeeeeee" localSheetId="3">RE!Importfileeeeeeeeee</definedName>
    <definedName name="Importfileeeeeeeeee">[0]!Importfileeeeeeeeee</definedName>
    <definedName name="IncentiveFee10Rev1">'[64]1 Cash Flow Analysis'!$E$102</definedName>
    <definedName name="IncentiveFee10Rev10">'[64]1 Cash Flow Analysis'!$N$102</definedName>
    <definedName name="IncentiveFee10Rev11">'[64]1 Cash Flow Analysis'!$O$102</definedName>
    <definedName name="IncentiveFee10Rev12">'[64]1 Cash Flow Analysis'!$P$102</definedName>
    <definedName name="IncentiveFee10Rev13">'[64]1 Cash Flow Analysis'!$Q$102</definedName>
    <definedName name="IncentiveFee10Rev14">'[64]1 Cash Flow Analysis'!$R$102</definedName>
    <definedName name="IncentiveFee10Rev15">'[64]1 Cash Flow Analysis'!$S$102</definedName>
    <definedName name="IncentiveFee10Rev16">'[64]1 Cash Flow Analysis'!$T$102</definedName>
    <definedName name="IncentiveFee10Rev17">'[64]1 Cash Flow Analysis'!$U$102</definedName>
    <definedName name="IncentiveFee10Rev18">'[64]1 Cash Flow Analysis'!$V$102</definedName>
    <definedName name="IncentiveFee10Rev19">'[64]1 Cash Flow Analysis'!$W$102</definedName>
    <definedName name="IncentiveFee10Rev2">'[64]1 Cash Flow Analysis'!$F$102</definedName>
    <definedName name="IncentiveFee10Rev20">'[64]1 Cash Flow Analysis'!$X$102</definedName>
    <definedName name="IncentiveFee10Rev3">'[64]1 Cash Flow Analysis'!$G$102</definedName>
    <definedName name="IncentiveFee10Rev4">'[64]1 Cash Flow Analysis'!$H$102</definedName>
    <definedName name="IncentiveFee10Rev5">'[64]1 Cash Flow Analysis'!$I$102</definedName>
    <definedName name="IncentiveFee10Rev6">'[64]1 Cash Flow Analysis'!$J$102</definedName>
    <definedName name="IncentiveFee10Rev7">'[64]1 Cash Flow Analysis'!$K$102</definedName>
    <definedName name="IncentiveFee10Rev8">'[64]1 Cash Flow Analysis'!$L$102</definedName>
    <definedName name="IncentiveFee10Rev9">'[64]1 Cash Flow Analysis'!$M$102</definedName>
    <definedName name="IncFee">'[43]B (Controls)'!$E$86</definedName>
    <definedName name="income" localSheetId="1">#REF!</definedName>
    <definedName name="income">#REF!</definedName>
    <definedName name="IncomeData">[44]IncomeData!$A$1:$FB$65536</definedName>
    <definedName name="ini_button_Click">[28]!ini_button_Click</definedName>
    <definedName name="Installment_1" localSheetId="1">#REF!</definedName>
    <definedName name="Installment_1">#REF!</definedName>
    <definedName name="Installment_2" localSheetId="1">#REF!</definedName>
    <definedName name="Installment_2">#REF!</definedName>
    <definedName name="Installment_3" localSheetId="1">#REF!</definedName>
    <definedName name="Installment_3">#REF!</definedName>
    <definedName name="Installment_4" localSheetId="1">#REF!</definedName>
    <definedName name="Installment_4">#REF!</definedName>
    <definedName name="Installment_5" localSheetId="1">#REF!</definedName>
    <definedName name="Installment_5">#REF!</definedName>
    <definedName name="Instructions">[1]Instructions!$A$1:$C$67</definedName>
    <definedName name="Interest_Reserve" localSheetId="1">#REF!</definedName>
    <definedName name="Interest_Reserve">#REF!</definedName>
    <definedName name="InterestOnlyNoteIndex">'[20]B (Controls)'!$E$74</definedName>
    <definedName name="Internal_Renovation" localSheetId="1">#REF!</definedName>
    <definedName name="Internal_Renovation">#REF!</definedName>
    <definedName name="INVDATE">#N/A</definedName>
    <definedName name="INVNUM">#N/A</definedName>
    <definedName name="IS_C">#REF!</definedName>
    <definedName name="Japan_IncTax" localSheetId="1">#REF!</definedName>
    <definedName name="Japan_IncTax">#REF!</definedName>
    <definedName name="Japan_WHT" localSheetId="1">#REF!</definedName>
    <definedName name="Japan_WHT">#REF!</definedName>
    <definedName name="jj" localSheetId="1">'[16]Initial Input Variable'!#REF!</definedName>
    <definedName name="jj">'[17]Initial Input Variable'!#REF!</definedName>
    <definedName name="jkljk" localSheetId="6" hidden="1">{#N/A,#N/A,FALSE,"이력서&amp;자기소개서"}</definedName>
    <definedName name="jkljk" localSheetId="7" hidden="1">{#N/A,#N/A,FALSE,"이력서&amp;자기소개서"}</definedName>
    <definedName name="jkljk" localSheetId="3" hidden="1">{#N/A,#N/A,FALSE,"이력서&amp;자기소개서"}</definedName>
    <definedName name="jkljk" hidden="1">{#N/A,#N/A,FALSE,"이력서&amp;자기소개서"}</definedName>
    <definedName name="job_run">[28]!job_run</definedName>
    <definedName name="journal">[65]Journal!$A$3:$A$233</definedName>
    <definedName name="journalcredit">[65]Journal!$D$3:$D$233</definedName>
    <definedName name="journaldebit">[65]Journal!$C$3:$C$233</definedName>
    <definedName name="jw.pl">#REF!</definedName>
    <definedName name="k" localSheetId="6" hidden="1">{#N/A,#N/A,TRUE,"대 차 대 조 표"}</definedName>
    <definedName name="k" localSheetId="7" hidden="1">{#N/A,#N/A,TRUE,"대 차 대 조 표"}</definedName>
    <definedName name="k" localSheetId="3" hidden="1">{#N/A,#N/A,TRUE,"대 차 대 조 표"}</definedName>
    <definedName name="k" localSheetId="1">[28]!k</definedName>
    <definedName name="k" hidden="1">{#N/A,#N/A,TRUE,"대 차 대 조 표"}</definedName>
    <definedName name="Key_AcqCost" localSheetId="1">#REF!</definedName>
    <definedName name="Key_AcqCost">#REF!</definedName>
    <definedName name="Key_BuyPrice_Option" localSheetId="1">#REF!</definedName>
    <definedName name="Key_BuyPrice_Option">#REF!</definedName>
    <definedName name="Key_CapEx" localSheetId="1">#REF!</definedName>
    <definedName name="Key_CapEx">#REF!</definedName>
    <definedName name="Key_DebtRatio" localSheetId="1">#REF!</definedName>
    <definedName name="Key_DebtRatio">#REF!</definedName>
    <definedName name="Key_ExitCap" localSheetId="1">#REF!</definedName>
    <definedName name="Key_ExitCap">#REF!</definedName>
    <definedName name="Key_ExitCost" localSheetId="1">#REF!</definedName>
    <definedName name="Key_ExitCost">#REF!</definedName>
    <definedName name="Key_ExitPrice_Opion" localSheetId="1">#REF!</definedName>
    <definedName name="Key_ExitPrice_Opion">#REF!</definedName>
    <definedName name="Key_Hedge" localSheetId="1">#REF!</definedName>
    <definedName name="Key_Hedge">#REF!</definedName>
    <definedName name="Key_IRR" localSheetId="1">#REF!</definedName>
    <definedName name="Key_IRR">#REF!</definedName>
    <definedName name="Key_OtherAdminCost" localSheetId="1">#REF!</definedName>
    <definedName name="Key_OtherAdminCost">#REF!</definedName>
    <definedName name="Key_SecDeposit" localSheetId="1">#REF!</definedName>
    <definedName name="Key_SecDeposit">#REF!</definedName>
    <definedName name="Key_Tax" localSheetId="1">#REF!</definedName>
    <definedName name="Key_Tax">#REF!</definedName>
    <definedName name="kk" localSheetId="1">'[16]Initial Input Variable'!#REF!</definedName>
    <definedName name="kk">'[17]Initial Input Variable'!#REF!</definedName>
    <definedName name="kkk" localSheetId="1" hidden="1">{#N/A,#N/A,FALSE,"BS";#N/A,#N/A,FALSE,"PL";#N/A,#N/A,FALSE,"처분";#N/A,#N/A,FALSE,"현금";#N/A,#N/A,FALSE,"매출";#N/A,#N/A,FALSE,"원가";#N/A,#N/A,FALSE,"경영"}</definedName>
    <definedName name="kkk">#REF!</definedName>
    <definedName name="kkkk" localSheetId="6" hidden="1">{#N/A,#N/A,FALSE,"BS";#N/A,#N/A,FALSE,"PL";#N/A,#N/A,FALSE,"처분";#N/A,#N/A,FALSE,"현금";#N/A,#N/A,FALSE,"매출";#N/A,#N/A,FALSE,"원가";#N/A,#N/A,FALSE,"경영"}</definedName>
    <definedName name="kkkk" localSheetId="7" hidden="1">{#N/A,#N/A,FALSE,"BS";#N/A,#N/A,FALSE,"PL";#N/A,#N/A,FALSE,"처분";#N/A,#N/A,FALSE,"현금";#N/A,#N/A,FALSE,"매출";#N/A,#N/A,FALSE,"원가";#N/A,#N/A,FALSE,"경영"}</definedName>
    <definedName name="kkkk" localSheetId="3" hidden="1">{#N/A,#N/A,FALSE,"BS";#N/A,#N/A,FALSE,"PL";#N/A,#N/A,FALSE,"처분";#N/A,#N/A,FALSE,"현금";#N/A,#N/A,FALSE,"매출";#N/A,#N/A,FALSE,"원가";#N/A,#N/A,FALSE,"경영"}</definedName>
    <definedName name="kkkk" localSheetId="1" hidden="1">{#N/A,#N/A,FALSE,"BS";#N/A,#N/A,FALSE,"PL";#N/A,#N/A,FALSE,"처분";#N/A,#N/A,FALSE,"현금";#N/A,#N/A,FALSE,"매출";#N/A,#N/A,FALSE,"원가";#N/A,#N/A,FALSE,"경영"}</definedName>
    <definedName name="kkkk" hidden="1">{#N/A,#N/A,FALSE,"BS";#N/A,#N/A,FALSE,"PL";#N/A,#N/A,FALSE,"처분";#N/A,#N/A,FALSE,"현금";#N/A,#N/A,FALSE,"매출";#N/A,#N/A,FALSE,"원가";#N/A,#N/A,FALSE,"경영"}</definedName>
    <definedName name="kkkkk" localSheetId="1">'[66]인원계획-미화'!#REF!</definedName>
    <definedName name="kkkkk">'[67]인원계획-미화'!#REF!</definedName>
    <definedName name="kl" localSheetId="1">[35]노무비!#REF!</definedName>
    <definedName name="kl">[35]노무비!#REF!</definedName>
    <definedName name="KSJ_25" localSheetId="6" hidden="1">{#N/A,#N/A,FALSE,"동부"}</definedName>
    <definedName name="KSJ_25" localSheetId="7" hidden="1">{#N/A,#N/A,FALSE,"동부"}</definedName>
    <definedName name="KSJ_25" localSheetId="3" hidden="1">{#N/A,#N/A,FALSE,"동부"}</definedName>
    <definedName name="KSJ_25" localSheetId="1" hidden="1">{#N/A,#N/A,FALSE,"동부"}</definedName>
    <definedName name="KSJ_25" hidden="1">{#N/A,#N/A,FALSE,"동부"}</definedName>
    <definedName name="l" localSheetId="6" hidden="1">{#N/A,#N/A,FALSE,"동부"}</definedName>
    <definedName name="l" localSheetId="7" hidden="1">{#N/A,#N/A,FALSE,"동부"}</definedName>
    <definedName name="l" localSheetId="3" hidden="1">{#N/A,#N/A,FALSE,"동부"}</definedName>
    <definedName name="l" localSheetId="1">[28]!l</definedName>
    <definedName name="l" hidden="1">{#N/A,#N/A,FALSE,"동부"}</definedName>
    <definedName name="land" localSheetId="1">#REF!</definedName>
    <definedName name="land">#REF!</definedName>
    <definedName name="Land_Area" localSheetId="1">[11]Assumption!#REF!</definedName>
    <definedName name="Land_Area">[12]Assumption!#REF!</definedName>
    <definedName name="Land_Value" localSheetId="1">#REF!</definedName>
    <definedName name="Land_Value">#REF!</definedName>
    <definedName name="Last_Quarter" localSheetId="1">#REF!</definedName>
    <definedName name="Last_Quarter">#REF!</definedName>
    <definedName name="Late" localSheetId="6">'CF(M)'!Late</definedName>
    <definedName name="Late" localSheetId="7">Key!Late</definedName>
    <definedName name="Late" localSheetId="3">RE!Late</definedName>
    <definedName name="Late" localSheetId="1">[28]!Late</definedName>
    <definedName name="Late">[0]!Late</definedName>
    <definedName name="LDistProceeds10Y1">#REF!</definedName>
    <definedName name="LDistProceeds10Y10">#REF!</definedName>
    <definedName name="LDistProceeds10Y11">#REF!</definedName>
    <definedName name="LDistProceeds10Y12">#REF!</definedName>
    <definedName name="LDistProceeds10Y13">#REF!</definedName>
    <definedName name="LDistProceeds10Y14">#REF!</definedName>
    <definedName name="LDistProceeds10Y15">#REF!</definedName>
    <definedName name="LDistProceeds10Y16">#REF!</definedName>
    <definedName name="LDistProceeds10Y17">#REF!</definedName>
    <definedName name="LDistProceeds10Y18">#REF!</definedName>
    <definedName name="LDistProceeds10Y19">#REF!</definedName>
    <definedName name="LDistProceeds10Y2">#REF!</definedName>
    <definedName name="LDistProceeds10Y20">#REF!</definedName>
    <definedName name="LDistProceeds10Y3">#REF!</definedName>
    <definedName name="LDistProceeds10Y4">#REF!</definedName>
    <definedName name="LDistProceeds10Y5">#REF!</definedName>
    <definedName name="LDistProceeds10Y6">#REF!</definedName>
    <definedName name="LDistProceeds10Y7">#REF!</definedName>
    <definedName name="LDistProceeds10Y8">#REF!</definedName>
    <definedName name="LDistProceeds10Y9">#REF!</definedName>
    <definedName name="Leasing_Commission_New" localSheetId="1">#REF!</definedName>
    <definedName name="Leasing_Commission_New">#REF!</definedName>
    <definedName name="Leasing_Commission_Renewal" localSheetId="1">#REF!</definedName>
    <definedName name="Leasing_Commission_Renewal">#REF!</definedName>
    <definedName name="LEFT">#REF!</definedName>
    <definedName name="LEFT1">#REF!</definedName>
    <definedName name="Legal_Fee" localSheetId="1">#REF!</definedName>
    <definedName name="Legal_Fee">#REF!</definedName>
    <definedName name="Level">'[27]Price Level'!$A$3:$H$250</definedName>
    <definedName name="LICENCE">#N/A</definedName>
    <definedName name="Link_Acquisition" localSheetId="1">#REF!</definedName>
    <definedName name="Link_Acquisition">#REF!</definedName>
    <definedName name="Link_Capex" localSheetId="1">#REF!</definedName>
    <definedName name="Link_Capex">#REF!</definedName>
    <definedName name="Link_Debt" localSheetId="1">#REF!</definedName>
    <definedName name="Link_Debt">#REF!</definedName>
    <definedName name="Link_Exit" localSheetId="1">#REF!</definedName>
    <definedName name="Link_Exit">#REF!</definedName>
    <definedName name="Link_Exp_Growth" localSheetId="1">#REF!</definedName>
    <definedName name="Link_Exp_Growth">#REF!</definedName>
    <definedName name="Link_Expense" localSheetId="1">#REF!</definedName>
    <definedName name="Link_Expense">#REF!</definedName>
    <definedName name="Link_Grth" localSheetId="1">#REF!</definedName>
    <definedName name="Link_Grth">#REF!</definedName>
    <definedName name="Link_HedgeCost" localSheetId="1">#REF!</definedName>
    <definedName name="Link_HedgeCost">#REF!</definedName>
    <definedName name="Link_Home" localSheetId="1">#REF!</definedName>
    <definedName name="Link_Home">#REF!</definedName>
    <definedName name="Link_PropInfo" localSheetId="1">#REF!</definedName>
    <definedName name="Link_PropInfo">#REF!</definedName>
    <definedName name="Link_Refurbishment" localSheetId="1">#REF!</definedName>
    <definedName name="Link_Refurbishment">#REF!</definedName>
    <definedName name="Link_Rev_Growth" localSheetId="1">#REF!</definedName>
    <definedName name="Link_Rev_Growth">#REF!</definedName>
    <definedName name="Link_Revenue" localSheetId="1">#REF!</definedName>
    <definedName name="Link_Revenue">#REF!</definedName>
    <definedName name="Link_Tax" localSheetId="1">#REF!</definedName>
    <definedName name="Link_Tax">#REF!</definedName>
    <definedName name="Link_Tenancy" localSheetId="1">#REF!</definedName>
    <definedName name="Link_Tenancy">#REF!</definedName>
    <definedName name="List">#REF!</definedName>
    <definedName name="ll" localSheetId="1">'[16]Initial Input Variable'!#REF!</definedName>
    <definedName name="ll">'[17]Initial Input Variable'!#REF!</definedName>
    <definedName name="lll"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REI_Financing_Fee" localSheetId="1">#REF!</definedName>
    <definedName name="LLREI_Financing_Fee">#REF!</definedName>
    <definedName name="LoanFees">'[20]Set-Up'!$D$40</definedName>
    <definedName name="LoanProceeds">'[20]Set-Up'!$D$38</definedName>
    <definedName name="Loc">[27]Location!$A$3:$Q$250</definedName>
    <definedName name="LOCKDATE">#N/A</definedName>
    <definedName name="lookup1" localSheetId="1">#REF!</definedName>
    <definedName name="lookup1">#REF!</definedName>
    <definedName name="LPFIRR10Y1">'[20]A (Calcs)'!$G$205</definedName>
    <definedName name="LPFIRR10Y10">'[20]A (Calcs)'!$G$214</definedName>
    <definedName name="LPFIRR10Y11">'[20]A (Calcs)'!$G$215</definedName>
    <definedName name="LPFIRR10Y12">'[20]A (Calcs)'!$G$216</definedName>
    <definedName name="LPFIRR10Y13">'[20]A (Calcs)'!$G$217</definedName>
    <definedName name="LPFIRR10Y14">'[20]A (Calcs)'!$G$218</definedName>
    <definedName name="LPFIRR10Y15">'[20]A (Calcs)'!$G$219</definedName>
    <definedName name="LPFIRR10Y16">'[20]A (Calcs)'!$G$220</definedName>
    <definedName name="LPFIRR10Y17">'[20]A (Calcs)'!$G$221</definedName>
    <definedName name="LPFIRR10Y18">'[20]A (Calcs)'!$G$222</definedName>
    <definedName name="LPFIRR10Y19">'[20]A (Calcs)'!$G$223</definedName>
    <definedName name="LPFIRR10Y2">'[20]A (Calcs)'!$G$206</definedName>
    <definedName name="LPFIRR10Y20">'[20]A (Calcs)'!$G$224</definedName>
    <definedName name="LPFIRR10Y3">'[20]A (Calcs)'!$G$207</definedName>
    <definedName name="LPFIRR10Y4">'[20]A (Calcs)'!$G$208</definedName>
    <definedName name="LPFIRR10Y5">'[20]A (Calcs)'!$G$209</definedName>
    <definedName name="LPFIRR10Y6">'[20]A (Calcs)'!$G$210</definedName>
    <definedName name="LPFIRR10Y7">'[20]A (Calcs)'!$G$211</definedName>
    <definedName name="LPFIRR10Y8">'[20]A (Calcs)'!$G$212</definedName>
    <definedName name="LPFIRR10Y9">'[20]A (Calcs)'!$G$213</definedName>
    <definedName name="m" localSheetId="6" hidden="1">{#N/A,#N/A,FALSE,"BS";#N/A,#N/A,FALSE,"PL";#N/A,#N/A,FALSE,"처분";#N/A,#N/A,FALSE,"현금";#N/A,#N/A,FALSE,"매출";#N/A,#N/A,FALSE,"원가";#N/A,#N/A,FALSE,"경영"}</definedName>
    <definedName name="m" localSheetId="7" hidden="1">{#N/A,#N/A,FALSE,"BS";#N/A,#N/A,FALSE,"PL";#N/A,#N/A,FALSE,"처분";#N/A,#N/A,FALSE,"현금";#N/A,#N/A,FALSE,"매출";#N/A,#N/A,FALSE,"원가";#N/A,#N/A,FALSE,"경영"}</definedName>
    <definedName name="m" localSheetId="3" hidden="1">{#N/A,#N/A,FALSE,"BS";#N/A,#N/A,FALSE,"PL";#N/A,#N/A,FALSE,"처분";#N/A,#N/A,FALSE,"현금";#N/A,#N/A,FALSE,"매출";#N/A,#N/A,FALSE,"원가";#N/A,#N/A,FALSE,"경영"}</definedName>
    <definedName name="m" localSheetId="1" hidden="1">{#N/A,#N/A,FALSE,"BS";#N/A,#N/A,FALSE,"PL";#N/A,#N/A,FALSE,"처분";#N/A,#N/A,FALSE,"현금";#N/A,#N/A,FALSE,"매출";#N/A,#N/A,FALSE,"원가";#N/A,#N/A,FALSE,"경영"}</definedName>
    <definedName name="m" hidden="1">{#N/A,#N/A,FALSE,"BS";#N/A,#N/A,FALSE,"PL";#N/A,#N/A,FALSE,"처분";#N/A,#N/A,FALSE,"현금";#N/A,#N/A,FALSE,"매출";#N/A,#N/A,FALSE,"원가";#N/A,#N/A,FALSE,"경영"}</definedName>
    <definedName name="M_Expense" localSheetId="1">[11]Assumption!#REF!</definedName>
    <definedName name="M_Expense">[12]Assumption!#REF!</definedName>
    <definedName name="M_F123.CashFlow_Button1_Click">[68]!M_F123.CashFlow_Button1_Click</definedName>
    <definedName name="M_Rent">'[47]Forum DB'!$X$6:$X$619</definedName>
    <definedName name="MAA">#REF!</definedName>
    <definedName name="Macro2">#N/A</definedName>
    <definedName name="Macro4">#N/A</definedName>
    <definedName name="Macro5">#N/A</definedName>
    <definedName name="MACRO6">#N/A</definedName>
    <definedName name="Macro8">[69]수정분개!Macro8</definedName>
    <definedName name="MANREP">#N/A</definedName>
    <definedName name="Mar" localSheetId="1">[70]노무비!#REF!</definedName>
    <definedName name="Mar">[71]노무비!#REF!</definedName>
    <definedName name="MARK">#N/A</definedName>
    <definedName name="Market" localSheetId="1">#REF!</definedName>
    <definedName name="Market">#REF!</definedName>
    <definedName name="MATCH1">#N/A</definedName>
    <definedName name="MATCH2">#N/A</definedName>
    <definedName name="Max_1">'[72]Sensitivity Analysis'!$B$10</definedName>
    <definedName name="Max_3">'[72]Sensitivity Analysis'!#REF!</definedName>
    <definedName name="MaxEconOcc">'[20]Set-Up'!$D$11</definedName>
    <definedName name="me">"Button 5"</definedName>
    <definedName name="MEMO">#N/A</definedName>
    <definedName name="MENO">#REF!</definedName>
    <definedName name="mensuel">[22]Balance!$T$11:$T$250</definedName>
    <definedName name="Mensuelv2">[45]Balance!#REF!</definedName>
    <definedName name="Ment">[27]Comment!$A$2:$E$250</definedName>
    <definedName name="menu_button_Click">[28]!menu_button_Click</definedName>
    <definedName name="mf" localSheetId="1">#REF!</definedName>
    <definedName name="mf">#REF!</definedName>
    <definedName name="MgtFee">'[20]Set-Up'!$D$13</definedName>
    <definedName name="MI10YUseIndex">'[20]B (Controls)'!$E$39</definedName>
    <definedName name="MI15YUseIndex">'[20]B (Controls)'!$E$40</definedName>
    <definedName name="MI1H10Y">'[20]Multi-Iteration'!$C$9</definedName>
    <definedName name="MI1H15Y">'[20]Multi-Iteration'!$C$15</definedName>
    <definedName name="MI2H10Y">'[20]Multi-Iteration'!$D$9</definedName>
    <definedName name="MI2H15Y">'[20]Multi-Iteration'!$D$15</definedName>
    <definedName name="MI3H10Y">'[20]Multi-Iteration'!$E$9</definedName>
    <definedName name="MI3H15Y">'[20]Multi-Iteration'!$E$15</definedName>
    <definedName name="MI4H10Y">'[20]Multi-Iteration'!$F$9</definedName>
    <definedName name="MI4H15Y">'[20]Multi-Iteration'!$F$15</definedName>
    <definedName name="MIYearsIndex">'[20]B (Controls)'!$E$41</definedName>
    <definedName name="Mkt_Rent" localSheetId="1">[11]Assumption!#REF!</definedName>
    <definedName name="Mkt_Rent">[12]Assumption!#REF!</definedName>
    <definedName name="Mkt_Rent_Growth" localSheetId="1">[11]Assumption!$B$20</definedName>
    <definedName name="Mkt_Rent_Growth">[12]Assumption!$B$20</definedName>
    <definedName name="mm" localSheetId="1">'[16]Initial Input Variable'!#REF!</definedName>
    <definedName name="mm">[73]재무가정!$H$13</definedName>
    <definedName name="MMA">#REF!</definedName>
    <definedName name="month">#REF!</definedName>
    <definedName name="Monthly_Maintenance_Fee__000won_py" localSheetId="1">[11]Assumption!#REF!</definedName>
    <definedName name="Monthly_Maintenance_Fee__000won_py">[12]Assumption!#REF!</definedName>
    <definedName name="Monthly_Rent" localSheetId="1">#REF!</definedName>
    <definedName name="Monthly_Rent">#REF!</definedName>
    <definedName name="MonthsInOperation">#REF!</definedName>
    <definedName name="Most_Lease_Expire_Date" localSheetId="1">#REF!</definedName>
    <definedName name="Most_Lease_Expire_Date">#REF!</definedName>
    <definedName name="MP" localSheetId="6" hidden="1">{#N/A,#N/A,FALSE,"BS";#N/A,#N/A,FALSE,"PL";#N/A,#N/A,FALSE,"처분";#N/A,#N/A,FALSE,"현금";#N/A,#N/A,FALSE,"매출";#N/A,#N/A,FALSE,"원가";#N/A,#N/A,FALSE,"경영"}</definedName>
    <definedName name="MP" localSheetId="7" hidden="1">{#N/A,#N/A,FALSE,"BS";#N/A,#N/A,FALSE,"PL";#N/A,#N/A,FALSE,"처분";#N/A,#N/A,FALSE,"현금";#N/A,#N/A,FALSE,"매출";#N/A,#N/A,FALSE,"원가";#N/A,#N/A,FALSE,"경영"}</definedName>
    <definedName name="MP" localSheetId="3" hidden="1">{#N/A,#N/A,FALSE,"BS";#N/A,#N/A,FALSE,"PL";#N/A,#N/A,FALSE,"처분";#N/A,#N/A,FALSE,"현금";#N/A,#N/A,FALSE,"매출";#N/A,#N/A,FALSE,"원가";#N/A,#N/A,FALSE,"경영"}</definedName>
    <definedName name="MP" localSheetId="1" hidden="1">{#N/A,#N/A,FALSE,"BS";#N/A,#N/A,FALSE,"PL";#N/A,#N/A,FALSE,"처분";#N/A,#N/A,FALSE,"현금";#N/A,#N/A,FALSE,"매출";#N/A,#N/A,FALSE,"원가";#N/A,#N/A,FALSE,"경영"}</definedName>
    <definedName name="MP" hidden="1">{#N/A,#N/A,FALSE,"BS";#N/A,#N/A,FALSE,"PL";#N/A,#N/A,FALSE,"처분";#N/A,#N/A,FALSE,"현금";#N/A,#N/A,FALSE,"매출";#N/A,#N/A,FALSE,"원가";#N/A,#N/A,FALSE,"경영"}</definedName>
    <definedName name="MTBE">#REF!</definedName>
    <definedName name="n">[28]!n</definedName>
    <definedName name="NewDowntime">[24]Summary!#REF!</definedName>
    <definedName name="nn" localSheetId="1">'[16]Initial Input Variable'!#REF!</definedName>
    <definedName name="nn">'[17]Initial Input Variable'!#REF!</definedName>
    <definedName name="No" localSheetId="1">[44]Summary!$D$1</definedName>
    <definedName name="no">#REF!</definedName>
    <definedName name="No._Parking" localSheetId="1">[11]Assumption!#REF!</definedName>
    <definedName name="No._Parking">[12]Assumption!#REF!</definedName>
    <definedName name="No_3">'[72]Sensitivity Analysis'!#REF!</definedName>
    <definedName name="NOC">#REF!</definedName>
    <definedName name="NOC_col">#REF!</definedName>
    <definedName name="NOC_row">#REF!</definedName>
    <definedName name="NRA" localSheetId="1">[11]Assumption!#REF!</definedName>
    <definedName name="NRA">[12]Assumption!#REF!</definedName>
    <definedName name="NumberUnitsIndex">'[20]B (Controls)'!$E$49</definedName>
    <definedName name="o">[28]!o</definedName>
    <definedName name="Occupancy">#REF!</definedName>
    <definedName name="office" localSheetId="1">[74]anaysis_sheet!$A$2:$CV$297</definedName>
    <definedName name="office">[75]anaysis_sheet!$A$2:$CV$297</definedName>
    <definedName name="ok">#REF!</definedName>
    <definedName name="olp" localSheetId="6" hidden="1">{"AJD",#N/A,TRUE,"Summary";"AJD",#N/A,TRUE,"CFCONC-outputs";"AJD",#N/A,TRUE,"P&amp;LCONC-outputs";"AJD",#N/A,TRUE,"BSCONC-outputs";"AJD",#N/A,TRUE,"FSCONC-outputs"}</definedName>
    <definedName name="olp" localSheetId="7" hidden="1">{"AJD",#N/A,TRUE,"Summary";"AJD",#N/A,TRUE,"CFCONC-outputs";"AJD",#N/A,TRUE,"P&amp;LCONC-outputs";"AJD",#N/A,TRUE,"BSCONC-outputs";"AJD",#N/A,TRUE,"FSCONC-outputs"}</definedName>
    <definedName name="olp" localSheetId="3"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o" localSheetId="1">'[16]Initial Input Variable'!#REF!</definedName>
    <definedName name="oo">'[17]Initial Input Variable'!#REF!</definedName>
    <definedName name="OpnTerm">[76]재무가정!$H$21</definedName>
    <definedName name="OptionButton21_Click">[28]!OptionButton21_Click</definedName>
    <definedName name="ORADDRESS">#N/A</definedName>
    <definedName name="ORDERTYPE">#N/A</definedName>
    <definedName name="other" localSheetId="1">[41]other!$A$4:$CB$250</definedName>
    <definedName name="other">[42]other!$A$4:$CB$250</definedName>
    <definedName name="Other_Revenue" localSheetId="1">#REF!</definedName>
    <definedName name="Other_Revenue">#REF!</definedName>
    <definedName name="P" localSheetId="6">{"Client Name or Project Name"}</definedName>
    <definedName name="P" localSheetId="7">{"Client Name or Project Name"}</definedName>
    <definedName name="P" localSheetId="3">{"Client Name or Project Name"}</definedName>
    <definedName name="P" localSheetId="1">{"Client Name or Project Name"}</definedName>
    <definedName name="P">{"Client Name or Project Name"}</definedName>
    <definedName name="P_Income" localSheetId="1">[11]Assumption!#REF!</definedName>
    <definedName name="P_Income">[12]Assumption!#REF!</definedName>
    <definedName name="PAID">#N/A</definedName>
    <definedName name="Parking_No" localSheetId="1">#REF!</definedName>
    <definedName name="Parking_No">#REF!</definedName>
    <definedName name="PARTPAID">#N/A</definedName>
    <definedName name="PBC">#REF!</definedName>
    <definedName name="PBC_List">#REF!</definedName>
    <definedName name="People">[1]People!$A$1:$K$126</definedName>
    <definedName name="Per_SF" localSheetId="1">#REF!</definedName>
    <definedName name="Per_SF">#REF!</definedName>
    <definedName name="Per_SM" localSheetId="1">#REF!</definedName>
    <definedName name="Per_SM">#REF!</definedName>
    <definedName name="Per_US" localSheetId="1">#REF!</definedName>
    <definedName name="Per_US">#REF!</definedName>
    <definedName name="Percent_BSThreshold">[46]대차대조표!$H$2</definedName>
    <definedName name="Percent_PLThreshold">[46]손익계산서!$G$2</definedName>
    <definedName name="PFCF22">'[24]1 Cash Flow Analysis'!#REF!</definedName>
    <definedName name="PFCF23">'[24]1 Cash Flow Analysis'!#REF!</definedName>
    <definedName name="PFCF24">'[24]1 Cash Flow Analysis'!#REF!</definedName>
    <definedName name="PFCF25">'[24]1 Cash Flow Analysis'!#REF!</definedName>
    <definedName name="PFCF26">'[24]1 Cash Flow Analysis'!#REF!</definedName>
    <definedName name="PFCF27">'[24]1 Cash Flow Analysis'!#REF!</definedName>
    <definedName name="PFCF28">'[24]1 Cash Flow Analysis'!#REF!</definedName>
    <definedName name="PFCF29">'[24]1 Cash Flow Analysis'!#REF!</definedName>
    <definedName name="PFCF30">'[24]1 Cash Flow Analysis'!#REF!</definedName>
    <definedName name="PFCF31">'[24]1 Cash Flow Analysis'!#REF!</definedName>
    <definedName name="Phy">[27]Physical!$A$3:$AP$250</definedName>
    <definedName name="planning___budgeting">'[77]CHECK LIST'!#REF!</definedName>
    <definedName name="plNote">[28]!plNote</definedName>
    <definedName name="PMC_Fee" localSheetId="1">[11]Assumption!$B$7</definedName>
    <definedName name="PMC_Fee">[12]Assumption!$B$7</definedName>
    <definedName name="Positionsbezeichnungen">'[78]GAAP Pru'!$E$15:$E$145</definedName>
    <definedName name="Post_tax_materiality">#REF!</definedName>
    <definedName name="PPAScore" localSheetId="1">#REF!</definedName>
    <definedName name="PPAScore">#REF!</definedName>
    <definedName name="ppp" localSheetId="1" hidden="1">#REF!</definedName>
    <definedName name="ppp" hidden="1">#REF!</definedName>
    <definedName name="PQ점수">"Dialog Frame 1"</definedName>
    <definedName name="Pre_tax_Materiality">#REF!</definedName>
    <definedName name="PRIME" localSheetId="1">#REF!</definedName>
    <definedName name="PRIME">#REF!</definedName>
    <definedName name="PRIME１">#REF!</definedName>
    <definedName name="_xlnm.Print_Area" localSheetId="1">[14]손익!#REF!</definedName>
    <definedName name="_xlnm.Print_Area">#REF!</definedName>
    <definedName name="Print_Area_MI" localSheetId="1">#REF!</definedName>
    <definedName name="Print_Area_MI">#REF!</definedName>
    <definedName name="_xlnm.Print_Titles" localSheetId="1">#REF!</definedName>
    <definedName name="_xlnm.Print_Titles">#REF!</definedName>
    <definedName name="Print_Titles_MI" localSheetId="1">[79]RE9604!$A$1:$IV$6,[79]RE9604!$A$1:$C$65536</definedName>
    <definedName name="Print_Titles_MI">[80]RE9604!$A$1:$IV$6,[80]RE9604!$A$1:$C$65536</definedName>
    <definedName name="PrintArea">#REF!</definedName>
    <definedName name="prj">#REF!</definedName>
    <definedName name="Profits_Tax_HK" localSheetId="1">#REF!</definedName>
    <definedName name="Profits_Tax_HK">#REF!</definedName>
    <definedName name="ProImportExport.ImportFile">[28]!ProImportExport.ImportFile</definedName>
    <definedName name="ProImportExport.SaveNewFile">[28]!ProImportExport.SaveNewFile</definedName>
    <definedName name="proj">#REF!</definedName>
    <definedName name="Project_Name" localSheetId="1">#REF!</definedName>
    <definedName name="Project_Name">#REF!</definedName>
    <definedName name="ProjectName" localSheetId="6">{"Client Name or Project Name"}</definedName>
    <definedName name="ProjectName" localSheetId="7">{"Client Name or Project Name"}</definedName>
    <definedName name="ProjectName" localSheetId="3">{"Client Name or Project Name"}</definedName>
    <definedName name="ProjectName">{"Client Name or Project Name"}</definedName>
    <definedName name="promote" localSheetId="1">#REF!</definedName>
    <definedName name="promote">#REF!</definedName>
    <definedName name="Property_Tax" localSheetId="1">#REF!</definedName>
    <definedName name="Property_Tax">#REF!</definedName>
    <definedName name="Property_Units" localSheetId="1">#REF!</definedName>
    <definedName name="Property_Units">#REF!</definedName>
    <definedName name="Property_Value" localSheetId="1">#REF!</definedName>
    <definedName name="Property_Value">#REF!</definedName>
    <definedName name="PropertyData">[44]PropertyData!$A$1:$CU$65536</definedName>
    <definedName name="PropertyTaxIndex">'[20]B (Controls)'!$E$54</definedName>
    <definedName name="PropTaxCFPageLabelIndex">'[20]B (Controls)'!$E$55</definedName>
    <definedName name="PTaxLabelOverrideIndex">'[20]B (Controls)'!$E$68</definedName>
    <definedName name="py">[81]Tenants!$C$59</definedName>
    <definedName name="PY_all_Income">#REF!</definedName>
    <definedName name="PY_all_RetEarn">#REF!</definedName>
    <definedName name="PY_knw_Income">#REF!</definedName>
    <definedName name="PY_knw_RetEarn">#REF!</definedName>
    <definedName name="PY_tx_all_Income">#REF!</definedName>
    <definedName name="PY_tx_all_RetEarn">#REF!</definedName>
    <definedName name="PY_tx_knw_Income">#REF!</definedName>
    <definedName name="PY_tx_knw_RetEarn">#REF!</definedName>
    <definedName name="PYA" localSheetId="1">#REF!</definedName>
    <definedName name="PYA">#REF!</definedName>
    <definedName name="PYB" localSheetId="1">#REF!</definedName>
    <definedName name="PYB">#REF!</definedName>
    <definedName name="PYC" localSheetId="1">#REF!</definedName>
    <definedName name="PYC">#REF!</definedName>
    <definedName name="PYD" localSheetId="1">#REF!</definedName>
    <definedName name="PYD">#REF!</definedName>
    <definedName name="PYE" localSheetId="1">#REF!</definedName>
    <definedName name="PYE">#REF!</definedName>
    <definedName name="PYF" localSheetId="1">#REF!</definedName>
    <definedName name="PYF">#REF!</definedName>
    <definedName name="PYG" localSheetId="1">#REF!</definedName>
    <definedName name="PYG">#REF!</definedName>
    <definedName name="pyung">#REF!</definedName>
    <definedName name="Pyung_to_SF" localSheetId="1">[11]Assumption!$B$12</definedName>
    <definedName name="Pyung_to_SF">[12]Assumption!$B$12</definedName>
    <definedName name="q">#REF!</definedName>
    <definedName name="Q_실적2" localSheetId="1">#REF!</definedName>
    <definedName name="Q_실적2">#REF!</definedName>
    <definedName name="QK" localSheetId="1">[35]노무비!#REF!</definedName>
    <definedName name="QK">[35]노무비!#REF!</definedName>
    <definedName name="qpwefpqoi23920ru2q0r" localSheetId="6">'CF(M)'!qpwefpqoi23920ru2q0r</definedName>
    <definedName name="qpwefpqoi23920ru2q0r" localSheetId="7">Key!qpwefpqoi23920ru2q0r</definedName>
    <definedName name="qpwefpqoi23920ru2q0r" localSheetId="3">RE!qpwefpqoi23920ru2q0r</definedName>
    <definedName name="qpwefpqoi23920ru2q0r">[0]!qpwefpqoi23920ru2q0r</definedName>
    <definedName name="qq" localSheetId="6" hidden="1">{#N/A,#N/A,FALSE,"동부"}</definedName>
    <definedName name="qq" localSheetId="7" hidden="1">{#N/A,#N/A,FALSE,"동부"}</definedName>
    <definedName name="qq" localSheetId="3" hidden="1">{#N/A,#N/A,FALSE,"동부"}</definedName>
    <definedName name="qq" hidden="1">{#N/A,#N/A,FALSE,"동부"}</definedName>
    <definedName name="QQQ" localSheetId="6" hidden="1">{#N/A,#N/A,FALSE,"동부"}</definedName>
    <definedName name="QQQ" localSheetId="7" hidden="1">{#N/A,#N/A,FALSE,"동부"}</definedName>
    <definedName name="QQQ" localSheetId="3" hidden="1">{#N/A,#N/A,FALSE,"동부"}</definedName>
    <definedName name="QQQ" hidden="1">{#N/A,#N/A,FALSE,"동부"}</definedName>
    <definedName name="Quality">[1]Quality!$A$1:$K$444</definedName>
    <definedName name="Query1" localSheetId="1">#REF!</definedName>
    <definedName name="Query1">#REF!</definedName>
    <definedName name="quit_button_Click">[28]!quit_button_Click</definedName>
    <definedName name="qw" localSheetId="1">[35]노무비!#REF!</definedName>
    <definedName name="qw">[35]노무비!#REF!</definedName>
    <definedName name="qwe" localSheetId="1">#REF!</definedName>
    <definedName name="qwe">#REF!</definedName>
    <definedName name="range" localSheetId="1">#REF!</definedName>
    <definedName name="range">#REF!</definedName>
    <definedName name="re_esc_rent">#REF!</definedName>
    <definedName name="re_rent">#REF!</definedName>
    <definedName name="realisé" localSheetId="6">[0]!reporting</definedName>
    <definedName name="realisé" localSheetId="7">[0]!reporting</definedName>
    <definedName name="realisé" localSheetId="3">[0]!reporting</definedName>
    <definedName name="realisé" localSheetId="1">[0]!reporting</definedName>
    <definedName name="realisé">[0]!reporting</definedName>
    <definedName name="REF">#N/A</definedName>
    <definedName name="refinance" localSheetId="1">[82]Assumptions!$P$20:$AF$21</definedName>
    <definedName name="refinance">[83]Assumptions!$P$20:$AF$21</definedName>
    <definedName name="Refurbish_Begin" localSheetId="1">#REF!</definedName>
    <definedName name="Refurbish_Begin">#REF!</definedName>
    <definedName name="Refurbish_End" localSheetId="1">#REF!</definedName>
    <definedName name="Refurbish_End">#REF!</definedName>
    <definedName name="Refurbishment" localSheetId="1">#REF!</definedName>
    <definedName name="Refurbishment">#REF!</definedName>
    <definedName name="REMARK">#N/A</definedName>
    <definedName name="rent" localSheetId="1">#REF!</definedName>
    <definedName name="rent">#REF!</definedName>
    <definedName name="Rental_Deposit" localSheetId="1">#REF!</definedName>
    <definedName name="Rental_Deposit">#REF!</definedName>
    <definedName name="Rental_Deposit_Unit" localSheetId="1">#REF!</definedName>
    <definedName name="Rental_Deposit_Unit">#REF!</definedName>
    <definedName name="Rentroll" localSheetId="1">'[84]Initial Input Variable'!#REF!</definedName>
    <definedName name="Rentroll">'[17]Initial Input Variable'!#REF!</definedName>
    <definedName name="REP">#N/A</definedName>
    <definedName name="Replacement_Cost" localSheetId="1">#REF!</definedName>
    <definedName name="Replacement_Cost">#REF!</definedName>
    <definedName name="Replacement_Cost_Percent" localSheetId="1">#REF!</definedName>
    <definedName name="Replacement_Cost_Percent">#REF!</definedName>
    <definedName name="REPNORMAL">#N/A</definedName>
    <definedName name="reportPl">[28]!reportPl</definedName>
    <definedName name="Reroll">'[67]인원계획-미화'!#REF!</definedName>
    <definedName name="Reset">#REF!</definedName>
    <definedName name="Result_3">'[72]Sensitivity Analysis'!#REF!</definedName>
    <definedName name="resultat">[31]Balance!$L$3</definedName>
    <definedName name="resultatcum">'[22]P &amp;L'!$E$48</definedName>
    <definedName name="resultatsit1">#REF!</definedName>
    <definedName name="RetentionRatio">[24]Summary!#REF!</definedName>
    <definedName name="RetentionRatio2">[85]Summary!#REF!</definedName>
    <definedName name="rewr" localSheetId="6" hidden="1">{#N/A,#N/A,FALSE,"이력서&amp;자기소개서"}</definedName>
    <definedName name="rewr" localSheetId="7" hidden="1">{#N/A,#N/A,FALSE,"이력서&amp;자기소개서"}</definedName>
    <definedName name="rewr" localSheetId="3" hidden="1">{#N/A,#N/A,FALSE,"이력서&amp;자기소개서"}</definedName>
    <definedName name="rewr" localSheetId="1" hidden="1">{#N/A,#N/A,FALSE,"이력서&amp;자기소개서"}</definedName>
    <definedName name="rewr" hidden="1">{#N/A,#N/A,FALSE,"이력서&amp;자기소개서"}</definedName>
    <definedName name="RIGHT">#REF!</definedName>
    <definedName name="Risk">[1]Risk!$A$1:$K$297</definedName>
    <definedName name="RK" localSheetId="6">BlankMacro1</definedName>
    <definedName name="RK" localSheetId="7">BlankMacro1</definedName>
    <definedName name="RK" localSheetId="3">BlankMacro1</definedName>
    <definedName name="RK" localSheetId="1">BlankMacro1</definedName>
    <definedName name="RK">BlankMacro1</definedName>
    <definedName name="Rounddown">#REF!</definedName>
    <definedName name="RR">#REF!</definedName>
    <definedName name="rrr" localSheetId="6">BlankMacro1</definedName>
    <definedName name="rrr" localSheetId="7">BlankMacro1</definedName>
    <definedName name="rrr" localSheetId="3">BlankMacro1</definedName>
    <definedName name="rrr"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rrr">BlankMacro1</definedName>
    <definedName name="S04A">#REF!</definedName>
    <definedName name="SADASD" localSheetId="1">[86]노무비!#REF!</definedName>
    <definedName name="SADASD">[86]노무비!#REF!</definedName>
    <definedName name="Salden">'[78]GAAP Pru'!$H$15:$H$145</definedName>
    <definedName name="Salesable_Area" localSheetId="1">#REF!</definedName>
    <definedName name="Salesable_Area">#REF!</definedName>
    <definedName name="sample" localSheetId="1" hidden="1">#REF!</definedName>
    <definedName name="sample" hidden="1">#REF!</definedName>
    <definedName name="Sample1" localSheetId="1">[87]Template!#REF!</definedName>
    <definedName name="Sample1">[88]Template!#REF!</definedName>
    <definedName name="SAN">#N/A</definedName>
    <definedName name="SAPBEXdnldView" hidden="1">"3TQJ5PWZQ85MUZZ9HFMZG8QFM"</definedName>
    <definedName name="SAPBEXrevision" hidden="1">1</definedName>
    <definedName name="SAPBEXsysID" hidden="1">"PBW"</definedName>
    <definedName name="SAPBEXwbID" hidden="1">"D7YS91DO6AH63WSISAHSVT04U"</definedName>
    <definedName name="savenefile11111" localSheetId="6">'CF(M)'!savenefile11111</definedName>
    <definedName name="savenefile11111" localSheetId="7">Key!savenefile11111</definedName>
    <definedName name="savenefile11111" localSheetId="3">RE!savenefile11111</definedName>
    <definedName name="savenefile11111">[0]!savenefile11111</definedName>
    <definedName name="SaveNewFile">[28]!SaveNewFile</definedName>
    <definedName name="savenewfile1" localSheetId="6">'CF(M)'!savenewfile1</definedName>
    <definedName name="savenewfile1" localSheetId="7">Key!savenewfile1</definedName>
    <definedName name="savenewfile1" localSheetId="3">RE!savenewfile1</definedName>
    <definedName name="savenewfile1">[0]!savenewfile1</definedName>
    <definedName name="savenewfile111111111" localSheetId="6">'CF(M)'!savenewfile111111111</definedName>
    <definedName name="savenewfile111111111" localSheetId="7">Key!savenewfile111111111</definedName>
    <definedName name="savenewfile111111111" localSheetId="3">RE!savenewfile111111111</definedName>
    <definedName name="savenewfile111111111">[0]!savenewfile111111111</definedName>
    <definedName name="savenewfile11111111111" localSheetId="6">'CF(M)'!savenewfile11111111111</definedName>
    <definedName name="savenewfile11111111111" localSheetId="7">Key!savenewfile11111111111</definedName>
    <definedName name="savenewfile11111111111" localSheetId="3">RE!savenewfile11111111111</definedName>
    <definedName name="savenewfile11111111111">[0]!savenewfile11111111111</definedName>
    <definedName name="savenewfile111111111222222222222" localSheetId="6">'CF(M)'!savenewfile111111111222222222222</definedName>
    <definedName name="savenewfile111111111222222222222" localSheetId="7">Key!savenewfile111111111222222222222</definedName>
    <definedName name="savenewfile111111111222222222222" localSheetId="3">RE!savenewfile111111111222222222222</definedName>
    <definedName name="savenewfile111111111222222222222">[0]!savenewfile111111111222222222222</definedName>
    <definedName name="ScenarioTextList">[24]Setup!#REF!</definedName>
    <definedName name="SChonsei" localSheetId="1">#REF!</definedName>
    <definedName name="SChonsei">#REF!</definedName>
    <definedName name="sdaa" localSheetId="6">'CF(M)'!sdaa</definedName>
    <definedName name="sdaa" localSheetId="7">Key!sdaa</definedName>
    <definedName name="sdaa" localSheetId="3">RE!sdaa</definedName>
    <definedName name="sdaa">[0]!sdaa</definedName>
    <definedName name="sdf" localSheetId="1">[89]노무비!#REF!</definedName>
    <definedName name="sdf">[90]노무비!#REF!</definedName>
    <definedName name="sencount" hidden="1">1</definedName>
    <definedName name="Sensistivity_BuyPrice" localSheetId="1">#REF!</definedName>
    <definedName name="Sensistivity_BuyPrice">#REF!</definedName>
    <definedName name="Sensistivity_Exit_Price" localSheetId="1">#REF!</definedName>
    <definedName name="Sensistivity_Exit_Price">#REF!</definedName>
    <definedName name="Sensistivity_Hold_Period" localSheetId="1">#REF!</definedName>
    <definedName name="Sensistivity_Hold_Period">#REF!</definedName>
    <definedName name="Sensitivity_Borrow_Cost" localSheetId="1">#REF!</definedName>
    <definedName name="Sensitivity_Borrow_Cost">#REF!</definedName>
    <definedName name="Sensitivity_Debt_Ratio" localSheetId="1">#REF!</definedName>
    <definedName name="Sensitivity_Debt_Ratio">#REF!</definedName>
    <definedName name="Sensitivity_Exit" localSheetId="1">#REF!</definedName>
    <definedName name="Sensitivity_Exit">#REF!</definedName>
    <definedName name="Sensitivity_Term" localSheetId="1">#REF!</definedName>
    <definedName name="Sensitivity_Term">#REF!</definedName>
    <definedName name="Service_Charge_Collection" localSheetId="1">#REF!</definedName>
    <definedName name="Service_Charge_Collection">#REF!</definedName>
    <definedName name="SHL_Interest" localSheetId="1">#REF!</definedName>
    <definedName name="SHL_Interest">#REF!</definedName>
    <definedName name="SHL_Ratio" localSheetId="1">#REF!</definedName>
    <definedName name="SHL_Ratio">#REF!</definedName>
    <definedName name="SHL_Tax" localSheetId="1">#REF!</definedName>
    <definedName name="SHL_Tax">#REF!</definedName>
    <definedName name="SHORTNAME">#N/A</definedName>
    <definedName name="sigma" localSheetId="1">[28]!sigma</definedName>
    <definedName name="Sigma">'[91]Initial Input Variable'!$C$19+('[91]Initial Input Variable'!$C$20-'[91]Initial Input Variable'!$C$18)</definedName>
    <definedName name="Site_Area" localSheetId="1">#REF!</definedName>
    <definedName name="Site_Area">#REF!</definedName>
    <definedName name="Sm_per_Pyong" localSheetId="1">#REF!</definedName>
    <definedName name="Sm_per_Pyong">#REF!</definedName>
    <definedName name="SMMA">#REF!</definedName>
    <definedName name="solver_adj" localSheetId="9" hidden="1">할인율!$H$6</definedName>
    <definedName name="solver_cvg" localSheetId="9" hidden="1">0.0001</definedName>
    <definedName name="solver_cvg" hidden="1">0.001</definedName>
    <definedName name="solver_drv" localSheetId="9" hidden="1">1</definedName>
    <definedName name="solver_drv" hidden="1">1</definedName>
    <definedName name="solver_eng" localSheetId="9" hidden="1">1</definedName>
    <definedName name="solver_est" localSheetId="9" hidden="1">1</definedName>
    <definedName name="solver_est" hidden="1">1</definedName>
    <definedName name="solver_itr" localSheetId="9" hidden="1">2147483647</definedName>
    <definedName name="solver_itr" hidden="1">100</definedName>
    <definedName name="solver_lhs1" localSheetId="1" hidden="1">#REF!</definedName>
    <definedName name="solver_lhs1" hidden="1">#N/A</definedName>
    <definedName name="solver_lin" hidden="1">2</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eg" hidden="1">2</definedName>
    <definedName name="solver_nod" localSheetId="9" hidden="1">2147483647</definedName>
    <definedName name="solver_num" localSheetId="9" hidden="1">0</definedName>
    <definedName name="solver_num" hidden="1">0</definedName>
    <definedName name="solver_nwt" localSheetId="9" hidden="1">1</definedName>
    <definedName name="solver_nwt" hidden="1">1</definedName>
    <definedName name="solver_opt" localSheetId="9" hidden="1">할인율!$H$9</definedName>
    <definedName name="solver_pre" localSheetId="9" hidden="1">0.000001</definedName>
    <definedName name="solver_pre" hidden="1">0.000001</definedName>
    <definedName name="solver_rbv" localSheetId="9" hidden="1">1</definedName>
    <definedName name="solver_rel1" hidden="1">1</definedName>
    <definedName name="solver_rhs1" localSheetId="1" hidden="1">#REF!*1.5</definedName>
    <definedName name="solver_rhs1" hidden="1">#N/A</definedName>
    <definedName name="solver_rlx" localSheetId="9" hidden="1">2</definedName>
    <definedName name="solver_rsd" localSheetId="9" hidden="1">0</definedName>
    <definedName name="solver_scl" localSheetId="9" hidden="1">1</definedName>
    <definedName name="solver_scl" hidden="1">2</definedName>
    <definedName name="solver_sho" localSheetId="9" hidden="1">2</definedName>
    <definedName name="solver_sho" hidden="1">2</definedName>
    <definedName name="solver_ssz" localSheetId="9" hidden="1">100</definedName>
    <definedName name="solver_tim" localSheetId="9" hidden="1">2147483647</definedName>
    <definedName name="solver_tim" hidden="1">100</definedName>
    <definedName name="solver_tol" localSheetId="9" hidden="1">0.01</definedName>
    <definedName name="solver_tol" hidden="1">0.05</definedName>
    <definedName name="solver_typ" localSheetId="9" hidden="1">3</definedName>
    <definedName name="solver_typ" hidden="1">1</definedName>
    <definedName name="solver_val" localSheetId="9" hidden="1">0</definedName>
    <definedName name="solver_val" hidden="1">0</definedName>
    <definedName name="solver_ver" localSheetId="9" hidden="1">3</definedName>
    <definedName name="Sort" localSheetId="1">#REF!</definedName>
    <definedName name="Sort">#REF!</definedName>
    <definedName name="source">[23]Source!$A$3:$IV$20</definedName>
    <definedName name="Special_Capital_Gain_Tax" localSheetId="1">#REF!</definedName>
    <definedName name="Special_Capital_Gain_Tax">#REF!</definedName>
    <definedName name="SQF" localSheetId="1">#REF!</definedName>
    <definedName name="SQF">#REF!</definedName>
    <definedName name="sqft" localSheetId="1">[51]Area!$F$46</definedName>
    <definedName name="sqft">#REF!</definedName>
    <definedName name="sqmt">#REF!</definedName>
    <definedName name="ss" localSheetId="1">#REF!</definedName>
    <definedName name="SS">#REF!</definedName>
    <definedName name="SS_CAPEX" localSheetId="6">{"Client Name or Project Name"}</definedName>
    <definedName name="SS_CAPEX" localSheetId="7">{"Client Name or Project Name"}</definedName>
    <definedName name="SS_CAPEX" localSheetId="3">{"Client Name or Project Name"}</definedName>
    <definedName name="SS_CAPEX">{"Client Name or Project Name"}</definedName>
    <definedName name="sss" localSheetId="6" hidden="1">{#N/A,#N/A,FALSE,"동부"}</definedName>
    <definedName name="sss" localSheetId="7" hidden="1">{#N/A,#N/A,FALSE,"동부"}</definedName>
    <definedName name="sss" localSheetId="3" hidden="1">{#N/A,#N/A,FALSE,"동부"}</definedName>
    <definedName name="sss" localSheetId="1">#REF!</definedName>
    <definedName name="sss" hidden="1">{#N/A,#N/A,FALSE,"동부"}</definedName>
    <definedName name="ssss" localSheetId="1">[35]노무비!#REF!</definedName>
    <definedName name="ssss">[35]노무비!#REF!</definedName>
    <definedName name="sssssssss" localSheetId="6">'CF(M)'!sssssssss</definedName>
    <definedName name="sssssssss" localSheetId="7">Key!sssssssss</definedName>
    <definedName name="sssssssss" localSheetId="3">RE!sssssssss</definedName>
    <definedName name="sssssssss">[0]!sssssssss</definedName>
    <definedName name="ST_interest" localSheetId="1">[11]Assumption!$B$13</definedName>
    <definedName name="ST_interest">[12]Assumption!$B$13</definedName>
    <definedName name="Stabilized_Vacancy" localSheetId="1">[11]Assumption!$B$19</definedName>
    <definedName name="Stabilized_Vacancy">[12]Assumption!$B$19</definedName>
    <definedName name="stacking">[28]!stacking</definedName>
    <definedName name="StartMonth">#REF!</definedName>
    <definedName name="SYSDATE">#N/A</definedName>
    <definedName name="t">[28]!t</definedName>
    <definedName name="Table2">[92]TB!$A$1:$E$1854</definedName>
    <definedName name="tax" localSheetId="1">#REF!</definedName>
    <definedName name="tax">#REF!</definedName>
    <definedName name="Tax_Base_above100" localSheetId="1">#REF!</definedName>
    <definedName name="Tax_Base_above100">#REF!</definedName>
    <definedName name="Tax_Base_below100" localSheetId="1">#REF!</definedName>
    <definedName name="Tax_Base_below100">#REF!</definedName>
    <definedName name="Tax_Effect_Liabs">#REF!</definedName>
    <definedName name="Tax_Rate" localSheetId="1">[11]Assumption!$B$17</definedName>
    <definedName name="Tax_Rate">[12]Assumption!$B$17</definedName>
    <definedName name="Tax_Rental_Above100" localSheetId="1">#REF!</definedName>
    <definedName name="Tax_Rental_Above100">#REF!</definedName>
    <definedName name="Tax_Rental_below100" localSheetId="1">#REF!</definedName>
    <definedName name="Tax_Rental_below100">#REF!</definedName>
    <definedName name="Tax_Withhold_Capital_Gains" localSheetId="1">#REF!</definedName>
    <definedName name="Tax_Withhold_Capital_Gains">#REF!</definedName>
    <definedName name="Tax_Withhold_Dividends" localSheetId="1">#REF!</definedName>
    <definedName name="Tax_Withhold_Dividends">#REF!</definedName>
    <definedName name="TaxAssessment">'[20]Set-Up'!$D$47</definedName>
    <definedName name="TChonsei" localSheetId="1">#REF!</definedName>
    <definedName name="TChonsei">#REF!</definedName>
    <definedName name="TDeposit" localSheetId="1">#REF!</definedName>
    <definedName name="TDeposit">#REF!</definedName>
    <definedName name="Tenant">#REF!</definedName>
    <definedName name="TenantData" localSheetId="1">#REF!</definedName>
    <definedName name="TenantData">#REF!</definedName>
    <definedName name="tenmo" localSheetId="1">#REF!</definedName>
    <definedName name="tenmo">#REF!</definedName>
    <definedName name="TerminalCapRate">#REF!</definedName>
    <definedName name="test" localSheetId="6">'CF(M)'!test</definedName>
    <definedName name="test" localSheetId="7">Key!test</definedName>
    <definedName name="test" localSheetId="3">RE!test</definedName>
    <definedName name="test">[0]!test</definedName>
    <definedName name="TEST_A">#N/A</definedName>
    <definedName name="TEST_B">#N/A</definedName>
    <definedName name="TEST_C">#N/A</definedName>
    <definedName name="TEST_D">#N/A</definedName>
    <definedName name="TEST_E">#N/A</definedName>
    <definedName name="TEST0">#REF!</definedName>
    <definedName name="TESTHKEY">#REF!</definedName>
    <definedName name="TESTKEYS">#REF!</definedName>
    <definedName name="TESTVKEY">#REF!</definedName>
    <definedName name="TextRefCopy1">[93]부외부채!#REF!</definedName>
    <definedName name="TextRefCopy10">#REF!</definedName>
    <definedName name="TextRefCopy11">#REF!</definedName>
    <definedName name="TextRefCopy12">#REF!</definedName>
    <definedName name="TextRefCopy13">#REF!</definedName>
    <definedName name="TextRefCopy14">#REF!</definedName>
    <definedName name="TextRefCopy15">#REF!</definedName>
    <definedName name="TextRefCopy16">#REF!</definedName>
    <definedName name="TextRefCopy17">#REF!</definedName>
    <definedName name="TextRefCopy18">#REF!</definedName>
    <definedName name="TextRefCopy19">#REF!</definedName>
    <definedName name="TextRefCopy2">[93]부외부채!$D$9</definedName>
    <definedName name="TextRefCopy20">[94]단기금융상품!#REF!</definedName>
    <definedName name="TextRefCopy21">#REF!</definedName>
    <definedName name="TextRefCopy22">#REF!</definedName>
    <definedName name="TextRefCopy23">#REF!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[93]부외부채!#REF!</definedName>
    <definedName name="TextRefCopy30">#REF!</definedName>
    <definedName name="TextRefCopy31">#REF!</definedName>
    <definedName name="TextRefCopy32">#REF!</definedName>
    <definedName name="TextRefCopy33">#REF!</definedName>
    <definedName name="TextRefCopy34">#REF!</definedName>
    <definedName name="TextRefCopy35">#REF!</definedName>
    <definedName name="TextRefCopy36">#REF!</definedName>
    <definedName name="TextRefCopy37">#REF!</definedName>
    <definedName name="TextRefCopy38">#REF!</definedName>
    <definedName name="TextRefCopy39">#REF!</definedName>
    <definedName name="TextRefCopy4">[95]보수규정!$A$15</definedName>
    <definedName name="TextRefCopy40">#REF!</definedName>
    <definedName name="TextRefCopy41">#REF!</definedName>
    <definedName name="TextRefCopy42">#REF!</definedName>
    <definedName name="TextRefCopy47">#REF!</definedName>
    <definedName name="TextRefCopy48">#REF!</definedName>
    <definedName name="TextRefCopy49">#REF!</definedName>
    <definedName name="TextRefCopy5">[95]보수!$C$2</definedName>
    <definedName name="TextRefCopy50">#REF!</definedName>
    <definedName name="TextRefCopy51">#REF!</definedName>
    <definedName name="TextRefCopy52">#REF!</definedName>
    <definedName name="TextRefCopy53">[96]LS!#REF!</definedName>
    <definedName name="TextRefCopy54">[96]LS!#REF!</definedName>
    <definedName name="TextRefCopy55">[96]LS!#REF!</definedName>
    <definedName name="TextRefCopy56">[96]LS!#REF!</definedName>
    <definedName name="TextRefCopy57">[96]LS!#REF!</definedName>
    <definedName name="TextRefCopy58">[96]LS!#REF!</definedName>
    <definedName name="TextRefCopy59">[96]LS!#REF!</definedName>
    <definedName name="TextRefCopy6">#REF!</definedName>
    <definedName name="TextRefCopy60">'[97]현금 및 예치금Lead'!#REF!</definedName>
    <definedName name="TextRefCopy61">'[97]현금및예치금 명세서'!#REF!</definedName>
    <definedName name="TextRefCopy62">'[97]현금및예치금 명세서'!#REF!</definedName>
    <definedName name="TextRefCopy7">#REF!</definedName>
    <definedName name="TextRefCopy8">#REF!</definedName>
    <definedName name="TextRefCopy9">#REF!</definedName>
    <definedName name="TextRefCopyRangeCount" localSheetId="1">3</definedName>
    <definedName name="TextRefCopyRangeCount" hidden="1">17</definedName>
    <definedName name="This_Quarter" localSheetId="1">#REF!</definedName>
    <definedName name="This_Quarter">#REF!</definedName>
    <definedName name="Title">#REF!</definedName>
    <definedName name="tlf" localSheetId="1" hidden="1">#REF!</definedName>
    <definedName name="tlf" hidden="1">#REF!</definedName>
    <definedName name="todoroki" localSheetId="1" hidden="1">[98]Budget!#REF!</definedName>
    <definedName name="todoroki" hidden="1">[98]Budget!#REF!</definedName>
    <definedName name="TOTAL" localSheetId="1">#REF!</definedName>
    <definedName name="Total">[27]Total!$A$3:$BD$250</definedName>
    <definedName name="Total_Contracted_Gross_Area" localSheetId="1">#REF!</definedName>
    <definedName name="Total_Contracted_Gross_Area">#REF!</definedName>
    <definedName name="TOTAL1">#REF!</definedName>
    <definedName name="TOTAL2">#REF!</definedName>
    <definedName name="TOTAL3">#REF!</definedName>
    <definedName name="TOTALCARR">#N/A</definedName>
    <definedName name="TOTALDOC">#N/A</definedName>
    <definedName name="TOTALGOODS">#N/A</definedName>
    <definedName name="TotalPyung">'[47]Forum DB'!$K$621</definedName>
    <definedName name="TOTALVAT">#N/A</definedName>
    <definedName name="TOWN">#N/A</definedName>
    <definedName name="Training">[1]Training!$A$1:$J$25</definedName>
    <definedName name="TRent" localSheetId="1">#REF!</definedName>
    <definedName name="TRent">#REF!</definedName>
    <definedName name="Trust_Fee" localSheetId="1">[11]Assumption!$B$9</definedName>
    <definedName name="Trust_Fee">[12]Assumption!$B$9</definedName>
    <definedName name="TsuboMeter">'[99]Rent Roll'!$K$1</definedName>
    <definedName name="tt" localSheetId="1">#REF!</definedName>
    <definedName name="tt">#REF!</definedName>
    <definedName name="ttxx" localSheetId="1">#REF!</definedName>
    <definedName name="ttxx">#REF!</definedName>
    <definedName name="ttxxxx" localSheetId="1">#REF!</definedName>
    <definedName name="ttxxxx">#REF!</definedName>
    <definedName name="ttxxxxx" localSheetId="1">#REF!</definedName>
    <definedName name="ttxxxxx">#REF!</definedName>
    <definedName name="txx" localSheetId="1">#REF!</definedName>
    <definedName name="txx">#REF!</definedName>
    <definedName name="TYPE">#N/A</definedName>
    <definedName name="u">[28]!u</definedName>
    <definedName name="Unit" localSheetId="1">#REF!</definedName>
    <definedName name="Unit">#REF!</definedName>
    <definedName name="UNITS">#N/A</definedName>
    <definedName name="usd">'[100]7.31연체현황'!#REF!</definedName>
    <definedName name="uu" localSheetId="6">'CF(M)'!uu</definedName>
    <definedName name="uu" localSheetId="7">Key!uu</definedName>
    <definedName name="uu" localSheetId="3">RE!uu</definedName>
    <definedName name="uu">[0]!uu</definedName>
    <definedName name="v" localSheetId="6" hidden="1">{#N/A,#N/A,FALSE,"BS";#N/A,#N/A,FALSE,"PL";#N/A,#N/A,FALSE,"처분";#N/A,#N/A,FALSE,"현금";#N/A,#N/A,FALSE,"매출";#N/A,#N/A,FALSE,"원가";#N/A,#N/A,FALSE,"경영"}</definedName>
    <definedName name="v" localSheetId="7" hidden="1">{#N/A,#N/A,FALSE,"BS";#N/A,#N/A,FALSE,"PL";#N/A,#N/A,FALSE,"처분";#N/A,#N/A,FALSE,"현금";#N/A,#N/A,FALSE,"매출";#N/A,#N/A,FALSE,"원가";#N/A,#N/A,FALSE,"경영"}</definedName>
    <definedName name="v" localSheetId="3" hidden="1">{#N/A,#N/A,FALSE,"BS";#N/A,#N/A,FALSE,"PL";#N/A,#N/A,FALSE,"처분";#N/A,#N/A,FALSE,"현금";#N/A,#N/A,FALSE,"매출";#N/A,#N/A,FALSE,"원가";#N/A,#N/A,FALSE,"경영"}</definedName>
    <definedName name="v" localSheetId="1" hidden="1">{#N/A,#N/A,FALSE,"BS";#N/A,#N/A,FALSE,"PL";#N/A,#N/A,FALSE,"처분";#N/A,#N/A,FALSE,"현금";#N/A,#N/A,FALSE,"매출";#N/A,#N/A,FALSE,"원가";#N/A,#N/A,FALSE,"경영"}</definedName>
    <definedName name="v" hidden="1">{#N/A,#N/A,FALSE,"BS";#N/A,#N/A,FALSE,"PL";#N/A,#N/A,FALSE,"처분";#N/A,#N/A,FALSE,"현금";#N/A,#N/A,FALSE,"매출";#N/A,#N/A,FALSE,"원가";#N/A,#N/A,FALSE,"경영"}</definedName>
    <definedName name="vatloan">[31]Balance!$P$89</definedName>
    <definedName name="vbhfhfg">[28]!vbhfhfg</definedName>
    <definedName name="w" localSheetId="6" hidden="1">{#N/A,#N/A,FALSE,"BS";#N/A,#N/A,FALSE,"PL";#N/A,#N/A,FALSE,"처분";#N/A,#N/A,FALSE,"현금";#N/A,#N/A,FALSE,"매출";#N/A,#N/A,FALSE,"원가";#N/A,#N/A,FALSE,"경영"}</definedName>
    <definedName name="w" localSheetId="7" hidden="1">{#N/A,#N/A,FALSE,"BS";#N/A,#N/A,FALSE,"PL";#N/A,#N/A,FALSE,"처분";#N/A,#N/A,FALSE,"현금";#N/A,#N/A,FALSE,"매출";#N/A,#N/A,FALSE,"원가";#N/A,#N/A,FALSE,"경영"}</definedName>
    <definedName name="w" localSheetId="3" hidden="1">{#N/A,#N/A,FALSE,"BS";#N/A,#N/A,FALSE,"PL";#N/A,#N/A,FALSE,"처분";#N/A,#N/A,FALSE,"현금";#N/A,#N/A,FALSE,"매출";#N/A,#N/A,FALSE,"원가";#N/A,#N/A,FALSE,"경영"}</definedName>
    <definedName name="w" localSheetId="1" hidden="1">{#N/A,#N/A,FALSE,"BS";#N/A,#N/A,FALSE,"PL";#N/A,#N/A,FALSE,"처분";#N/A,#N/A,FALSE,"현금";#N/A,#N/A,FALSE,"매출";#N/A,#N/A,FALSE,"원가";#N/A,#N/A,FALSE,"경영"}</definedName>
    <definedName name="w" hidden="1">{#N/A,#N/A,FALSE,"BS";#N/A,#N/A,FALSE,"PL";#N/A,#N/A,FALSE,"처분";#N/A,#N/A,FALSE,"현금";#N/A,#N/A,FALSE,"매출";#N/A,#N/A,FALSE,"원가";#N/A,#N/A,FALSE,"경영"}</definedName>
    <definedName name="Walsei_Table">[101]Walsei!$E$7:$BY$11</definedName>
    <definedName name="wer">#REF!</definedName>
    <definedName name="widebs">#REF!</definedName>
    <definedName name="wkgk" localSheetId="6" hidden="1">{#N/A,#N/A,FALSE,"BS";#N/A,#N/A,FALSE,"PL";#N/A,#N/A,FALSE,"처분";#N/A,#N/A,FALSE,"현금";#N/A,#N/A,FALSE,"매출";#N/A,#N/A,FALSE,"원가";#N/A,#N/A,FALSE,"경영"}</definedName>
    <definedName name="wkgk" localSheetId="7" hidden="1">{#N/A,#N/A,FALSE,"BS";#N/A,#N/A,FALSE,"PL";#N/A,#N/A,FALSE,"처분";#N/A,#N/A,FALSE,"현금";#N/A,#N/A,FALSE,"매출";#N/A,#N/A,FALSE,"원가";#N/A,#N/A,FALSE,"경영"}</definedName>
    <definedName name="wkgk" localSheetId="3" hidden="1">{#N/A,#N/A,FALSE,"BS";#N/A,#N/A,FALSE,"PL";#N/A,#N/A,FALSE,"처분";#N/A,#N/A,FALSE,"현금";#N/A,#N/A,FALSE,"매출";#N/A,#N/A,FALSE,"원가";#N/A,#N/A,FALSE,"경영"}</definedName>
    <definedName name="wkgk" localSheetId="1" hidden="1">{#N/A,#N/A,FALSE,"BS";#N/A,#N/A,FALSE,"PL";#N/A,#N/A,FALSE,"처분";#N/A,#N/A,FALSE,"현금";#N/A,#N/A,FALSE,"매출";#N/A,#N/A,FALSE,"원가";#N/A,#N/A,FALSE,"경영"}</definedName>
    <definedName name="wkgk" hidden="1">{#N/A,#N/A,FALSE,"BS";#N/A,#N/A,FALSE,"PL";#N/A,#N/A,FALSE,"처분";#N/A,#N/A,FALSE,"현금";#N/A,#N/A,FALSE,"매출";#N/A,#N/A,FALSE,"원가";#N/A,#N/A,FALSE,"경영"}</definedName>
    <definedName name="WORK_COM">#N/A</definedName>
    <definedName name="wrn.97년._.9월._.임차현황." localSheetId="6" hidden="1">{#N/A,#N/A,FALSE,"동부"}</definedName>
    <definedName name="wrn.97년._.9월._.임차현황." localSheetId="7" hidden="1">{#N/A,#N/A,FALSE,"동부"}</definedName>
    <definedName name="wrn.97년._.9월._.임차현황." localSheetId="3" hidden="1">{#N/A,#N/A,FALSE,"동부"}</definedName>
    <definedName name="wrn.97년._.9월._.임차현황." localSheetId="1" hidden="1">{#N/A,#N/A,FALSE,"동부"}</definedName>
    <definedName name="wrn.97년._.9월._.임차현황." hidden="1">{#N/A,#N/A,FALSE,"동부"}</definedName>
    <definedName name="wrn.ACHESON94TAXRETURN."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ging._.and._.Trend._.Analysis." localSheetId="6"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JDSuite." localSheetId="6" hidden="1">{"AJD",#N/A,TRUE,"Summary";"AJD",#N/A,TRUE,"CFCONC-outputs";"AJD",#N/A,TRUE,"P&amp;LCONC-outputs";"AJD",#N/A,TRUE,"BSCONC-outputs";"AJD",#N/A,TRUE,"FSCONC-outputs"}</definedName>
    <definedName name="wrn.AJDSuite." localSheetId="7" hidden="1">{"AJD",#N/A,TRUE,"Summary";"AJD",#N/A,TRUE,"CFCONC-outputs";"AJD",#N/A,TRUE,"P&amp;LCONC-outputs";"AJD",#N/A,TRUE,"BSCONC-outputs";"AJD",#N/A,TRUE,"FSCONC-outputs"}</definedName>
    <definedName name="wrn.AJDSuite." localSheetId="3"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balance._.franc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udget." localSheetId="6" hidden="1">{"budget1",#N/A,FALSE,"BUDG.XLS";"budget2",#N/A,FALSE,"BUDG.XLS"}</definedName>
    <definedName name="wrn.budget." localSheetId="7" hidden="1">{"budget1",#N/A,FALSE,"BUDG.XLS";"budget2",#N/A,FALSE,"BUDG.XLS"}</definedName>
    <definedName name="wrn.budget." localSheetId="3" hidden="1">{"budget1",#N/A,FALSE,"BUDG.XLS";"budget2",#N/A,FALSE,"BUDG.XLS"}</definedName>
    <definedName name="wrn.budget." localSheetId="1" hidden="1">{"budget1",#N/A,FALSE,"BUDG.XLS";"budget2",#N/A,FALSE,"BUDG.XLS"}</definedName>
    <definedName name="wrn.budget." hidden="1">{"budget1",#N/A,FALSE,"BUDG.XLS";"budget2",#N/A,FALSE,"BUDG.XLS"}</definedName>
    <definedName name="wrn.CIC94TAX." localSheetId="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7"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omplet._.sauf._.balance." localSheetId="6"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7"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3"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1"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nstruction._.Costs." localSheetId="6" hidden="1">{"Const Costs Dev",#N/A,FALSE,"Construction Cost Inputs";"Const Costs orig ccy",#N/A,FALSE,"Construction Cost Inputs";"Const Costs USD",#N/A,FALSE,"Construction Cost Inputs"}</definedName>
    <definedName name="wrn.Construction._.Costs." localSheetId="7" hidden="1">{"Const Costs Dev",#N/A,FALSE,"Construction Cost Inputs";"Const Costs orig ccy",#N/A,FALSE,"Construction Cost Inputs";"Const Costs USD",#N/A,FALSE,"Construction Cost Inputs"}</definedName>
    <definedName name="wrn.Construction._.Costs." localSheetId="3"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COSA._.FS._.국문." localSheetId="6" hidden="1">{#N/A,#N/A,FALSE,"BS";#N/A,#N/A,FALSE,"PL";#N/A,#N/A,FALSE,"처분";#N/A,#N/A,FALSE,"현금";#N/A,#N/A,FALSE,"매출";#N/A,#N/A,FALSE,"원가";#N/A,#N/A,FALSE,"경영"}</definedName>
    <definedName name="wrn.COSA._.FS._.국문." localSheetId="7" hidden="1">{#N/A,#N/A,FALSE,"BS";#N/A,#N/A,FALSE,"PL";#N/A,#N/A,FALSE,"처분";#N/A,#N/A,FALSE,"현금";#N/A,#N/A,FALSE,"매출";#N/A,#N/A,FALSE,"원가";#N/A,#N/A,FALSE,"경영"}</definedName>
    <definedName name="wrn.COSA._.FS._.국문." localSheetId="3" hidden="1">{#N/A,#N/A,FALSE,"BS";#N/A,#N/A,FALSE,"PL";#N/A,#N/A,FALSE,"처분";#N/A,#N/A,FALSE,"현금";#N/A,#N/A,FALSE,"매출";#N/A,#N/A,FALSE,"원가";#N/A,#N/A,FALSE,"경영"}</definedName>
    <definedName name="wrn.COSA._.FS._.국문." localSheetId="1"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7"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Financing._.Inputs." localSheetId="6" hidden="1">{"BuildIn 2 Funding Assump",#N/A,FALSE,"Building Inputs";"BuildIn Capex plus Extras",#N/A,FALSE,"Building Inputs"}</definedName>
    <definedName name="wrn.Financing._.Inputs." localSheetId="7" hidden="1">{"BuildIn 2 Funding Assump",#N/A,FALSE,"Building Inputs";"BuildIn Capex plus Extras",#N/A,FALSE,"Building Inputs"}</definedName>
    <definedName name="wrn.Financing._.Inputs." localSheetId="3"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gamme." localSheetId="6" hidden="1">{#N/A,#N/A,FALSE,"original";#N/A,#N/A,FALSE,"boiler";#N/A,#N/A,FALSE,"burner";#N/A,#N/A,FALSE,"absorbtion unit"}</definedName>
    <definedName name="wrn.gamme." localSheetId="7" hidden="1">{#N/A,#N/A,FALSE,"original";#N/A,#N/A,FALSE,"boiler";#N/A,#N/A,FALSE,"burner";#N/A,#N/A,FALSE,"absorbtion unit"}</definedName>
    <definedName name="wrn.gamme." localSheetId="3" hidden="1">{#N/A,#N/A,FALSE,"original";#N/A,#N/A,FALSE,"boiler";#N/A,#N/A,FALSE,"burner";#N/A,#N/A,FALSE,"absorbtion unit"}</definedName>
    <definedName name="wrn.gamme." hidden="1">{#N/A,#N/A,FALSE,"original";#N/A,#N/A,FALSE,"boiler";#N/A,#N/A,FALSE,"burner";#N/A,#N/A,FALSE,"absorbtion unit"}</definedName>
    <definedName name="wrn.IFF94TAX." localSheetId="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7"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jck94TAXRETURN."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6"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7"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OpCostIn." localSheetId="6" hidden="1">{"OpCostIn Technical",#N/A,FALSE,"Operations Cost Inputs";"OpCostIn V plus F",#N/A,FALSE,"Operations Cost Inputs";"OpCostIn Maint",#N/A,FALSE,"Operations Cost Inputs";"OpCostIn LDs Add Cost",#N/A,FALSE,"Operations Cost Inputs"}</definedName>
    <definedName name="wrn.OpCostIn." localSheetId="7" hidden="1">{"OpCostIn Technical",#N/A,FALSE,"Operations Cost Inputs";"OpCostIn V plus F",#N/A,FALSE,"Operations Cost Inputs";"OpCostIn Maint",#N/A,FALSE,"Operations Cost Inputs";"OpCostIn LDs Add Cost",#N/A,FALSE,"Operations Cost Inputs"}</definedName>
    <definedName name="wrn.OpCostIn." localSheetId="3"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PAIM._.TAX._.PRO."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SAA94TAX."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ituation._.complet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간단한세무조정계산서."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6" hidden="1">{#N/A,#N/A,FALSE,"buildings"}</definedName>
    <definedName name="wrn.감가." localSheetId="7" hidden="1">{#N/A,#N/A,FALSE,"buildings"}</definedName>
    <definedName name="wrn.감가." localSheetId="3" hidden="1">{#N/A,#N/A,FALSE,"buildings"}</definedName>
    <definedName name="wrn.감가." localSheetId="1" hidden="1">{#N/A,#N/A,FALSE,"buildings"}</definedName>
    <definedName name="wrn.감가." hidden="1">{#N/A,#N/A,FALSE,"buildings"}</definedName>
    <definedName name="wrn.대차._.대조표." localSheetId="6" hidden="1">{#N/A,#N/A,TRUE,"대 차 대 조 표"}</definedName>
    <definedName name="wrn.대차._.대조표." localSheetId="7" hidden="1">{#N/A,#N/A,TRUE,"대 차 대 조 표"}</definedName>
    <definedName name="wrn.대차._.대조표." localSheetId="3" hidden="1">{#N/A,#N/A,TRUE,"대 차 대 조 표"}</definedName>
    <definedName name="wrn.대차._.대조표." localSheetId="1" hidden="1">{#N/A,#N/A,TRUE,"대 차 대 조 표"}</definedName>
    <definedName name="wrn.대차._.대조표." hidden="1">{#N/A,#N/A,TRUE,"대 차 대 조 표"}</definedName>
    <definedName name="wrn.보고서." localSheetId="6" hidden="1">{#N/A,#N/A,FALSE,"Sheet1";#N/A,#N/A,FALSE,"기평9607"}</definedName>
    <definedName name="wrn.보고서." localSheetId="7" hidden="1">{#N/A,#N/A,FALSE,"Sheet1";#N/A,#N/A,FALSE,"기평9607"}</definedName>
    <definedName name="wrn.보고서." localSheetId="3" hidden="1">{#N/A,#N/A,FALSE,"Sheet1";#N/A,#N/A,FALSE,"기평9607"}</definedName>
    <definedName name="wrn.보고서." hidden="1">{#N/A,#N/A,FALSE,"Sheet1";#N/A,#N/A,FALSE,"기평9607"}</definedName>
    <definedName name="wrn.세무조정계산서." localSheetId="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6"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7"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이력서._.자기소개서." localSheetId="6" hidden="1">{#N/A,#N/A,FALSE,"이력서&amp;자기소개서"}</definedName>
    <definedName name="wrn.이력서._.자기소개서." localSheetId="7" hidden="1">{#N/A,#N/A,FALSE,"이력서&amp;자기소개서"}</definedName>
    <definedName name="wrn.이력서._.자기소개서." localSheetId="3" hidden="1">{#N/A,#N/A,FALSE,"이력서&amp;자기소개서"}</definedName>
    <definedName name="wrn.이력서._.자기소개서." localSheetId="1" hidden="1">{#N/A,#N/A,FALSE,"이력서&amp;자기소개서"}</definedName>
    <definedName name="wrn.이력서._.자기소개서." hidden="1">{#N/A,#N/A,FALSE,"이력서&amp;자기소개서"}</definedName>
    <definedName name="wrn.조흥94세무."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wwwwwww">[34]노무비!#REF!</definedName>
    <definedName name="X5수정전망_종합검토_List">#REF!</definedName>
    <definedName name="xavenewfile" localSheetId="6">'CF(M)'!xavenewfile</definedName>
    <definedName name="xavenewfile" localSheetId="7">Key!xavenewfile</definedName>
    <definedName name="xavenewfile" localSheetId="3">RE!xavenewfile</definedName>
    <definedName name="xavenewfile">[0]!xavenewfile</definedName>
    <definedName name="XOUT" localSheetId="1">#REF!</definedName>
    <definedName name="XOUT">#REF!</definedName>
    <definedName name="XOUT1">#REF!</definedName>
    <definedName name="XREF_COLUMN_1" hidden="1">#REF!</definedName>
    <definedName name="XREF_COLUMN_13" hidden="1">#REF!</definedName>
    <definedName name="XREF_COLUMN_16" hidden="1">#REF!</definedName>
    <definedName name="XREF_COLUMN_17" hidden="1">#REF!</definedName>
    <definedName name="XREF_COLUMN_18" hidden="1">#REF!</definedName>
    <definedName name="XREF_COLUMN_19" hidden="1">#REF!</definedName>
    <definedName name="XREF_COLUMN_2" hidden="1">[102]감가상각누계액!#REF!</definedName>
    <definedName name="XREF_COLUMN_20" hidden="1">#REF!</definedName>
    <definedName name="XREF_COLUMN_21" hidden="1">#REF!</definedName>
    <definedName name="XREF_COLUMN_22" hidden="1">#REF!</definedName>
    <definedName name="XREF_COLUMN_23" hidden="1">'[97]현금 및 예치금Lead'!#REF!</definedName>
    <definedName name="XREF_COLUMN_24" hidden="1">'[97]현금및예치금 명세서'!#REF!</definedName>
    <definedName name="XREF_COLUMN_25" hidden="1">[97]미수수익!#REF!</definedName>
    <definedName name="XREF_COLUMN_26" hidden="1">#REF!</definedName>
    <definedName name="XREF_COLUMN_27" hidden="1">#REF!</definedName>
    <definedName name="XREF_COLUMN_28" hidden="1">'[97]현금 및 예치금Lead'!#REF!</definedName>
    <definedName name="XREF_COLUMN_3">'[103]VAT reconcile'!$M$1:$M$65536</definedName>
    <definedName name="XREF_COLUMN_30" hidden="1">'[97]현금및예치금 명세서'!#REF!</definedName>
    <definedName name="XREF_COLUMN_33" hidden="1">'[97]현금및예치금 명세서'!#REF!</definedName>
    <definedName name="XREF_COLUMN_6" hidden="1">'[104]F4_PAJE(6월)'!#REF!</definedName>
    <definedName name="XREF_COLUMN_7" hidden="1">'[104]F4_PAJE(6월)'!#REF!</definedName>
    <definedName name="XREF_COLUMN_8" hidden="1">[105]F3_PL!#REF!</definedName>
    <definedName name="XRefActiveRow" hidden="1">#REF!</definedName>
    <definedName name="XRefColumnsCount">3</definedName>
    <definedName name="XRefCopy1" hidden="1">#REF!</definedName>
    <definedName name="XRefCopy10">[106]현금및예치금집계표!$E$23</definedName>
    <definedName name="XRefCopy10Row">[106]XREF!$A$20:$IV$20</definedName>
    <definedName name="XRefCopy11" hidden="1">#REF!</definedName>
    <definedName name="XRefCopy11Row" hidden="1">[107]XREF!#REF!</definedName>
    <definedName name="XRefCopy12" hidden="1">#REF!</definedName>
    <definedName name="XRefCopy12Row" hidden="1">[102]XREF!#REF!</definedName>
    <definedName name="XRefCopy13" hidden="1">#REF!</definedName>
    <definedName name="XRefCopy13Row" hidden="1">[102]XREF!#REF!</definedName>
    <definedName name="XRefCopy14" hidden="1">#REF!</definedName>
    <definedName name="XRefCopy14Row" hidden="1">[107]XREF!#REF!</definedName>
    <definedName name="XRefCopy15" hidden="1">#REF!</definedName>
    <definedName name="XRefCopy15Row" hidden="1">[107]XREF!#REF!</definedName>
    <definedName name="XRefCopy16" hidden="1">#REF!</definedName>
    <definedName name="XRefCopy17" hidden="1">#REF!</definedName>
    <definedName name="XRefCopy17Row" hidden="1">[107]XREF!#REF!</definedName>
    <definedName name="XRefCopy18" hidden="1">#REF!</definedName>
    <definedName name="XRefCopy18Row" hidden="1">[107]XREF!#REF!</definedName>
    <definedName name="XRefCopy19" hidden="1">#REF!</definedName>
    <definedName name="XRefCopy19Row" hidden="1">[107]XREF!#REF!</definedName>
    <definedName name="XRefCopy1Row" hidden="1">#REF!</definedName>
    <definedName name="XRefCopy2" hidden="1">#REF!</definedName>
    <definedName name="XRefCopy20" hidden="1">#REF!</definedName>
    <definedName name="XRefCopy20Row" hidden="1">[107]XREF!#REF!</definedName>
    <definedName name="XRefCopy21" hidden="1">#REF!</definedName>
    <definedName name="XRefCopy21Row" hidden="1">[107]XREF!#REF!</definedName>
    <definedName name="XRefCopy22" hidden="1">#REF!</definedName>
    <definedName name="XRefCopy22Row" hidden="1">[107]XREF!#REF!</definedName>
    <definedName name="XRefCopy23" hidden="1">#REF!</definedName>
    <definedName name="XRefCopy23Row" hidden="1">[107]XREF!#REF!</definedName>
    <definedName name="XRefCopy24" hidden="1">#REF!</definedName>
    <definedName name="XRefCopy24Row" hidden="1">[107]XREF!#REF!</definedName>
    <definedName name="XRefCopy25" hidden="1">#REF!</definedName>
    <definedName name="XRefCopy25Row" hidden="1">[107]XREF!#REF!</definedName>
    <definedName name="XRefCopy26" hidden="1">#REF!</definedName>
    <definedName name="XRefCopy26Row" hidden="1">[107]XREF!#REF!</definedName>
    <definedName name="XRefCopy28" hidden="1">#REF!</definedName>
    <definedName name="XRefCopy29" hidden="1">#REF!</definedName>
    <definedName name="XRefCopy29Row" hidden="1">#REF!</definedName>
    <definedName name="XRefCopy2Row" hidden="1">[108]XREF!#REF!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[108]XREF!#REF!</definedName>
    <definedName name="XRefCopy4" hidden="1">[108]Leadsheet!#REF!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 hidden="1">#REF!</definedName>
    <definedName name="XRefCopy49Row" hidden="1">#REF!</definedName>
    <definedName name="XRefCopy4Row" hidden="1">[108]XREF!#REF!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8Row" hidden="1">#REF!</definedName>
    <definedName name="XRefCopy59" hidden="1">#REF!</definedName>
    <definedName name="XRefCopy59Row" hidden="1">#REF!</definedName>
    <definedName name="XRefCopy5Row" hidden="1">[102]XREF!#REF!</definedName>
    <definedName name="XRefCopy6">[106]현금및등가물명세서!$C$19</definedName>
    <definedName name="XRefCopy60" hidden="1">#REF!</definedName>
    <definedName name="XRefCopy60Row" hidden="1">#REF!</definedName>
    <definedName name="XRefCopy61" hidden="1">#REF!</definedName>
    <definedName name="XRefCopy61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6" hidden="1">#REF!</definedName>
    <definedName name="XRefCopy66Row" hidden="1">#REF!</definedName>
    <definedName name="XRefCopy67" hidden="1">#REF!</definedName>
    <definedName name="XRefCopy67Row" hidden="1">#REF!</definedName>
    <definedName name="XRefCopy68" hidden="1">#REF!</definedName>
    <definedName name="XRefCopy68Row" hidden="1">#REF!</definedName>
    <definedName name="XRefCopy69" hidden="1">#REF!</definedName>
    <definedName name="XRefCopy69Row" hidden="1">#REF!</definedName>
    <definedName name="XRefCopy6Row">[106]XREF!$A$12:$IV$12</definedName>
    <definedName name="XRefCopy7">[106]현금및예치금집계표!$E$20</definedName>
    <definedName name="XRefCopy70" hidden="1">#REF!</definedName>
    <definedName name="XRefCopy70Row" hidden="1">#REF!</definedName>
    <definedName name="XRefCopy71" hidden="1">#REF!</definedName>
    <definedName name="XRefCopy71Row" hidden="1">#REF!</definedName>
    <definedName name="XRefCopy72" hidden="1">#REF!</definedName>
    <definedName name="XRefCopy72Row" hidden="1">#REF!</definedName>
    <definedName name="XRefCopy73" hidden="1">#REF!</definedName>
    <definedName name="XRefCopy73Row" hidden="1">#REF!</definedName>
    <definedName name="XRefCopy74" hidden="1">#REF!</definedName>
    <definedName name="XRefCopy74Row" hidden="1">#REF!</definedName>
    <definedName name="XRefCopy75" hidden="1">#REF!</definedName>
    <definedName name="XRefCopy75Row" hidden="1">#REF!</definedName>
    <definedName name="XRefCopy76" hidden="1">#REF!</definedName>
    <definedName name="XRefCopy76Row" hidden="1">#REF!</definedName>
    <definedName name="XRefCopy77" hidden="1">#REF!</definedName>
    <definedName name="XRefCopy77Row" hidden="1">#REF!</definedName>
    <definedName name="XRefCopy78" hidden="1">#REF!</definedName>
    <definedName name="XRefCopy79" hidden="1">#REF!</definedName>
    <definedName name="XRefCopy79Row" hidden="1">#REF!</definedName>
    <definedName name="XRefCopy7Row" hidden="1">[109]XREF!#REF!</definedName>
    <definedName name="XRefCopy8">[106]현금및등가물명세서!$C$65</definedName>
    <definedName name="XRefCopy80" hidden="1">#REF!</definedName>
    <definedName name="XRefCopy80Row" hidden="1">#REF!</definedName>
    <definedName name="XRefCopy81" hidden="1">#REF!</definedName>
    <definedName name="XRefCopy81Row" hidden="1">#REF!</definedName>
    <definedName name="XRefCopy82" hidden="1">#REF!</definedName>
    <definedName name="XRefCopy82Row" hidden="1">#REF!</definedName>
    <definedName name="XRefCopy83" hidden="1">#REF!</definedName>
    <definedName name="XRefCopy83Row" hidden="1">#REF!</definedName>
    <definedName name="XRefCopy84" hidden="1">#REF!</definedName>
    <definedName name="XRefCopy84Row" hidden="1">#REF!</definedName>
    <definedName name="XRefCopy85" hidden="1">#REF!</definedName>
    <definedName name="XRefCopy85Row" hidden="1">#REF!</definedName>
    <definedName name="XRefCopy86" hidden="1">#REF!</definedName>
    <definedName name="XRefCopy86Row" hidden="1">#REF!</definedName>
    <definedName name="XRefCopy87" hidden="1">#REF!</definedName>
    <definedName name="XRefCopy87Row" hidden="1">#REF!</definedName>
    <definedName name="XRefCopy88" hidden="1">#REF!</definedName>
    <definedName name="XRefCopy88Row" hidden="1">#REF!</definedName>
    <definedName name="XRefCopy89" hidden="1">#REF!</definedName>
    <definedName name="XRefCopy89Row" hidden="1">#REF!</definedName>
    <definedName name="XRefCopy8Row">[106]XREF!$A$16:$IV$16</definedName>
    <definedName name="XRefCopy9">[106]현금및등가물명세서!$C$73</definedName>
    <definedName name="XRefCopy90" hidden="1">#REF!</definedName>
    <definedName name="XRefCopy90Row" hidden="1">#REF!</definedName>
    <definedName name="XRefCopy91" hidden="1">#REF!</definedName>
    <definedName name="XRefCopy91Row" hidden="1">#REF!</definedName>
    <definedName name="XRefCopy92" hidden="1">#REF!</definedName>
    <definedName name="XRefCopy92Row" hidden="1">#REF!</definedName>
    <definedName name="XRefCopy9Row">[106]XREF!$A$18:$IV$18</definedName>
    <definedName name="XRefCopyRangeCount">2</definedName>
    <definedName name="XRefPaste1" hidden="1">#REF!</definedName>
    <definedName name="XRefPaste10" hidden="1">#REF!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4Row" hidden="1">#REF!</definedName>
    <definedName name="XRefPaste10Row" hidden="1">#REF!</definedName>
    <definedName name="XRefPaste11Row" hidden="1">[109]XREF!#REF!</definedName>
    <definedName name="XRefPaste12" hidden="1">'[110]LS '!#REF!</definedName>
    <definedName name="XRefPaste12Row" hidden="1">[109]XREF!#REF!</definedName>
    <definedName name="XRefPaste13" hidden="1">[108]Leadsheet!#REF!</definedName>
    <definedName name="XRefPaste13Row" hidden="1">[108]XREF!#REF!</definedName>
    <definedName name="XRefPaste14" hidden="1">#REF!</definedName>
    <definedName name="XRefPaste14Row" hidden="1">[109]XREF!#REF!</definedName>
    <definedName name="XRefPaste15" hidden="1">#REF!</definedName>
    <definedName name="XRefPaste15Row" hidden="1">[107]XREF!#REF!</definedName>
    <definedName name="XRefPaste16" hidden="1">#REF!</definedName>
    <definedName name="XRefPaste16Row" hidden="1">[109]XREF!#REF!</definedName>
    <definedName name="XRefPaste17" hidden="1">#REF!</definedName>
    <definedName name="XRefPaste17Row" hidden="1">[111]XREF!#REF!</definedName>
    <definedName name="XRefPaste18" hidden="1">#REF!</definedName>
    <definedName name="XRefPaste18Row" hidden="1">[107]XREF!#REF!</definedName>
    <definedName name="XRefPaste19" hidden="1">#REF!</definedName>
    <definedName name="XRefPaste19Row" hidden="1">[107]XREF!#REF!</definedName>
    <definedName name="XRefPaste1Row" hidden="1">#REF!</definedName>
    <definedName name="XRefPaste2" hidden="1">#REF!</definedName>
    <definedName name="XRefPaste20" hidden="1">#REF!</definedName>
    <definedName name="XRefPaste20Row" hidden="1">[109]XREF!#REF!</definedName>
    <definedName name="XRefPaste21" hidden="1">#REF!</definedName>
    <definedName name="XRefPaste21Row" hidden="1">[107]XREF!#REF!</definedName>
    <definedName name="XRefPaste22" hidden="1">#REF!</definedName>
    <definedName name="XRefPaste22Row" hidden="1">[107]XREF!#REF!</definedName>
    <definedName name="XRefPaste23" hidden="1">#REF!</definedName>
    <definedName name="XRefPaste23Row" hidden="1">[107]XREF!#REF!</definedName>
    <definedName name="XRefPaste24" hidden="1">#REF!</definedName>
    <definedName name="XRefPaste24Row" hidden="1">[107]XREF!#REF!</definedName>
    <definedName name="XRefPaste25" hidden="1">#REF!</definedName>
    <definedName name="XRefPaste25Row" hidden="1">[107]XREF!#REF!</definedName>
    <definedName name="XRefPaste26" hidden="1">#REF!</definedName>
    <definedName name="XRefPaste26Row" hidden="1">[107]XREF!#REF!</definedName>
    <definedName name="XRefPaste27" hidden="1">#REF!</definedName>
    <definedName name="XRefPaste27Row" hidden="1">[109]XREF!#REF!</definedName>
    <definedName name="XRefPaste28" hidden="1">#REF!</definedName>
    <definedName name="XRefPaste28Row" hidden="1">[109]XREF!#REF!</definedName>
    <definedName name="XRefPaste29" hidden="1">#REF!</definedName>
    <definedName name="XRefPaste29Row" hidden="1">#REF!</definedName>
    <definedName name="XRefPaste2Row" hidden="1">[109]XREF!#REF!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0" hidden="1">'[112]VAT reconcile'!#REF!</definedName>
    <definedName name="XRefPaste40Row" hidden="1">#REF!</definedName>
    <definedName name="XRefPaste41" hidden="1">#REF!</definedName>
    <definedName name="XRefPaste41Row" hidden="1">#REF!</definedName>
    <definedName name="XRefPaste42" hidden="1">#REF!</definedName>
    <definedName name="XRefPaste42Row" hidden="1">#REF!</definedName>
    <definedName name="XRefPaste43" hidden="1">#REF!</definedName>
    <definedName name="XRefPaste43Row" hidden="1">#REF!</definedName>
    <definedName name="XRefPaste44" hidden="1">#REF!</definedName>
    <definedName name="XRefPaste44Row" hidden="1">#REF!</definedName>
    <definedName name="XRefPaste45" hidden="1">#REF!</definedName>
    <definedName name="XRefPaste45Row" hidden="1">#REF!</definedName>
    <definedName name="XRefPaste46" hidden="1">#REF!</definedName>
    <definedName name="XRefPaste46Row" hidden="1">#REF!</definedName>
    <definedName name="XRefPaste47" hidden="1">#REF!</definedName>
    <definedName name="XRefPaste47Row" hidden="1">#REF!</definedName>
    <definedName name="XRefPaste48" hidden="1">#REF!</definedName>
    <definedName name="XRefPaste48Row" hidden="1">#REF!</definedName>
    <definedName name="XRefPaste49" hidden="1">#REF!</definedName>
    <definedName name="XRefPaste49Row" hidden="1">#REF!</definedName>
    <definedName name="XRefPaste4Row" hidden="1">[102]XREF!#REF!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2" hidden="1">#REF!</definedName>
    <definedName name="XRefPaste52Row" hidden="1">#REF!</definedName>
    <definedName name="XRefPaste53" hidden="1">#REF!</definedName>
    <definedName name="XRefPaste53Row" hidden="1">#REF!</definedName>
    <definedName name="XRefPaste54" hidden="1">#REF!</definedName>
    <definedName name="XRefPaste54Row" hidden="1">[113]XREF!#REF!</definedName>
    <definedName name="XRefPaste55" hidden="1">#REF!</definedName>
    <definedName name="XRefPaste55Row" hidden="1">#REF!</definedName>
    <definedName name="XRefPaste56"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hidden="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3" hidden="1">#REF!</definedName>
    <definedName name="XRefPaste63Row" hidden="1">[97]XREF!#REF!</definedName>
    <definedName name="XRefPaste64" hidden="1">#REF!</definedName>
    <definedName name="XRefPaste65" hidden="1">#REF!</definedName>
    <definedName name="XRefPaste66"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hidden="1">#REF!</definedName>
    <definedName name="XRefPaste7" hidden="1">#REF!</definedName>
    <definedName name="XRefPaste70" hidden="1">#REF!</definedName>
    <definedName name="XRefPaste70Row" hidden="1">#REF!</definedName>
    <definedName name="XRefPaste71" hidden="1">#REF!</definedName>
    <definedName name="XRefPaste71Row" hidden="1">#REF!</definedName>
    <definedName name="XRefPaste72" hidden="1">#REF!</definedName>
    <definedName name="XRefPaste72Row" hidden="1">#REF!</definedName>
    <definedName name="XRefPaste73" hidden="1">#REF!</definedName>
    <definedName name="XRefPaste73Row" hidden="1">#REF!</definedName>
    <definedName name="XRefPaste74" hidden="1">#REF!</definedName>
    <definedName name="XRefPaste74Row"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hidden="1">#REF!</definedName>
    <definedName name="XRefPaste8" hidden="1">#REF!</definedName>
    <definedName name="XRefPaste80" hidden="1">#REF!</definedName>
    <definedName name="XRefPaste80Row" hidden="1">#REF!</definedName>
    <definedName name="XRefPaste81" hidden="1">#REF!</definedName>
    <definedName name="XRefPaste81Row"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5Row" hidden="1">#REF!</definedName>
    <definedName name="XRefPaste86" hidden="1">#REF!</definedName>
    <definedName name="XRefPaste86Row" hidden="1">#REF!</definedName>
    <definedName name="XRefPaste87" hidden="1">#REF!</definedName>
    <definedName name="XRefPaste87Row" hidden="1">#REF!</definedName>
    <definedName name="XRefPaste88" hidden="1">#REF!</definedName>
    <definedName name="XRefPaste88Row" hidden="1">#REF!</definedName>
    <definedName name="XRefPaste89" hidden="1">#REF!</definedName>
    <definedName name="XRefPaste89Row" hidden="1">#REF!</definedName>
    <definedName name="XRefPaste8Row" hidden="1">#REF!</definedName>
    <definedName name="XRefPaste9" hidden="1">#REF!</definedName>
    <definedName name="XRefPaste9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#REF!</definedName>
    <definedName name="XRefPasteRangeCount">40</definedName>
    <definedName name="xxx" localSheetId="1">#REF!</definedName>
    <definedName name="xxx">#REF!</definedName>
    <definedName name="Y10NetGain10Hold">#REF!</definedName>
    <definedName name="Y11NetGain10Hold">#REF!</definedName>
    <definedName name="Y12NetGain10Hold">#REF!</definedName>
    <definedName name="Y13NetGain10Hold">#REF!</definedName>
    <definedName name="Y14NetGain10Hold">#REF!</definedName>
    <definedName name="Y15NetGain10Hold">#REF!</definedName>
    <definedName name="Y16NetGain10Hold">#REF!</definedName>
    <definedName name="Y17NetGain10Hold">#REF!</definedName>
    <definedName name="Y18NetGain10Hold">#REF!</definedName>
    <definedName name="Y19NetGain10Hold">#REF!</definedName>
    <definedName name="Y1NetGain10Hold">#REF!</definedName>
    <definedName name="Y20NetGain10Hold">#REF!</definedName>
    <definedName name="Y22LAG">'[43]1 Cash Flow Analysis'!$Z$36</definedName>
    <definedName name="Y22NOI">'[24]1 Cash Flow Analysis'!#REF!</definedName>
    <definedName name="Y23LAG">'[43]1 Cash Flow Analysis'!$AA$36</definedName>
    <definedName name="Y23NOI">'[24]1 Cash Flow Analysis'!#REF!</definedName>
    <definedName name="Y24LAG">'[43]1 Cash Flow Analysis'!$AB$36</definedName>
    <definedName name="Y24NOI">'[24]1 Cash Flow Analysis'!#REF!</definedName>
    <definedName name="Y25LAG">'[43]1 Cash Flow Analysis'!$AC$36</definedName>
    <definedName name="Y25NOI">'[24]1 Cash Flow Analysis'!#REF!</definedName>
    <definedName name="Y26LAG">'[43]1 Cash Flow Analysis'!$AD$36</definedName>
    <definedName name="Y26NOI">'[24]1 Cash Flow Analysis'!#REF!</definedName>
    <definedName name="Y27LAG">'[43]1 Cash Flow Analysis'!$AE$36</definedName>
    <definedName name="Y27NOI">'[24]1 Cash Flow Analysis'!#REF!</definedName>
    <definedName name="Y28LAG">'[43]1 Cash Flow Analysis'!$AF$36</definedName>
    <definedName name="Y28NOI">'[24]1 Cash Flow Analysis'!#REF!</definedName>
    <definedName name="Y29LAG">'[43]1 Cash Flow Analysis'!$AG$36</definedName>
    <definedName name="Y29NOI">'[24]1 Cash Flow Analysis'!#REF!</definedName>
    <definedName name="Y2NetGain10Hold">#REF!</definedName>
    <definedName name="Y30LAG">'[43]1 Cash Flow Analysis'!$AH$36</definedName>
    <definedName name="Y30NOI">'[24]1 Cash Flow Analysis'!#REF!</definedName>
    <definedName name="Y31LAG">'[43]1 Cash Flow Analysis'!$AI$36</definedName>
    <definedName name="Y31NOI">'[24]1 Cash Flow Analysis'!#REF!</definedName>
    <definedName name="Y3NetGain10Hold">#REF!</definedName>
    <definedName name="Y4NetGain10Hold">#REF!</definedName>
    <definedName name="Y5NetGain10Hold">#REF!</definedName>
    <definedName name="Y6NetGain10Hold">#REF!</definedName>
    <definedName name="Y7NetGain10Hold">#REF!</definedName>
    <definedName name="Y8NetGain10Hold">#REF!</definedName>
    <definedName name="Y9NetGain10Hold">#REF!</definedName>
    <definedName name="Year_To_WesternStyle" localSheetId="1">#REF!</definedName>
    <definedName name="Year_To_WesternStyle">#REF!</definedName>
    <definedName name="YEN1">#REF!</definedName>
    <definedName name="YEN2">#REF!</definedName>
    <definedName name="YEN3">#REF!</definedName>
    <definedName name="YEN4">#REF!</definedName>
    <definedName name="YMMA">#REF!</definedName>
    <definedName name="yoonJongHyunfile" localSheetId="6">'CF(M)'!yoonJongHyunfile</definedName>
    <definedName name="yoonJongHyunfile" localSheetId="7">Key!yoonJongHyunfile</definedName>
    <definedName name="yoonJongHyunfile" localSheetId="3">RE!yoonJongHyunfile</definedName>
    <definedName name="yoonJongHyunfile">[0]!yoonJongHyunfile</definedName>
    <definedName name="Z_18B7B7A5_CB81_11D4_B8D9_00D0B79CFA38_.wvu.FilterData" hidden="1">#REF!</definedName>
    <definedName name="Z_1E68EE86_CB81_11D4_8D98_0008C73BAB8A_.wvu.FilterData" hidden="1">#REF!</definedName>
    <definedName name="Z_6C188702_CB61_11D4_8F58_00508BF61DE6_.wvu.FilterData" hidden="1">#REF!</definedName>
    <definedName name="Z_A56863A1_CC32_11D4_8E20_00D0B79C982E_.wvu.FilterData" hidden="1">#REF!</definedName>
    <definedName name="Zace" localSheetId="6">'CF(M)'!Zace</definedName>
    <definedName name="Zace" localSheetId="7">Key!Zace</definedName>
    <definedName name="Zace" localSheetId="3">RE!Zace</definedName>
    <definedName name="Zace">[0]!Zace</definedName>
    <definedName name="zaceyoon" localSheetId="6">'CF(M)'!zaceyoon</definedName>
    <definedName name="zaceyoon" localSheetId="7">Key!zaceyoon</definedName>
    <definedName name="zaceyoon" localSheetId="3">RE!zaceyoon</definedName>
    <definedName name="zaceyoon">[0]!zaceyoon</definedName>
    <definedName name="ZIP">#N/A</definedName>
    <definedName name="zzz" localSheetId="6" hidden="1">{#N/A,#N/A,FALSE,"이력서&amp;자기소개서"}</definedName>
    <definedName name="zzz" localSheetId="7" hidden="1">{#N/A,#N/A,FALSE,"이력서&amp;자기소개서"}</definedName>
    <definedName name="zzz" localSheetId="3" hidden="1">{#N/A,#N/A,FALSE,"이력서&amp;자기소개서"}</definedName>
    <definedName name="zzz" hidden="1">{#N/A,#N/A,FALSE,"이력서&amp;자기소개서"}</definedName>
    <definedName name="ボタン2_Click">[114]!ボタン2_Click</definedName>
    <definedName name="ז">#REF!</definedName>
    <definedName name="ח">#REF!</definedName>
    <definedName name="מדד_חודש_97__9">"a"</definedName>
    <definedName name="מקדם">#REF!</definedName>
    <definedName name="ㄱ" localSheetId="6" hidden="1">{#N/A,#N/A,TRUE,"대 차 대 조 표"}</definedName>
    <definedName name="ㄱ" localSheetId="7" hidden="1">{#N/A,#N/A,TRUE,"대 차 대 조 표"}</definedName>
    <definedName name="ㄱ" localSheetId="3" hidden="1">{#N/A,#N/A,TRUE,"대 차 대 조 표"}</definedName>
    <definedName name="ㄱ" localSheetId="1" hidden="1">{#N/A,#N/A,FALSE,"BS";#N/A,#N/A,FALSE,"PL";#N/A,#N/A,FALSE,"처분";#N/A,#N/A,FALSE,"현금";#N/A,#N/A,FALSE,"매출";#N/A,#N/A,FALSE,"원가";#N/A,#N/A,FALSE,"경영"}</definedName>
    <definedName name="ㄱ" hidden="1">{#N/A,#N/A,TRUE,"대 차 대 조 표"}</definedName>
    <definedName name="ㄱㄷㄴ" localSheetId="6">'CF(M)'!ㄱㄷㄴ</definedName>
    <definedName name="ㄱㄷㄴ" localSheetId="7">Key!ㄱㄷㄴ</definedName>
    <definedName name="ㄱㄷㄴ" localSheetId="3">RE!ㄱㄷㄴ</definedName>
    <definedName name="ㄱㄷㄴ">[0]!ㄱㄷㄴ</definedName>
    <definedName name="ㄱㅈ3ㄱㅈㄱ" localSheetId="6">BlankMacro1</definedName>
    <definedName name="ㄱㅈ3ㄱㅈㄱ" localSheetId="7">BlankMacro1</definedName>
    <definedName name="ㄱㅈ3ㄱㅈㄱ" localSheetId="3">BlankMacro1</definedName>
    <definedName name="ㄱㅈ3ㄱㅈㄱ">BlankMacro1</definedName>
    <definedName name="가">#REF!</definedName>
    <definedName name="가10층" localSheetId="1">#REF!</definedName>
    <definedName name="가10층">#REF!</definedName>
    <definedName name="가11층" localSheetId="1">#REF!</definedName>
    <definedName name="가11층">#REF!</definedName>
    <definedName name="가12층" localSheetId="1">#REF!</definedName>
    <definedName name="가12층">#REF!</definedName>
    <definedName name="가13층" localSheetId="1">#REF!</definedName>
    <definedName name="가13층">#REF!</definedName>
    <definedName name="가14층" localSheetId="1">#REF!</definedName>
    <definedName name="가14층">#REF!</definedName>
    <definedName name="가15층" localSheetId="1">#REF!</definedName>
    <definedName name="가15층">#REF!</definedName>
    <definedName name="가16층" localSheetId="1">#REF!</definedName>
    <definedName name="가16층">#REF!</definedName>
    <definedName name="가17층" localSheetId="1">#REF!</definedName>
    <definedName name="가17층">#REF!</definedName>
    <definedName name="가18층" localSheetId="1">#REF!</definedName>
    <definedName name="가18층">#REF!</definedName>
    <definedName name="가19층" localSheetId="1">#REF!</definedName>
    <definedName name="가19층">#REF!</definedName>
    <definedName name="가20층" localSheetId="1">#REF!</definedName>
    <definedName name="가20층">#REF!</definedName>
    <definedName name="가21층" localSheetId="1">#REF!</definedName>
    <definedName name="가21층">#REF!</definedName>
    <definedName name="가22층" localSheetId="1">#REF!</definedName>
    <definedName name="가22층">#REF!</definedName>
    <definedName name="가23층" localSheetId="1">#REF!</definedName>
    <definedName name="가23층">#REF!</definedName>
    <definedName name="가24층" localSheetId="1">#REF!</definedName>
    <definedName name="가24층">#REF!</definedName>
    <definedName name="가25층" localSheetId="1">#REF!</definedName>
    <definedName name="가25층">#REF!</definedName>
    <definedName name="가2층" localSheetId="1">#REF!</definedName>
    <definedName name="가2층">#REF!</definedName>
    <definedName name="가3층" localSheetId="1">#REF!</definedName>
    <definedName name="가3층">#REF!</definedName>
    <definedName name="가4층" localSheetId="1">#REF!</definedName>
    <definedName name="가4층">#REF!</definedName>
    <definedName name="가5층" localSheetId="1">#REF!</definedName>
    <definedName name="가5층">#REF!</definedName>
    <definedName name="가6층" localSheetId="1">#REF!</definedName>
    <definedName name="가6층">#REF!</definedName>
    <definedName name="가7층" localSheetId="1">#REF!</definedName>
    <definedName name="가7층">#REF!</definedName>
    <definedName name="가8층" localSheetId="1">#REF!</definedName>
    <definedName name="가8층">#REF!</definedName>
    <definedName name="가9층" localSheetId="1">#REF!</definedName>
    <definedName name="가9층">#REF!</definedName>
    <definedName name="가가">#REF!</definedName>
    <definedName name="가격비">[115]가격비!$B$1:$C$16</definedName>
    <definedName name="가나다">[116]환율!$D$11</definedName>
    <definedName name="가나다11">[116]환율!$D$9</definedName>
    <definedName name="가스로">#REF!</definedName>
    <definedName name="가스료">#REF!</definedName>
    <definedName name="간지목록">#REF!</definedName>
    <definedName name="감가상각비">#REF!</definedName>
    <definedName name="강">[117]회사정보!$C$7</definedName>
    <definedName name="갱신임료수준" localSheetId="1">#REF!</definedName>
    <definedName name="갱신임료수준">#REF!</definedName>
    <definedName name="건물">[28]!건물</definedName>
    <definedName name="견질어음수표1">[116]환율!$B$9</definedName>
    <definedName name="결론" localSheetId="1">[41]conclusion!$A$4:$AA$250</definedName>
    <definedName name="결론">[42]conclusion!$A$4:$AA$250</definedName>
    <definedName name="경영_계획_및_예산">'[77]CHECK LIST'!#REF!</definedName>
    <definedName name="경영계획_및_예산_관리">'[77]CHECK LIST'!#REF!</definedName>
    <definedName name="경영계획_및_예산관리">'[77]CHECK LIST'!#REF!</definedName>
    <definedName name="계약금">[13]미납중도금후납시!$I$2</definedName>
    <definedName name="계정과목">#REF!</definedName>
    <definedName name="계획">#REF!</definedName>
    <definedName name="고" localSheetId="6" hidden="1">{"'통신지'!$A$1:$J$41"}</definedName>
    <definedName name="고" localSheetId="7" hidden="1">{"'통신지'!$A$1:$J$41"}</definedName>
    <definedName name="고" localSheetId="3" hidden="1">{"'통신지'!$A$1:$J$41"}</definedName>
    <definedName name="고" hidden="1">{"'통신지'!$A$1:$J$41"}</definedName>
    <definedName name="고고" localSheetId="6" hidden="1">{"'통신지'!$A$1:$J$41"}</definedName>
    <definedName name="고고" localSheetId="7" hidden="1">{"'통신지'!$A$1:$J$41"}</definedName>
    <definedName name="고고" localSheetId="3" hidden="1">{"'통신지'!$A$1:$J$41"}</definedName>
    <definedName name="고고" hidden="1">{"'통신지'!$A$1:$J$41"}</definedName>
    <definedName name="공간" hidden="1">5</definedName>
    <definedName name="공간관리">'[77]CHECK LIST'!#REF!</definedName>
    <definedName name="공급가">OFFSET([118]issued!$H$6,0,0,COUNTA([118]issued!$H$1:$H$65536)-1)</definedName>
    <definedName name="공기1" hidden="1">#N/A</definedName>
    <definedName name="공백">#REF!</definedName>
    <definedName name="공실률" localSheetId="1">'[16]Initial Input Variable'!$C$19+('[16]Initial Input Variable'!$C$20-'[16]Initial Input Variable'!$C$18)</definedName>
    <definedName name="공실률">'[17]Initial Input Variable'!$C$19+('[17]Initial Input Variable'!$C$20-'[17]Initial Input Variable'!$C$18)</definedName>
    <definedName name="공주2" localSheetId="6" hidden="1">{#N/A,#N/A,FALSE,"동부"}</definedName>
    <definedName name="공주2" localSheetId="7" hidden="1">{#N/A,#N/A,FALSE,"동부"}</definedName>
    <definedName name="공주2" localSheetId="3" hidden="1">{#N/A,#N/A,FALSE,"동부"}</definedName>
    <definedName name="공주2" hidden="1">{#N/A,#N/A,FALSE,"동부"}</definedName>
    <definedName name="관리07년">#REF!</definedName>
    <definedName name="관리비">#REF!</definedName>
    <definedName name="광주">[119]TB!#REF!</definedName>
    <definedName name="교북2">[53]시설총괄!#REF!</definedName>
    <definedName name="교북동">#REF!</definedName>
    <definedName name="교환2001견적">#REF!</definedName>
    <definedName name="교환비교">#REF!</definedName>
    <definedName name="九段住戸">#REF!</definedName>
    <definedName name="구로">[119]TB!#REF!</definedName>
    <definedName name="구분">#REF!</definedName>
    <definedName name="구축물">[28]!구축물</definedName>
    <definedName name="국민연금">#REF!</definedName>
    <definedName name="국제거래"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근태현황_98본사_중원_9월__List">#REF!</definedName>
    <definedName name="금리1" localSheetId="1">'[16]Initial Input Variable'!#REF!</definedName>
    <definedName name="금리1">'[17]Initial Input Variable'!#REF!</definedName>
    <definedName name="금액" localSheetId="6">억&amp;천만&amp;백만&amp;십만&amp;만&amp;천&amp;백&amp;십</definedName>
    <definedName name="금액" localSheetId="7">억&amp;천만&amp;백만&amp;십만&amp;만&amp;천&amp;백&amp;십</definedName>
    <definedName name="금액" localSheetId="3">억&amp;천만&amp;백만&amp;십만&amp;만&amp;천&amp;백&amp;십</definedName>
    <definedName name="금액">억&amp;천만&amp;백만&amp;십만&amp;만&amp;천&amp;백&amp;십</definedName>
    <definedName name="금월요금1">#N/A</definedName>
    <definedName name="금월요금2">#N/A</definedName>
    <definedName name="금월요금3">#N/A</definedName>
    <definedName name="기간">OFFSET([118]issued!$G$6,0,0,COUNTA([118]issued!$G$1:$G$65536)-1)</definedName>
    <definedName name="기계업무3">[120]익월작업계힉!#REF!</definedName>
    <definedName name="기계장치">[28]!기계장치</definedName>
    <definedName name="기본요금1" localSheetId="6">VLOOKUP(#REF!,요금,2)</definedName>
    <definedName name="기본요금1" localSheetId="7">VLOOKUP(#REF!,요금,2)</definedName>
    <definedName name="기본요금1" localSheetId="3">VLOOKUP(#REF!,요금,2)</definedName>
    <definedName name="기본요금1">VLOOKUP(#REF!,요금,2)</definedName>
    <definedName name="기본요금2" localSheetId="6">VLOOKUP(#REF!,요금,2)</definedName>
    <definedName name="기본요금2" localSheetId="7">VLOOKUP(#REF!,요금,2)</definedName>
    <definedName name="기본요금2" localSheetId="3">VLOOKUP(#REF!,요금,2)</definedName>
    <definedName name="기본요금2">VLOOKUP(#REF!,요금,2)</definedName>
    <definedName name="기존_대출" localSheetId="1">'[16]Initial Input Variable'!#REF!</definedName>
    <definedName name="기존_대출">'[17]Initial Input Variable'!#REF!</definedName>
    <definedName name="기존_보증금" localSheetId="1">'[16]Initial Input Variable'!#REF!</definedName>
    <definedName name="기존_보증금">'[17]Initial Input Variable'!#REF!</definedName>
    <definedName name="기준보증금률" localSheetId="1">#REF!</definedName>
    <definedName name="기준보증금률">#REF!</definedName>
    <definedName name="기준액">#REF!</definedName>
    <definedName name="기준표" localSheetId="1">[121]Sheet1!$B$17:$E$22</definedName>
    <definedName name="기준표">[122]Sheet1!$B$17:$E$22</definedName>
    <definedName name="기타잡이익미니">#REF!</definedName>
    <definedName name="기표현황">[123]공사기성!$O$18:$T$59</definedName>
    <definedName name="김진수김진수" localSheetId="6">'CF(M)'!김진수김진수</definedName>
    <definedName name="김진수김진수" localSheetId="7">Key!김진수김진수</definedName>
    <definedName name="김진수김진수" localSheetId="3">RE!김진수김진수</definedName>
    <definedName name="김진수김진수">[0]!김진수김진수</definedName>
    <definedName name="ㄳㄳ">'[10]בית השקעות'!#REF!</definedName>
    <definedName name="ㄴ" localSheetId="6">BlankMacro1</definedName>
    <definedName name="ㄴ" localSheetId="7">BlankMacro1</definedName>
    <definedName name="ㄴ" localSheetId="3">BlankMacro1</definedName>
    <definedName name="ㄴ" localSheetId="1" hidden="1">{#N/A,#N/A,FALSE,"BS";#N/A,#N/A,FALSE,"PL";#N/A,#N/A,FALSE,"처분";#N/A,#N/A,FALSE,"현금";#N/A,#N/A,FALSE,"매출";#N/A,#N/A,FALSE,"원가";#N/A,#N/A,FALSE,"경영"}</definedName>
    <definedName name="ㄴ">BlankMacro1</definedName>
    <definedName name="ㄴㄴ" localSheetId="1">[124]회사정보!$C$8</definedName>
    <definedName name="ㄴㄴ">'[125]인원계획-미화'!#REF!</definedName>
    <definedName name="ㄴㄴㄴ" localSheetId="6" hidden="1">{#N/A,#N/A,TRUE,"대 차 대 조 표"}</definedName>
    <definedName name="ㄴㄴㄴ" localSheetId="7" hidden="1">{#N/A,#N/A,TRUE,"대 차 대 조 표"}</definedName>
    <definedName name="ㄴㄴㄴ" localSheetId="3" hidden="1">{#N/A,#N/A,TRUE,"대 차 대 조 표"}</definedName>
    <definedName name="ㄴㄴㄴ"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ㄴㄴㄴ" hidden="1">{#N/A,#N/A,TRUE,"대 차 대 조 표"}</definedName>
    <definedName name="ㄴㄴㄴㄴ">[126]노무비!#REF!</definedName>
    <definedName name="ㄴㄹ" localSheetId="1">#REF!</definedName>
    <definedName name="ㄴㄹ">#N/A</definedName>
    <definedName name="ㄴㄹㅇㄹㅇㄴ" localSheetId="6" hidden="1">{#N/A,#N/A,FALSE,"Aging Summary";#N/A,#N/A,FALSE,"Ratio Analysis";#N/A,#N/A,FALSE,"Test 120 Day Accts";#N/A,#N/A,FALSE,"Tickmarks"}</definedName>
    <definedName name="ㄴㄹㅇㄹㅇㄴ" localSheetId="7" hidden="1">{#N/A,#N/A,FALSE,"Aging Summary";#N/A,#N/A,FALSE,"Ratio Analysis";#N/A,#N/A,FALSE,"Test 120 Day Accts";#N/A,#N/A,FALSE,"Tickmarks"}</definedName>
    <definedName name="ㄴㄹㅇㄹㅇㄴ" localSheetId="3" hidden="1">{#N/A,#N/A,FALSE,"Aging Summary";#N/A,#N/A,FALSE,"Ratio Analysis";#N/A,#N/A,FALSE,"Test 120 Day Accts";#N/A,#N/A,FALSE,"Tickmarks"}</definedName>
    <definedName name="ㄴㄹㅇㄹㅇㄴ" localSheetId="1" hidden="1">{#N/A,#N/A,FALSE,"Aging Summary";#N/A,#N/A,FALSE,"Ratio Analysis";#N/A,#N/A,FALSE,"Test 120 Day Accts";#N/A,#N/A,FALSE,"Tickmarks"}</definedName>
    <definedName name="ㄴㄹㅇㄹㅇㄴ" hidden="1">{#N/A,#N/A,FALSE,"Aging Summary";#N/A,#N/A,FALSE,"Ratio Analysis";#N/A,#N/A,FALSE,"Test 120 Day Accts";#N/A,#N/A,FALSE,"Tickmarks"}</definedName>
    <definedName name="ㄴㅇㄴㄹ" localSheetId="6">'CF(M)'!ㄴㅇㄴㄹ</definedName>
    <definedName name="ㄴㅇㄴㄹ" localSheetId="7">Key!ㄴㅇㄴㄹ</definedName>
    <definedName name="ㄴㅇㄴㄹ" localSheetId="3">RE!ㄴㅇㄴㄹ</definedName>
    <definedName name="ㄴㅇㄴㄹ">[0]!ㄴㅇㄴㄹ</definedName>
    <definedName name="ㄴㅇㄻㅈㄷㄱㄹ" localSheetId="6">'CF(M)'!ㄴㅇㄻㅈㄷㄱㄹ</definedName>
    <definedName name="ㄴㅇㄻㅈㄷㄱㄹ" localSheetId="7">Key!ㄴㅇㄻㅈㄷㄱㄹ</definedName>
    <definedName name="ㄴㅇㄻㅈㄷㄱㄹ" localSheetId="3">RE!ㄴㅇㄻㅈㄷㄱㄹ</definedName>
    <definedName name="ㄴㅇㄻㅈㄷㄱㄹ">[0]!ㄴㅇㄻㅈㄷㄱㄹ</definedName>
    <definedName name="ㄴㅇㅇㄴ" localSheetId="6" hidden="1">{#N/A,#N/A,FALSE,"동부"}</definedName>
    <definedName name="ㄴㅇㅇㄴ" localSheetId="7" hidden="1">{#N/A,#N/A,FALSE,"동부"}</definedName>
    <definedName name="ㄴㅇㅇㄴ" localSheetId="3" hidden="1">{#N/A,#N/A,FALSE,"동부"}</definedName>
    <definedName name="ㄴㅇㅇㄴ" hidden="1">{#N/A,#N/A,FALSE,"동부"}</definedName>
    <definedName name="나나">[116]환율!$B$14</definedName>
    <definedName name="낙_관" localSheetId="1">'[16]Initial Input Variable'!#REF!</definedName>
    <definedName name="낙_관">'[17]Initial Input Variable'!#REF!</definedName>
    <definedName name="남대문건물기준시가">[127]기준시가!$E$16</definedName>
    <definedName name="내선수금">#REF!</definedName>
    <definedName name="내역서" localSheetId="6" hidden="1">{#N/A,#N/A,TRUE,"대 차 대 조 표"}</definedName>
    <definedName name="내역서" localSheetId="7" hidden="1">{#N/A,#N/A,TRUE,"대 차 대 조 표"}</definedName>
    <definedName name="내역서" localSheetId="3" hidden="1">{#N/A,#N/A,TRUE,"대 차 대 조 표"}</definedName>
    <definedName name="내역서" localSheetId="1" hidden="1">{#N/A,#N/A,TRUE,"대 차 대 조 표"}</definedName>
    <definedName name="내역서" hidden="1">{#N/A,#N/A,TRUE,"대 차 대 조 표"}</definedName>
    <definedName name="년간임료상승률" localSheetId="1">#REF!</definedName>
    <definedName name="년간임료상승률">#REF!</definedName>
    <definedName name="년도">#REF!</definedName>
    <definedName name="년도별예산추정" localSheetId="6">BlankMacro1</definedName>
    <definedName name="년도별예산추정" localSheetId="7">BlankMacro1</definedName>
    <definedName name="년도별예산추정" localSheetId="3">BlankMacro1</definedName>
    <definedName name="년도별예산추정" localSheetId="1">BlankMacro1</definedName>
    <definedName name="년도별예산추정">BlankMacro1</definedName>
    <definedName name="노임">#REF!</definedName>
    <definedName name="ㄷ" localSheetId="6" hidden="1">{#N/A,#N/A,FALSE,"BS";#N/A,#N/A,FALSE,"PL";#N/A,#N/A,FALSE,"처분";#N/A,#N/A,FALSE,"현금";#N/A,#N/A,FALSE,"매출";#N/A,#N/A,FALSE,"원가";#N/A,#N/A,FALSE,"경영"}</definedName>
    <definedName name="ㄷ" localSheetId="7" hidden="1">{#N/A,#N/A,FALSE,"BS";#N/A,#N/A,FALSE,"PL";#N/A,#N/A,FALSE,"처분";#N/A,#N/A,FALSE,"현금";#N/A,#N/A,FALSE,"매출";#N/A,#N/A,FALSE,"원가";#N/A,#N/A,FALSE,"경영"}</definedName>
    <definedName name="ㄷ" localSheetId="3" hidden="1">{#N/A,#N/A,FALSE,"BS";#N/A,#N/A,FALSE,"PL";#N/A,#N/A,FALSE,"처분";#N/A,#N/A,FALSE,"현금";#N/A,#N/A,FALSE,"매출";#N/A,#N/A,FALSE,"원가";#N/A,#N/A,FALSE,"경영"}</definedName>
    <definedName name="ㄷ" localSheetId="1" hidden="1">{#N/A,#N/A,FALSE,"BS";#N/A,#N/A,FALSE,"PL";#N/A,#N/A,FALSE,"처분";#N/A,#N/A,FALSE,"현금";#N/A,#N/A,FALSE,"매출";#N/A,#N/A,FALSE,"원가";#N/A,#N/A,FALSE,"경영"}</definedName>
    <definedName name="ㄷ" hidden="1">{#N/A,#N/A,FALSE,"BS";#N/A,#N/A,FALSE,"PL";#N/A,#N/A,FALSE,"처분";#N/A,#N/A,FALSE,"현금";#N/A,#N/A,FALSE,"매출";#N/A,#N/A,FALSE,"원가";#N/A,#N/A,FALSE,"경영"}</definedName>
    <definedName name="ㄷㄷ"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1" hidden="1">{#N/A,#N/A,FALSE,"BS";#N/A,#N/A,FALSE,"PL";#N/A,#N/A,FALSE,"처분";#N/A,#N/A,FALSE,"현금";#N/A,#N/A,FALSE,"매출";#N/A,#N/A,FALSE,"원가";#N/A,#N/A,FALSE,"경영"}</definedName>
    <definedName name="ㄷㄷ"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ㄷ" localSheetId="6" hidden="1">{#N/A,#N/A,FALSE,"Aging Summary";#N/A,#N/A,FALSE,"Ratio Analysis";#N/A,#N/A,FALSE,"Test 120 Day Accts";#N/A,#N/A,FALSE,"Tickmarks"}</definedName>
    <definedName name="ㄷㄷㄷ" localSheetId="7" hidden="1">{#N/A,#N/A,FALSE,"Aging Summary";#N/A,#N/A,FALSE,"Ratio Analysis";#N/A,#N/A,FALSE,"Test 120 Day Accts";#N/A,#N/A,FALSE,"Tickmarks"}</definedName>
    <definedName name="ㄷㄷㄷ" localSheetId="3" hidden="1">{#N/A,#N/A,FALSE,"Aging Summary";#N/A,#N/A,FALSE,"Ratio Analysis";#N/A,#N/A,FALSE,"Test 120 Day Accts";#N/A,#N/A,FALSE,"Tickmarks"}</definedName>
    <definedName name="ㄷㄷㄷ" localSheetId="1" hidden="1">{#N/A,#N/A,FALSE,"Aging Summary";#N/A,#N/A,FALSE,"Ratio Analysis";#N/A,#N/A,FALSE,"Test 120 Day Accts";#N/A,#N/A,FALSE,"Tickmarks"}</definedName>
    <definedName name="ㄷㄷㄷ" hidden="1">{#N/A,#N/A,FALSE,"Aging Summary";#N/A,#N/A,FALSE,"Ratio Analysis";#N/A,#N/A,FALSE,"Test 120 Day Accts";#N/A,#N/A,FALSE,"Tickmarks"}</definedName>
    <definedName name="ㄷㄷㄷㄷㄷ" localSheetId="6" hidden="1">{#N/A,#N/A,FALSE,"동부"}</definedName>
    <definedName name="ㄷㄷㄷㄷㄷ" localSheetId="7" hidden="1">{#N/A,#N/A,FALSE,"동부"}</definedName>
    <definedName name="ㄷㄷㄷㄷㄷ" localSheetId="3" hidden="1">{#N/A,#N/A,FALSE,"동부"}</definedName>
    <definedName name="ㄷㄷㄷㄷㄷ" hidden="1">{#N/A,#N/A,FALSE,"동부"}</definedName>
    <definedName name="ㄷㄷㄷㄷㅈㅈㅈㅈ" localSheetId="6" hidden="1">{"'통신지'!$A$1:$J$41"}</definedName>
    <definedName name="ㄷㄷㄷㄷㅈㅈㅈㅈ" localSheetId="7" hidden="1">{"'통신지'!$A$1:$J$41"}</definedName>
    <definedName name="ㄷㄷㄷㄷㅈㅈㅈㅈ" localSheetId="3" hidden="1">{"'통신지'!$A$1:$J$41"}</definedName>
    <definedName name="ㄷㄷㄷㄷㅈㅈㅈㅈ" hidden="1">{"'통신지'!$A$1:$J$41"}</definedName>
    <definedName name="ㄷㅇㄹ"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칠">[35]노무비!#REF!</definedName>
    <definedName name="다시">#REF!</definedName>
    <definedName name="다시2">#REF!</definedName>
    <definedName name="다시3">#REF!</definedName>
    <definedName name="다시4">#REF!</definedName>
    <definedName name="단">#REF!</definedName>
    <definedName name="단가" localSheetId="1">[41]결정단가!$A$4:$D$250</definedName>
    <definedName name="단가">[42]결정단가!$A$4:$D$250</definedName>
    <definedName name="단가표">#REF!</definedName>
    <definedName name="단위" localSheetId="1">'[128]S&amp;R'!$F$51</definedName>
    <definedName name="단위">'[129]S&amp;R'!$F$51</definedName>
    <definedName name="단위조정_백만">'[130]Table(전)'!$L$25</definedName>
    <definedName name="당월분지우개">#REF!,#REF!,#REF!,#REF!,#REF!,#REF!,#REF!,#REF!,#REF!,#REF!,#REF!,#REF!,#REF!,#REF!,#REF!,#REF!,#REF!,#REF!,#REF!</definedName>
    <definedName name="대">#REF!</definedName>
    <definedName name="대구" localSheetId="6" hidden="1">{#N/A,#N/A,TRUE,"대 차 대 조 표"}</definedName>
    <definedName name="대구" localSheetId="7" hidden="1">{#N/A,#N/A,TRUE,"대 차 대 조 표"}</definedName>
    <definedName name="대구" localSheetId="3" hidden="1">{#N/A,#N/A,TRUE,"대 차 대 조 표"}</definedName>
    <definedName name="대구" localSheetId="1">[119]TB!#REF!</definedName>
    <definedName name="대구" hidden="1">{#N/A,#N/A,TRUE,"대 차 대 조 표"}</definedName>
    <definedName name="대구200203빌딩별임차현황" localSheetId="6" hidden="1">{#N/A,#N/A,FALSE,"동부"}</definedName>
    <definedName name="대구200203빌딩별임차현황" localSheetId="7" hidden="1">{#N/A,#N/A,FALSE,"동부"}</definedName>
    <definedName name="대구200203빌딩별임차현황" localSheetId="3" hidden="1">{#N/A,#N/A,FALSE,"동부"}</definedName>
    <definedName name="대구200203빌딩별임차현황" hidden="1">{#N/A,#N/A,FALSE,"동부"}</definedName>
    <definedName name="대구200207" localSheetId="6" hidden="1">{#N/A,#N/A,FALSE,"동부"}</definedName>
    <definedName name="대구200207" localSheetId="7" hidden="1">{#N/A,#N/A,FALSE,"동부"}</definedName>
    <definedName name="대구200207" localSheetId="3" hidden="1">{#N/A,#N/A,FALSE,"동부"}</definedName>
    <definedName name="대구200207" hidden="1">{#N/A,#N/A,FALSE,"동부"}</definedName>
    <definedName name="대구대구" localSheetId="6" hidden="1">{#N/A,#N/A,FALSE,"동부"}</definedName>
    <definedName name="대구대구" localSheetId="7" hidden="1">{#N/A,#N/A,FALSE,"동부"}</definedName>
    <definedName name="대구대구" localSheetId="3" hidden="1">{#N/A,#N/A,FALSE,"동부"}</definedName>
    <definedName name="대구대구" hidden="1">{#N/A,#N/A,FALSE,"동부"}</definedName>
    <definedName name="대규모기업집단" localSheetId="6" hidden="1">{#N/A,#N/A,FALSE,"Aging Summary";#N/A,#N/A,FALSE,"Ratio Analysis";#N/A,#N/A,FALSE,"Test 120 Day Accts";#N/A,#N/A,FALSE,"Tickmarks"}</definedName>
    <definedName name="대규모기업집단" localSheetId="7" hidden="1">{#N/A,#N/A,FALSE,"Aging Summary";#N/A,#N/A,FALSE,"Ratio Analysis";#N/A,#N/A,FALSE,"Test 120 Day Accts";#N/A,#N/A,FALSE,"Tickmarks"}</definedName>
    <definedName name="대규모기업집단" localSheetId="3" hidden="1">{#N/A,#N/A,FALSE,"Aging Summary";#N/A,#N/A,FALSE,"Ratio Analysis";#N/A,#N/A,FALSE,"Test 120 Day Accts";#N/A,#N/A,FALSE,"Tickmarks"}</definedName>
    <definedName name="대규모기업집단" localSheetId="1" hidden="1">{#N/A,#N/A,FALSE,"Aging Summary";#N/A,#N/A,FALSE,"Ratio Analysis";#N/A,#N/A,FALSE,"Test 120 Day Accts";#N/A,#N/A,FALSE,"Tickmarks"}</definedName>
    <definedName name="대규모기업집단" hidden="1">{#N/A,#N/A,FALSE,"Aging Summary";#N/A,#N/A,FALSE,"Ratio Analysis";#N/A,#N/A,FALSE,"Test 120 Day Accts";#N/A,#N/A,FALSE,"Tickmarks"}</definedName>
    <definedName name="대전">[119]TB!#REF!</definedName>
    <definedName name="대차대조표.." hidden="1">#N/A</definedName>
    <definedName name="대표자성명">[117]회사정보!$C$7</definedName>
    <definedName name="대흥" localSheetId="6" hidden="1">{#N/A,#N/A,TRUE,"대 차 대 조 표"}</definedName>
    <definedName name="대흥" localSheetId="7" hidden="1">{#N/A,#N/A,TRUE,"대 차 대 조 표"}</definedName>
    <definedName name="대흥" localSheetId="3" hidden="1">{#N/A,#N/A,TRUE,"대 차 대 조 표"}</definedName>
    <definedName name="대흥" localSheetId="1" hidden="1">{#N/A,#N/A,TRUE,"대 차 대 조 표"}</definedName>
    <definedName name="대흥" hidden="1">{#N/A,#N/A,TRUE,"대 차 대 조 표"}</definedName>
    <definedName name="덕산">#REF!</definedName>
    <definedName name="돼지" localSheetId="6" hidden="1">{#N/A,#N/A,TRUE,"대 차 대 조 표"}</definedName>
    <definedName name="돼지" localSheetId="7" hidden="1">{#N/A,#N/A,TRUE,"대 차 대 조 표"}</definedName>
    <definedName name="돼지" localSheetId="3" hidden="1">{#N/A,#N/A,TRUE,"대 차 대 조 표"}</definedName>
    <definedName name="돼지" localSheetId="1" hidden="1">{#N/A,#N/A,TRUE,"대 차 대 조 표"}</definedName>
    <definedName name="돼지" hidden="1">{#N/A,#N/A,TRUE,"대 차 대 조 표"}</definedName>
    <definedName name="등기부등본내용" localSheetId="6">BlankMacro1</definedName>
    <definedName name="등기부등본내용" localSheetId="7">BlankMacro1</definedName>
    <definedName name="등기부등본내용" localSheetId="3">BlankMacro1</definedName>
    <definedName name="등기부등본내용" localSheetId="1">BlankMacro1</definedName>
    <definedName name="등기부등본내용">BlankMacro1</definedName>
    <definedName name="ㄹ" localSheetId="6" hidden="1">{"AJD",#N/A,TRUE,"Summary";"AJD",#N/A,TRUE,"CFCONC-outputs";"AJD",#N/A,TRUE,"P&amp;LCONC-outputs";"AJD",#N/A,TRUE,"BSCONC-outputs";"AJD",#N/A,TRUE,"FSCONC-outputs"}</definedName>
    <definedName name="ㄹ" localSheetId="7" hidden="1">{"AJD",#N/A,TRUE,"Summary";"AJD",#N/A,TRUE,"CFCONC-outputs";"AJD",#N/A,TRUE,"P&amp;LCONC-outputs";"AJD",#N/A,TRUE,"BSCONC-outputs";"AJD",#N/A,TRUE,"FSCONC-outputs"}</definedName>
    <definedName name="ㄹ" localSheetId="3" hidden="1">{"AJD",#N/A,TRUE,"Summary";"AJD",#N/A,TRUE,"CFCONC-outputs";"AJD",#N/A,TRUE,"P&amp;LCONC-outputs";"AJD",#N/A,TRUE,"BSCONC-outputs";"AJD",#N/A,TRUE,"FSCONC-outputs"}</definedName>
    <definedName name="ㄹ" localSheetId="1" hidden="1">{#N/A,#N/A,FALSE,"BS";#N/A,#N/A,FALSE,"PL";#N/A,#N/A,FALSE,"처분";#N/A,#N/A,FALSE,"현금";#N/A,#N/A,FALSE,"매출";#N/A,#N/A,FALSE,"원가";#N/A,#N/A,FALSE,"경영"}</definedName>
    <definedName name="ㄹ" hidden="1">{"AJD",#N/A,TRUE,"Summary";"AJD",#N/A,TRUE,"CFCONC-outputs";"AJD",#N/A,TRUE,"P&amp;LCONC-outputs";"AJD",#N/A,TRUE,"BSCONC-outputs";"AJD",#N/A,TRUE,"FSCONC-outputs"}</definedName>
    <definedName name="ㄹㄴㅇㄹ"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ㄹ" localSheetId="6" hidden="1">{#N/A,#N/A,FALSE,"BS";#N/A,#N/A,FALSE,"PL";#N/A,#N/A,FALSE,"처분";#N/A,#N/A,FALSE,"현금";#N/A,#N/A,FALSE,"매출";#N/A,#N/A,FALSE,"원가";#N/A,#N/A,FALSE,"경영"}</definedName>
    <definedName name="ㄹㄹ" localSheetId="7" hidden="1">{#N/A,#N/A,FALSE,"BS";#N/A,#N/A,FALSE,"PL";#N/A,#N/A,FALSE,"처분";#N/A,#N/A,FALSE,"현금";#N/A,#N/A,FALSE,"매출";#N/A,#N/A,FALSE,"원가";#N/A,#N/A,FALSE,"경영"}</definedName>
    <definedName name="ㄹㄹ" localSheetId="3" hidden="1">{#N/A,#N/A,FALSE,"BS";#N/A,#N/A,FALSE,"PL";#N/A,#N/A,FALSE,"처분";#N/A,#N/A,FALSE,"현금";#N/A,#N/A,FALSE,"매출";#N/A,#N/A,FALSE,"원가";#N/A,#N/A,FALSE,"경영"}</definedName>
    <definedName name="ㄹㄹ" localSheetId="1" hidden="1">{#N/A,#N/A,FALSE,"BS";#N/A,#N/A,FALSE,"PL";#N/A,#N/A,FALSE,"처분";#N/A,#N/A,FALSE,"현금";#N/A,#N/A,FALSE,"매출";#N/A,#N/A,FALSE,"원가";#N/A,#N/A,FALSE,"경영"}</definedName>
    <definedName name="ㄹㄹ" hidden="1">{#N/A,#N/A,FALSE,"BS";#N/A,#N/A,FALSE,"PL";#N/A,#N/A,FALSE,"처분";#N/A,#N/A,FALSE,"현금";#N/A,#N/A,FALSE,"매출";#N/A,#N/A,FALSE,"원가";#N/A,#N/A,FALSE,"경영"}</definedName>
    <definedName name="ㄹㄹㄷㄹ" localSheetId="6" hidden="1">{#N/A,#N/A,TRUE,"대 차 대 조 표"}</definedName>
    <definedName name="ㄹㄹㄷㄹ" localSheetId="7" hidden="1">{#N/A,#N/A,TRUE,"대 차 대 조 표"}</definedName>
    <definedName name="ㄹㄹㄷㄹ" localSheetId="3" hidden="1">{#N/A,#N/A,TRUE,"대 차 대 조 표"}</definedName>
    <definedName name="ㄹㄹㄷㄹ" localSheetId="1" hidden="1">{#N/A,#N/A,TRUE,"대 차 대 조 표"}</definedName>
    <definedName name="ㄹㄹㄷㄹ" hidden="1">{#N/A,#N/A,TRUE,"대 차 대 조 표"}</definedName>
    <definedName name="ㄹㄹㄹ"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hidden="1">{#N/A,#N/A,FALSE,"손익표지";#N/A,#N/A,FALSE,"손익계산";#N/A,#N/A,FALSE,"일반관리비";#N/A,#N/A,FALSE,"영업외수익";#N/A,#N/A,FALSE,"영업외비용";#N/A,#N/A,FALSE,"매출액";#N/A,#N/A,FALSE,"요약손익";#N/A,#N/A,FALSE,"요약대차";#N/A,#N/A,FALSE,"매출채권현황";#N/A,#N/A,FALSE,"매출채권명세"}</definedName>
    <definedName name="랜트롤" localSheetId="6" hidden="1">{#N/A,#N/A,FALSE,"동부"}</definedName>
    <definedName name="랜트롤" localSheetId="7" hidden="1">{#N/A,#N/A,FALSE,"동부"}</definedName>
    <definedName name="랜트롤" localSheetId="3" hidden="1">{#N/A,#N/A,FALSE,"동부"}</definedName>
    <definedName name="랜트롤" hidden="1">{#N/A,#N/A,FALSE,"동부"}</definedName>
    <definedName name="러ㅏㅇ"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리셋">#REF!</definedName>
    <definedName name="리스트">#REF!</definedName>
    <definedName name="리포트">'[77]CHECK LIST'!#REF!</definedName>
    <definedName name="ㄺ" localSheetId="6" hidden="1">{#N/A,#N/A,FALSE,"Aging Summary";#N/A,#N/A,FALSE,"Ratio Analysis";#N/A,#N/A,FALSE,"Test 120 Day Accts";#N/A,#N/A,FALSE,"Tickmarks"}</definedName>
    <definedName name="ㄺ" localSheetId="7" hidden="1">{#N/A,#N/A,FALSE,"Aging Summary";#N/A,#N/A,FALSE,"Ratio Analysis";#N/A,#N/A,FALSE,"Test 120 Day Accts";#N/A,#N/A,FALSE,"Tickmarks"}</definedName>
    <definedName name="ㄺ" localSheetId="3" hidden="1">{#N/A,#N/A,FALSE,"Aging Summary";#N/A,#N/A,FALSE,"Ratio Analysis";#N/A,#N/A,FALSE,"Test 120 Day Accts";#N/A,#N/A,FALSE,"Tickmarks"}</definedName>
    <definedName name="ㄺ" localSheetId="1" hidden="1">{#N/A,#N/A,FALSE,"Aging Summary";#N/A,#N/A,FALSE,"Ratio Analysis";#N/A,#N/A,FALSE,"Test 120 Day Accts";#N/A,#N/A,FALSE,"Tickmarks"}</definedName>
    <definedName name="ㄺ" hidden="1">{#N/A,#N/A,FALSE,"Aging Summary";#N/A,#N/A,FALSE,"Ratio Analysis";#N/A,#N/A,FALSE,"Test 120 Day Accts";#N/A,#N/A,FALSE,"Tickmarks"}</definedName>
    <definedName name="ㄿ" localSheetId="6">INDEX(#REF!,월)</definedName>
    <definedName name="ㄿ" localSheetId="7">INDEX(#REF!,월)</definedName>
    <definedName name="ㄿ" localSheetId="3">INDEX(#REF!,월)</definedName>
    <definedName name="ㄿ">INDEX(#REF!,월)</definedName>
    <definedName name="ㅁ" localSheetId="6">BlankMacro1</definedName>
    <definedName name="ㅁ" localSheetId="7">BlankMacro1</definedName>
    <definedName name="ㅁ" localSheetId="3">BlankMacro1</definedName>
    <definedName name="ㅁ" localSheetId="1" hidden="1">{#N/A,#N/A,FALSE,"BS";#N/A,#N/A,FALSE,"PL";#N/A,#N/A,FALSE,"처분";#N/A,#N/A,FALSE,"현금";#N/A,#N/A,FALSE,"매출";#N/A,#N/A,FALSE,"원가";#N/A,#N/A,FALSE,"경영"}</definedName>
    <definedName name="ㅁ">BlankMacro1</definedName>
    <definedName name="ㅁ1" localSheetId="1">#REF!</definedName>
    <definedName name="ㅁ1">#REF!</definedName>
    <definedName name="ㅁㄴ" localSheetId="6">BlankMacro1</definedName>
    <definedName name="ㅁㄴ" localSheetId="7">BlankMacro1</definedName>
    <definedName name="ㅁㄴ" localSheetId="3">BlankMacro1</definedName>
    <definedName name="ㅁㄴ" localSheetId="1">BlankMacro1</definedName>
    <definedName name="ㅁㄴ">BlankMacro1</definedName>
    <definedName name="ㅁㄴㅇㄻㄴㅇㄻㄴㅇㄻㄴㅇ" localSheetId="6" hidden="1">{"budget1",#N/A,FALSE,"BUDG.XLS";"budget2",#N/A,FALSE,"BUDG.XLS"}</definedName>
    <definedName name="ㅁㄴㅇㄻㄴㅇㄻㄴㅇㄻㄴㅇ" localSheetId="7" hidden="1">{"budget1",#N/A,FALSE,"BUDG.XLS";"budget2",#N/A,FALSE,"BUDG.XLS"}</definedName>
    <definedName name="ㅁㄴㅇㄻㄴㅇㄻㄴㅇㄻㄴㅇ" localSheetId="3" hidden="1">{"budget1",#N/A,FALSE,"BUDG.XLS";"budget2",#N/A,FALSE,"BUDG.XLS"}</definedName>
    <definedName name="ㅁㄴㅇㄻㄴㅇㄻㄴㅇㄻㄴㅇ" localSheetId="1" hidden="1">{"budget1",#N/A,FALSE,"BUDG.XLS";"budget2",#N/A,FALSE,"BUDG.XLS"}</definedName>
    <definedName name="ㅁㄴㅇㄻㄴㅇㄻㄴㅇㄻㄴㅇ" hidden="1">{"budget1",#N/A,FALSE,"BUDG.XLS";"budget2",#N/A,FALSE,"BUDG.XLS"}</definedName>
    <definedName name="ㅁㄹ" localSheetId="6">VLOOKUP(#REF!,요금,2)</definedName>
    <definedName name="ㅁㄹ" localSheetId="7">VLOOKUP(#REF!,요금,2)</definedName>
    <definedName name="ㅁㄹ" localSheetId="3">VLOOKUP(#REF!,요금,2)</definedName>
    <definedName name="ㅁㄹ">VLOOKUP(#REF!,요금,2)</definedName>
    <definedName name="ㅁㄹㄹㄹㄹ">VLOOKUP(#REF!,[50]!요금,2)</definedName>
    <definedName name="ㅁㅁ">#REF!</definedName>
    <definedName name="ㅁㅁㅁ" localSheetId="1" hidden="1">{#N/A,#N/A,FALSE,"BS";#N/A,#N/A,FALSE,"PL";#N/A,#N/A,FALSE,"처분";#N/A,#N/A,FALSE,"현금";#N/A,#N/A,FALSE,"매출";#N/A,#N/A,FALSE,"원가";#N/A,#N/A,FALSE,"경영"}</definedName>
    <definedName name="ㅁㅁㅁ">#REF!</definedName>
    <definedName name="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ㅁㅁㅁㅁㅁㅁ" localSheetId="6">'CF(M)'!ㅁㅁㅁㅁㅁㅁㅁㅁㅁㅁㅁㅁㅁㅁ</definedName>
    <definedName name="ㅁㅁㅁㅁㅁㅁㅁㅁㅁㅁㅁㅁㅁㅁ" localSheetId="7">Key!ㅁㅁㅁㅁㅁㅁㅁㅁㅁㅁㅁㅁㅁㅁ</definedName>
    <definedName name="ㅁㅁㅁㅁㅁㅁㅁㅁㅁㅁㅁㅁㅁㅁ" localSheetId="3">RE!ㅁㅁㅁㅁㅁㅁㅁㅁㅁㅁㅁㅁㅁㅁ</definedName>
    <definedName name="ㅁㅁㅁㅁㅁㅁㅁㅁㅁㅁㅁㅁㅁㅁ">[0]!ㅁㅁㅁㅁㅁㅁㅁㅁㅁㅁㅁㅁㅁㅁ</definedName>
    <definedName name="만">IF(INT(RIGHT(#REF!,5)/10000)=0,"",CHOOSE(INT(RIGHT(#REF!,5)/10000),"일","이","삼","사","오","육","칠","팔","구"))&amp;IF(INT(RIGHT(#REF!,8)/10000)=0,"","만")</definedName>
    <definedName name="매각가적용기준">#REF!</definedName>
    <definedName name="매출">[131]과!#REF!</definedName>
    <definedName name="메롱" localSheetId="6" hidden="1">{#N/A,#N/A,FALSE,"동부"}</definedName>
    <definedName name="메롱" localSheetId="7" hidden="1">{#N/A,#N/A,FALSE,"동부"}</definedName>
    <definedName name="메롱" localSheetId="3" hidden="1">{#N/A,#N/A,FALSE,"동부"}</definedName>
    <definedName name="메롱" hidden="1">{#N/A,#N/A,FALSE,"동부"}</definedName>
    <definedName name="면담">#REF!</definedName>
    <definedName name="면적">#REF!</definedName>
    <definedName name="면적표" localSheetId="1">#REF!</definedName>
    <definedName name="면적표">#REF!</definedName>
    <definedName name="명세서">#REF!</definedName>
    <definedName name="모르">#REF!</definedName>
    <definedName name="모름">[132]회사정보!$C$8</definedName>
    <definedName name="목록">#REF!</definedName>
    <definedName name="몰">'[19]인원계획-미화'!#REF!</definedName>
    <definedName name="무형자산" localSheetId="6" hidden="1">{#N/A,#N/A,FALSE,"Aging Summary";#N/A,#N/A,FALSE,"Ratio Analysis";#N/A,#N/A,FALSE,"Test 120 Day Accts";#N/A,#N/A,FALSE,"Tickmarks"}</definedName>
    <definedName name="무형자산" localSheetId="7" hidden="1">{#N/A,#N/A,FALSE,"Aging Summary";#N/A,#N/A,FALSE,"Ratio Analysis";#N/A,#N/A,FALSE,"Test 120 Day Accts";#N/A,#N/A,FALSE,"Tickmarks"}</definedName>
    <definedName name="무형자산" localSheetId="3" hidden="1">{#N/A,#N/A,FALSE,"Aging Summary";#N/A,#N/A,FALSE,"Ratio Analysis";#N/A,#N/A,FALSE,"Test 120 Day Accts";#N/A,#N/A,FALSE,"Tickmarks"}</definedName>
    <definedName name="무형자산" localSheetId="1" hidden="1">{#N/A,#N/A,FALSE,"Aging Summary";#N/A,#N/A,FALSE,"Ratio Analysis";#N/A,#N/A,FALSE,"Test 120 Day Accts";#N/A,#N/A,FALSE,"Tickmarks"}</definedName>
    <definedName name="무형자산" hidden="1">{#N/A,#N/A,FALSE,"Aging Summary";#N/A,#N/A,FALSE,"Ratio Analysis";#N/A,#N/A,FALSE,"Test 120 Day Accts";#N/A,#N/A,FALSE,"Tickmarks"}</definedName>
    <definedName name="미수금">#REF!</definedName>
    <definedName name="미수수익" localSheetId="6" hidden="1">{#N/A,#N/A,FALSE,"BS";#N/A,#N/A,FALSE,"PL";#N/A,#N/A,FALSE,"처분";#N/A,#N/A,FALSE,"현금";#N/A,#N/A,FALSE,"매출";#N/A,#N/A,FALSE,"원가";#N/A,#N/A,FALSE,"경영"}</definedName>
    <definedName name="미수수익" localSheetId="7" hidden="1">{#N/A,#N/A,FALSE,"BS";#N/A,#N/A,FALSE,"PL";#N/A,#N/A,FALSE,"처분";#N/A,#N/A,FALSE,"현금";#N/A,#N/A,FALSE,"매출";#N/A,#N/A,FALSE,"원가";#N/A,#N/A,FALSE,"경영"}</definedName>
    <definedName name="미수수익" localSheetId="3" hidden="1">{#N/A,#N/A,FALSE,"BS";#N/A,#N/A,FALSE,"PL";#N/A,#N/A,FALSE,"처분";#N/A,#N/A,FALSE,"현금";#N/A,#N/A,FALSE,"매출";#N/A,#N/A,FALSE,"원가";#N/A,#N/A,FALSE,"경영"}</definedName>
    <definedName name="미수수익" localSheetId="1" hidden="1">{#N/A,#N/A,FALSE,"BS";#N/A,#N/A,FALSE,"PL";#N/A,#N/A,FALSE,"처분";#N/A,#N/A,FALSE,"현금";#N/A,#N/A,FALSE,"매출";#N/A,#N/A,FALSE,"원가";#N/A,#N/A,FALSE,"경영"}</definedName>
    <definedName name="미수수익" hidden="1">{#N/A,#N/A,FALSE,"BS";#N/A,#N/A,FALSE,"PL";#N/A,#N/A,FALSE,"처분";#N/A,#N/A,FALSE,"현금";#N/A,#N/A,FALSE,"매출";#N/A,#N/A,FALSE,"원가";#N/A,#N/A,FALSE,"경영"}</definedName>
    <definedName name="미수이자1" hidden="1">#N/A</definedName>
    <definedName name="미아ㅓ리머읾ㅇㄹ" localSheetId="6">'CF(M)'!미아ㅓ리머읾ㅇㄹ</definedName>
    <definedName name="미아ㅓ리머읾ㅇㄹ" localSheetId="7">Key!미아ㅓ리머읾ㅇㄹ</definedName>
    <definedName name="미아ㅓ리머읾ㅇㄹ" localSheetId="3">RE!미아ㅓ리머읾ㅇㄹ</definedName>
    <definedName name="미아ㅓ리머읾ㅇㄹ">[0]!미아ㅓ리머읾ㅇㄹ</definedName>
    <definedName name="미지">[28]!미지</definedName>
    <definedName name="미지급금">[28]!미지급금</definedName>
    <definedName name="미지급비">#REF!</definedName>
    <definedName name="미화" localSheetId="6" hidden="1">{#N/A,#N/A,FALSE,"이력서&amp;자기소개서"}</definedName>
    <definedName name="미화" localSheetId="7" hidden="1">{#N/A,#N/A,FALSE,"이력서&amp;자기소개서"}</definedName>
    <definedName name="미화" localSheetId="3" hidden="1">{#N/A,#N/A,FALSE,"이력서&amp;자기소개서"}</definedName>
    <definedName name="미화" localSheetId="1" hidden="1">{#N/A,#N/A,FALSE,"이력서&amp;자기소개서"}</definedName>
    <definedName name="미화" hidden="1">{#N/A,#N/A,FALSE,"이력서&amp;자기소개서"}</definedName>
    <definedName name="미화2" localSheetId="6" hidden="1">{#N/A,#N/A,FALSE,"이력서&amp;자기소개서"}</definedName>
    <definedName name="미화2" localSheetId="7" hidden="1">{#N/A,#N/A,FALSE,"이력서&amp;자기소개서"}</definedName>
    <definedName name="미화2" localSheetId="3" hidden="1">{#N/A,#N/A,FALSE,"이력서&amp;자기소개서"}</definedName>
    <definedName name="미화2" hidden="1">{#N/A,#N/A,FALSE,"이력서&amp;자기소개서"}</definedName>
    <definedName name="ㅂ" localSheetId="6" hidden="1">{#N/A,#N/A,FALSE,"BS";#N/A,#N/A,FALSE,"PL";#N/A,#N/A,FALSE,"처분";#N/A,#N/A,FALSE,"현금";#N/A,#N/A,FALSE,"매출";#N/A,#N/A,FALSE,"원가";#N/A,#N/A,FALSE,"경영"}</definedName>
    <definedName name="ㅂ" localSheetId="7" hidden="1">{#N/A,#N/A,FALSE,"BS";#N/A,#N/A,FALSE,"PL";#N/A,#N/A,FALSE,"처분";#N/A,#N/A,FALSE,"현금";#N/A,#N/A,FALSE,"매출";#N/A,#N/A,FALSE,"원가";#N/A,#N/A,FALSE,"경영"}</definedName>
    <definedName name="ㅂ" localSheetId="3" hidden="1">{#N/A,#N/A,FALSE,"BS";#N/A,#N/A,FALSE,"PL";#N/A,#N/A,FALSE,"처분";#N/A,#N/A,FALSE,"현금";#N/A,#N/A,FALSE,"매출";#N/A,#N/A,FALSE,"원가";#N/A,#N/A,FALSE,"경영"}</definedName>
    <definedName name="ㅂ" localSheetId="1" hidden="1">{#N/A,#N/A,FALSE,"BS";#N/A,#N/A,FALSE,"PL";#N/A,#N/A,FALSE,"처분";#N/A,#N/A,FALSE,"현금";#N/A,#N/A,FALSE,"매출";#N/A,#N/A,FALSE,"원가";#N/A,#N/A,FALSE,"경영"}</definedName>
    <definedName name="ㅂ" hidden="1">{#N/A,#N/A,FALSE,"BS";#N/A,#N/A,FALSE,"PL";#N/A,#N/A,FALSE,"처분";#N/A,#N/A,FALSE,"현금";#N/A,#N/A,FALSE,"매출";#N/A,#N/A,FALSE,"원가";#N/A,#N/A,FALSE,"경영"}</definedName>
    <definedName name="ㅂㄴ" localSheetId="6">INDEX(#REF!,월)</definedName>
    <definedName name="ㅂㄴ" localSheetId="7">INDEX(#REF!,월)</definedName>
    <definedName name="ㅂㄴ" localSheetId="3">INDEX(#REF!,월)</definedName>
    <definedName name="ㅂㄴ">INDEX(#REF!,월)</definedName>
    <definedName name="ㅂㅂ">#REF!</definedName>
    <definedName name="ㅂㅂㅂ"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ㅂ" hidden="1">{#N/A,#N/A,FALSE,"손익표지";#N/A,#N/A,FALSE,"손익계산";#N/A,#N/A,FALSE,"일반관리비";#N/A,#N/A,FALSE,"영업외수익";#N/A,#N/A,FALSE,"영업외비용";#N/A,#N/A,FALSE,"매출액";#N/A,#N/A,FALSE,"요약손익";#N/A,#N/A,FALSE,"요약대차";#N/A,#N/A,FALSE,"매출채권현황";#N/A,#N/A,FALSE,"매출채권명세"}</definedName>
    <definedName name="ㅂㅈ" localSheetId="6">INDEX(#REF!,IF(월=1,12,월-1))</definedName>
    <definedName name="ㅂㅈ" localSheetId="7">INDEX(#REF!,IF(월=1,12,월-1))</definedName>
    <definedName name="ㅂㅈ" localSheetId="3">INDEX(#REF!,IF(월=1,12,월-1))</definedName>
    <definedName name="ㅂㅈ">INDEX(#REF!,IF(월=1,12,월-1))</definedName>
    <definedName name="박"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배분1차">#REF!</definedName>
    <definedName name="배분1차다">#REF!</definedName>
    <definedName name="배분전" localSheetId="6" hidden="1">{#N/A,#N/A,TRUE,"대 차 대 조 표"}</definedName>
    <definedName name="배분전" localSheetId="7" hidden="1">{#N/A,#N/A,TRUE,"대 차 대 조 표"}</definedName>
    <definedName name="배분전" localSheetId="3" hidden="1">{#N/A,#N/A,TRUE,"대 차 대 조 표"}</definedName>
    <definedName name="배분전" hidden="1">{#N/A,#N/A,TRUE,"대 차 대 조 표"}</definedName>
    <definedName name="배분조">#REF!</definedName>
    <definedName name="배분조정">#REF!</definedName>
    <definedName name="백">IF(INT(RIGHT(#REF!,3)/100)=0,"",CHOOSE(INT(RIGHT(#REF!,3)/100),"일","이","삼","사","오","육","칠","팔","구")&amp;"백")</definedName>
    <definedName name="백만">IF(INT(RIGHT(#REF!,7)/1000000)=0,"",CHOOSE(INT(RIGHT(#REF!,7)/1000000),"일","이","삼","사","오","육","칠","팔","구")&amp;"백")</definedName>
    <definedName name="백만원">[133]리츠!$D$36</definedName>
    <definedName name="백백만원" localSheetId="1">'[134]예산(한화)'!$A$56</definedName>
    <definedName name="백백만원">'[135]예산(한화)'!$A$56</definedName>
    <definedName name="법무사보수표">#REF!</definedName>
    <definedName name="법인등록번호">[117]회사정보!$C$9</definedName>
    <definedName name="법인명_상호명">[117]회사정보!$C$6</definedName>
    <definedName name="별도합산" localSheetId="1">#REF!</definedName>
    <definedName name="별도합산">#REF!</definedName>
    <definedName name="별도합산세" localSheetId="1">#REF!</definedName>
    <definedName name="별도합산세">#REF!</definedName>
    <definedName name="별도합산세율" localSheetId="1">#REF!</definedName>
    <definedName name="별도합산세율">#REF!</definedName>
    <definedName name="별지66"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보보봅" localSheetId="1">'[136]인원계획-미화'!#REF!</definedName>
    <definedName name="보보봅">'[137]인원계획-미화'!#REF!</definedName>
    <definedName name="보수사진">#REF!</definedName>
    <definedName name="보유_자산의_개선">'[77]CHECK LIST'!#REF!</definedName>
    <definedName name="보증금환급률" localSheetId="1">#REF!</definedName>
    <definedName name="보증금환급률">#REF!</definedName>
    <definedName name="복사">#REF!</definedName>
    <definedName name="본사">[119]TB!#REF!</definedName>
    <definedName name="본사누계">[119]TB!#REF!</definedName>
    <definedName name="본사전기">[119]TB!#REF!</definedName>
    <definedName name="부가세율표" localSheetId="1">#REF!</definedName>
    <definedName name="부가세율표">#REF!</definedName>
    <definedName name="부동산">[138]회사정보!$C$9</definedName>
    <definedName name="부동산보유">[139]회사정보!$C$6</definedName>
    <definedName name="부동산보유명세서">[140]회사정보!$C$7</definedName>
    <definedName name="부동산종류">#REF!</definedName>
    <definedName name="부동산투자신탁6호" localSheetId="6">'CF(M)'!부동산투자신탁6호</definedName>
    <definedName name="부동산투자신탁6호" localSheetId="7">Key!부동산투자신탁6호</definedName>
    <definedName name="부동산투자신탁6호" localSheetId="3">RE!부동산투자신탁6호</definedName>
    <definedName name="부동산투자신탁6호">[0]!부동산투자신탁6호</definedName>
    <definedName name="부속" hidden="1">#N/A</definedName>
    <definedName name="부천">#REF!</definedName>
    <definedName name="부평">[119]TB!#REF!</definedName>
    <definedName name="북부">#REF!</definedName>
    <definedName name="분리과세" localSheetId="1">#REF!</definedName>
    <definedName name="분리과세">#REF!</definedName>
    <definedName name="분리과세세율" localSheetId="1">#REF!</definedName>
    <definedName name="분리과세세율">#REF!</definedName>
    <definedName name="분리과세액" localSheetId="1">#REF!</definedName>
    <definedName name="분리과세액">#REF!</definedName>
    <definedName name="불광동">#REF!</definedName>
    <definedName name="비" localSheetId="6" hidden="1">{#N/A,#N/A,FALSE,"동부"}</definedName>
    <definedName name="비" localSheetId="7" hidden="1">{#N/A,#N/A,FALSE,"동부"}</definedName>
    <definedName name="비" localSheetId="3" hidden="1">{#N/A,#N/A,FALSE,"동부"}</definedName>
    <definedName name="비" hidden="1">{#N/A,#N/A,FALSE,"동부"}</definedName>
    <definedName name="비교" localSheetId="6" hidden="1">{#N/A,#N/A,FALSE,"이력서&amp;자기소개서"}</definedName>
    <definedName name="비교" localSheetId="7" hidden="1">{#N/A,#N/A,FALSE,"이력서&amp;자기소개서"}</definedName>
    <definedName name="비교" localSheetId="3" hidden="1">{#N/A,#N/A,FALSE,"이력서&amp;자기소개서"}</definedName>
    <definedName name="비교" hidden="1">{#N/A,#N/A,FALSE,"이력서&amp;자기소개서"}</definedName>
    <definedName name="비용_집행">'[77]CHECK LIST'!#REF!</definedName>
    <definedName name="빌" localSheetId="6" hidden="1">{#N/A,#N/A,FALSE,"동부"}</definedName>
    <definedName name="빌" localSheetId="7" hidden="1">{#N/A,#N/A,FALSE,"동부"}</definedName>
    <definedName name="빌" localSheetId="3" hidden="1">{#N/A,#N/A,FALSE,"동부"}</definedName>
    <definedName name="빌" hidden="1">{#N/A,#N/A,FALSE,"동부"}</definedName>
    <definedName name="빌딩" localSheetId="6" hidden="1">{#N/A,#N/A,FALSE,"동부"}</definedName>
    <definedName name="빌딩" localSheetId="7" hidden="1">{#N/A,#N/A,FALSE,"동부"}</definedName>
    <definedName name="빌딩" localSheetId="3" hidden="1">{#N/A,#N/A,FALSE,"동부"}</definedName>
    <definedName name="빌딩" hidden="1">{#N/A,#N/A,FALSE,"동부"}</definedName>
    <definedName name="빌딩2" localSheetId="6" hidden="1">{#N/A,#N/A,FALSE,"동부"}</definedName>
    <definedName name="빌딩2" localSheetId="7" hidden="1">{#N/A,#N/A,FALSE,"동부"}</definedName>
    <definedName name="빌딩2" localSheetId="3" hidden="1">{#N/A,#N/A,FALSE,"동부"}</definedName>
    <definedName name="빌딩2" hidden="1">{#N/A,#N/A,FALSE,"동부"}</definedName>
    <definedName name="빌딩3" localSheetId="6" hidden="1">{#N/A,#N/A,FALSE,"동부"}</definedName>
    <definedName name="빌딩3" localSheetId="7" hidden="1">{#N/A,#N/A,FALSE,"동부"}</definedName>
    <definedName name="빌딩3" localSheetId="3" hidden="1">{#N/A,#N/A,FALSE,"동부"}</definedName>
    <definedName name="빌딩3" hidden="1">{#N/A,#N/A,FALSE,"동부"}</definedName>
    <definedName name="빌딩명">OFFSET([118]issued!$C$6,0,0,COUNTA([118]issued!$C$1:$C$65536)-2)</definedName>
    <definedName name="빌딩별2" localSheetId="6" hidden="1">{#N/A,#N/A,FALSE,"동부"}</definedName>
    <definedName name="빌딩별2" localSheetId="7" hidden="1">{#N/A,#N/A,FALSE,"동부"}</definedName>
    <definedName name="빌딩별2" localSheetId="3" hidden="1">{#N/A,#N/A,FALSE,"동부"}</definedName>
    <definedName name="빌딩별2" hidden="1">{#N/A,#N/A,FALSE,"동부"}</definedName>
    <definedName name="빌딩별강남" localSheetId="6" hidden="1">{#N/A,#N/A,FALSE,"동부"}</definedName>
    <definedName name="빌딩별강남" localSheetId="7" hidden="1">{#N/A,#N/A,FALSE,"동부"}</definedName>
    <definedName name="빌딩별강남" localSheetId="3" hidden="1">{#N/A,#N/A,FALSE,"동부"}</definedName>
    <definedName name="빌딩별강남" hidden="1">{#N/A,#N/A,FALSE,"동부"}</definedName>
    <definedName name="ㅅ" localSheetId="6" hidden="1">{#N/A,#N/A,FALSE,"BS";#N/A,#N/A,FALSE,"PL";#N/A,#N/A,FALSE,"처분";#N/A,#N/A,FALSE,"현금";#N/A,#N/A,FALSE,"매출";#N/A,#N/A,FALSE,"원가";#N/A,#N/A,FALSE,"경영"}</definedName>
    <definedName name="ㅅ" localSheetId="7" hidden="1">{#N/A,#N/A,FALSE,"BS";#N/A,#N/A,FALSE,"PL";#N/A,#N/A,FALSE,"처분";#N/A,#N/A,FALSE,"현금";#N/A,#N/A,FALSE,"매출";#N/A,#N/A,FALSE,"원가";#N/A,#N/A,FALSE,"경영"}</definedName>
    <definedName name="ㅅ" localSheetId="3" hidden="1">{#N/A,#N/A,FALSE,"BS";#N/A,#N/A,FALSE,"PL";#N/A,#N/A,FALSE,"처분";#N/A,#N/A,FALSE,"현금";#N/A,#N/A,FALSE,"매출";#N/A,#N/A,FALSE,"원가";#N/A,#N/A,FALSE,"경영"}</definedName>
    <definedName name="ㅅ" localSheetId="1" hidden="1">{#N/A,#N/A,FALSE,"BS";#N/A,#N/A,FALSE,"PL";#N/A,#N/A,FALSE,"처분";#N/A,#N/A,FALSE,"현금";#N/A,#N/A,FALSE,"매출";#N/A,#N/A,FALSE,"원가";#N/A,#N/A,FALSE,"경영"}</definedName>
    <definedName name="ㅅ" hidden="1">{#N/A,#N/A,FALSE,"BS";#N/A,#N/A,FALSE,"PL";#N/A,#N/A,FALSE,"처분";#N/A,#N/A,FALSE,"현금";#N/A,#N/A,FALSE,"매출";#N/A,#N/A,FALSE,"원가";#N/A,#N/A,FALSE,"경영"}</definedName>
    <definedName name="ㅅㄱㄴ">#REF!</definedName>
    <definedName name="사당동">#REF!</definedName>
    <definedName name="사무수탁수수료율">'[141]S&amp;R'!$F$34</definedName>
    <definedName name="사번">[142]급여대장!$A$4:$A$28</definedName>
    <definedName name="사업자등록번호">[117]회사정보!$C$8</definedName>
    <definedName name="사용">#N/A</definedName>
    <definedName name="사용량">#REF!</definedName>
    <definedName name="사용량1">#REF!</definedName>
    <definedName name="사용량2">#REF!</definedName>
    <definedName name="사용요금10" localSheetId="6">VLOOKUP(#REF!,요금,IF(월=1,14,월+1))</definedName>
    <definedName name="사용요금10" localSheetId="7">VLOOKUP(#REF!,요금,IF(월=1,14,월+1))</definedName>
    <definedName name="사용요금10" localSheetId="3">VLOOKUP(#REF!,요금,IF(월=1,14,월+1))</definedName>
    <definedName name="사용요금10">VLOOKUP(#REF!,요금,IF(월=1,14,월+1))</definedName>
    <definedName name="사용요금11" localSheetId="6">VLOOKUP(#REF!,요금,월+2)</definedName>
    <definedName name="사용요금11" localSheetId="7">VLOOKUP(#REF!,요금,월+2)</definedName>
    <definedName name="사용요금11" localSheetId="3">VLOOKUP(#REF!,요금,월+2)</definedName>
    <definedName name="사용요금11">VLOOKUP(#REF!,요금,월+2)</definedName>
    <definedName name="사용요금20" localSheetId="6">VLOOKUP(#REF!,요금,IF(월=1,14,월+1))</definedName>
    <definedName name="사용요금20" localSheetId="7">VLOOKUP(#REF!,요금,IF(월=1,14,월+1))</definedName>
    <definedName name="사용요금20" localSheetId="3">VLOOKUP(#REF!,요금,IF(월=1,14,월+1))</definedName>
    <definedName name="사용요금20">VLOOKUP(#REF!,요금,IF(월=1,14,월+1))</definedName>
    <definedName name="사용요금21" localSheetId="6">VLOOKUP(#REF!,요금,월+2)</definedName>
    <definedName name="사용요금21" localSheetId="7">VLOOKUP(#REF!,요금,월+2)</definedName>
    <definedName name="사용요금21" localSheetId="3">VLOOKUP(#REF!,요금,월+2)</definedName>
    <definedName name="사용요금21">VLOOKUP(#REF!,요금,월+2)</definedName>
    <definedName name="산출근거">[143]목록!$D$3:$O$123</definedName>
    <definedName name="상1">#REF!</definedName>
    <definedName name="상2">#REF!</definedName>
    <definedName name="상3">#REF!</definedName>
    <definedName name="상4">#REF!</definedName>
    <definedName name="상5">#REF!</definedName>
    <definedName name="상가" localSheetId="6">'CF(M)'!상가</definedName>
    <definedName name="상가" localSheetId="7">Key!상가</definedName>
    <definedName name="상가" localSheetId="3">RE!상가</definedName>
    <definedName name="상가">[0]!상가</definedName>
    <definedName name="상가매매0115" localSheetId="1">[144]상가매매0115!$A$1:$L$379</definedName>
    <definedName name="상가매매0115">[145]상가매매0115!$A$1:$L$379</definedName>
    <definedName name="상가임대0115" localSheetId="1">[144]상가임대0115!$A$1:$Q$1377</definedName>
    <definedName name="상가임대0115">[145]상가임대0115!$A$1:$Q$1377</definedName>
    <definedName name="상계동">#REF!</definedName>
    <definedName name="上原住戸">[146]賃料等一覧!$A$5:$S$25</definedName>
    <definedName name="상품매출액">#REF!</definedName>
    <definedName name="상품매출원가">#N/A</definedName>
    <definedName name="새이름" localSheetId="1">#REF!</definedName>
    <definedName name="새이름">#REF!</definedName>
    <definedName name="색인">#REF!</definedName>
    <definedName name="생활관">#REF!</definedName>
    <definedName name="서비스임대" localSheetId="1" hidden="1">#REF!</definedName>
    <definedName name="서비스임대" hidden="1">#REF!</definedName>
    <definedName name="서울사무소">[119]TB!#REF!</definedName>
    <definedName name="서울사무소월차">[119]TB!#REF!</definedName>
    <definedName name="서울사무소전기">[119]TB!#REF!</definedName>
    <definedName name="서초" localSheetId="6" hidden="1">{#N/A,#N/A,TRUE,"대 차 대 조 표"}</definedName>
    <definedName name="서초" localSheetId="7" hidden="1">{#N/A,#N/A,TRUE,"대 차 대 조 표"}</definedName>
    <definedName name="서초" localSheetId="3" hidden="1">{#N/A,#N/A,TRUE,"대 차 대 조 표"}</definedName>
    <definedName name="서초" localSheetId="1" hidden="1">{#N/A,#N/A,TRUE,"대 차 대 조 표"}</definedName>
    <definedName name="서초" hidden="1">{#N/A,#N/A,TRUE,"대 차 대 조 표"}</definedName>
    <definedName name="서초2" localSheetId="6" hidden="1">{#N/A,#N/A,TRUE,"대 차 대 조 표"}</definedName>
    <definedName name="서초2" localSheetId="7" hidden="1">{#N/A,#N/A,TRUE,"대 차 대 조 표"}</definedName>
    <definedName name="서초2" localSheetId="3" hidden="1">{#N/A,#N/A,TRUE,"대 차 대 조 표"}</definedName>
    <definedName name="서초2" localSheetId="1" hidden="1">{#N/A,#N/A,TRUE,"대 차 대 조 표"}</definedName>
    <definedName name="서초2" hidden="1">{#N/A,#N/A,TRUE,"대 차 대 조 표"}</definedName>
    <definedName name="서초해동" localSheetId="6" hidden="1">{#N/A,#N/A,TRUE,"대 차 대 조 표"}</definedName>
    <definedName name="서초해동" localSheetId="7" hidden="1">{#N/A,#N/A,TRUE,"대 차 대 조 표"}</definedName>
    <definedName name="서초해동" localSheetId="3" hidden="1">{#N/A,#N/A,TRUE,"대 차 대 조 표"}</definedName>
    <definedName name="서초해동" localSheetId="1" hidden="1">{#N/A,#N/A,TRUE,"대 차 대 조 표"}</definedName>
    <definedName name="서초해동" hidden="1">{#N/A,#N/A,TRUE,"대 차 대 조 표"}</definedName>
    <definedName name="서현점">#REF!</definedName>
    <definedName name="선급">#REF!</definedName>
    <definedName name="선급비용">#REF!</definedName>
    <definedName name="선수금">#REF!</definedName>
    <definedName name="선수금2">#REF!</definedName>
    <definedName name="성남">[119]TB!#REF!</definedName>
    <definedName name="성남1">#REF!</definedName>
    <definedName name="세금" localSheetId="1">#REF!</definedName>
    <definedName name="세금">#REF!</definedName>
    <definedName name="세금1" localSheetId="1">#REF!</definedName>
    <definedName name="세금1">#REF!</definedName>
    <definedName name="세금유형" localSheetId="1">#REF!</definedName>
    <definedName name="세금유형">#REF!</definedName>
    <definedName name="세금종류" localSheetId="1">#REF!</definedName>
    <definedName name="세금종류">#REF!</definedName>
    <definedName name="세부내역서1" localSheetId="6" hidden="1">{#N/A,#N/A,TRUE,"대 차 대 조 표"}</definedName>
    <definedName name="세부내역서1" localSheetId="7" hidden="1">{#N/A,#N/A,TRUE,"대 차 대 조 표"}</definedName>
    <definedName name="세부내역서1" localSheetId="3" hidden="1">{#N/A,#N/A,TRUE,"대 차 대 조 표"}</definedName>
    <definedName name="세부내역서1" localSheetId="1" hidden="1">{#N/A,#N/A,TRUE,"대 차 대 조 표"}</definedName>
    <definedName name="세부내역서1" hidden="1">{#N/A,#N/A,TRUE,"대 차 대 조 표"}</definedName>
    <definedName name="세율" localSheetId="1">#REF!</definedName>
    <definedName name="세율">#REF!</definedName>
    <definedName name="셀노트4" localSheetId="1">[147]노무비!#REF!</definedName>
    <definedName name="셀노트4">[148]노무비!#REF!</definedName>
    <definedName name="소유자분_보증금" localSheetId="1">'[16]Initial Input Variable'!#REF!</definedName>
    <definedName name="소유자분_보증금">'[17]Initial Input Variable'!#REF!</definedName>
    <definedName name="손익계산서" localSheetId="1">[149]재무가정!$H$13</definedName>
    <definedName name="손익계산서">[73]재무가정!$H$13</definedName>
    <definedName name="솔" localSheetId="6" hidden="1">{#N/A,#N/A,TRUE,"대 차 대 조 표"}</definedName>
    <definedName name="솔" localSheetId="7" hidden="1">{#N/A,#N/A,TRUE,"대 차 대 조 표"}</definedName>
    <definedName name="솔" localSheetId="3" hidden="1">{#N/A,#N/A,TRUE,"대 차 대 조 표"}</definedName>
    <definedName name="솔" localSheetId="1" hidden="1">{#N/A,#N/A,TRUE,"대 차 대 조 표"}</definedName>
    <definedName name="솔" hidden="1">{#N/A,#N/A,TRUE,"대 차 대 조 표"}</definedName>
    <definedName name="송파타워" localSheetId="6">'CF(M)'!송파타워</definedName>
    <definedName name="송파타워" localSheetId="7">Key!송파타워</definedName>
    <definedName name="송파타워" localSheetId="3">RE!송파타워</definedName>
    <definedName name="송파타워">[0]!송파타워</definedName>
    <definedName name="수광비" localSheetId="6" hidden="1">{#N/A,#N/A,FALSE,"동부"}</definedName>
    <definedName name="수광비" localSheetId="7" hidden="1">{#N/A,#N/A,FALSE,"동부"}</definedName>
    <definedName name="수광비" localSheetId="3" hidden="1">{#N/A,#N/A,FALSE,"동부"}</definedName>
    <definedName name="수광비" hidden="1">{#N/A,#N/A,FALSE,"동부"}</definedName>
    <definedName name="수광비실적" hidden="1">#REF!</definedName>
    <definedName name="수도" hidden="1">#REF!</definedName>
    <definedName name="수도광열비2" hidden="1">[5]목표세부명세!#REF!</definedName>
    <definedName name="수송" localSheetId="6">BlankMacro1</definedName>
    <definedName name="수송" localSheetId="7">BlankMacro1</definedName>
    <definedName name="수송" localSheetId="3">BlankMacro1</definedName>
    <definedName name="수송">BlankMacro1</definedName>
    <definedName name="수언">[150]회사정보!$C$8</definedName>
    <definedName name="수익_관리">'[77]CHECK LIST'!#REF!</definedName>
    <definedName name="수입" localSheetId="6" hidden="1">{#N/A,#N/A,TRUE,"대 차 대 조 표"}</definedName>
    <definedName name="수입" localSheetId="7" hidden="1">{#N/A,#N/A,TRUE,"대 차 대 조 표"}</definedName>
    <definedName name="수입" localSheetId="3" hidden="1">{#N/A,#N/A,TRUE,"대 차 대 조 표"}</definedName>
    <definedName name="수입" hidden="1">{#N/A,#N/A,TRUE,"대 차 대 조 표"}</definedName>
    <definedName name="수정" localSheetId="6" hidden="1">{#N/A,#N/A,FALSE,"BS";#N/A,#N/A,FALSE,"PL";#N/A,#N/A,FALSE,"처분";#N/A,#N/A,FALSE,"현금";#N/A,#N/A,FALSE,"매출";#N/A,#N/A,FALSE,"원가";#N/A,#N/A,FALSE,"경영"}</definedName>
    <definedName name="수정" localSheetId="7" hidden="1">{#N/A,#N/A,FALSE,"BS";#N/A,#N/A,FALSE,"PL";#N/A,#N/A,FALSE,"처분";#N/A,#N/A,FALSE,"현금";#N/A,#N/A,FALSE,"매출";#N/A,#N/A,FALSE,"원가";#N/A,#N/A,FALSE,"경영"}</definedName>
    <definedName name="수정" localSheetId="3" hidden="1">{#N/A,#N/A,FALSE,"BS";#N/A,#N/A,FALSE,"PL";#N/A,#N/A,FALSE,"처분";#N/A,#N/A,FALSE,"현금";#N/A,#N/A,FALSE,"매출";#N/A,#N/A,FALSE,"원가";#N/A,#N/A,FALSE,"경영"}</definedName>
    <definedName name="수정" localSheetId="1" hidden="1">{#N/A,#N/A,FALSE,"BS";#N/A,#N/A,FALSE,"PL";#N/A,#N/A,FALSE,"처분";#N/A,#N/A,FALSE,"현금";#N/A,#N/A,FALSE,"매출";#N/A,#N/A,FALSE,"원가";#N/A,#N/A,FALSE,"경영"}</definedName>
    <definedName name="수정" hidden="1">{#N/A,#N/A,FALSE,"BS";#N/A,#N/A,FALSE,"PL";#N/A,#N/A,FALSE,"처분";#N/A,#N/A,FALSE,"현금";#N/A,#N/A,FALSE,"매출";#N/A,#N/A,FALSE,"원가";#N/A,#N/A,FALSE,"경영"}</definedName>
    <definedName name="수정분">[119]TB!#REF!</definedName>
    <definedName name="수탁수수료율">'[141]S&amp;R'!$F$35</definedName>
    <definedName name="순천점">#REF!</definedName>
    <definedName name="순천킴스">#REF!</definedName>
    <definedName name="승계_대출" localSheetId="1">'[16]Initial Input Variable'!#REF!</definedName>
    <definedName name="승계_대출">'[17]Initial Input Variable'!#REF!</definedName>
    <definedName name="승상호" localSheetId="6">'CF(M)'!승상호</definedName>
    <definedName name="승상호" localSheetId="7">Key!승상호</definedName>
    <definedName name="승상호" localSheetId="3">RE!승상호</definedName>
    <definedName name="승상호">[0]!승상호</definedName>
    <definedName name="시산" localSheetId="1">'[151]인원계획-미화'!#REF!</definedName>
    <definedName name="시산">'[151]인원계획-미화'!#REF!</definedName>
    <definedName name="시산표">#REF!</definedName>
    <definedName name="신고"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분장" localSheetId="6" hidden="1">{"'통신지'!$A$1:$J$41"}</definedName>
    <definedName name="신고분장" localSheetId="7" hidden="1">{"'통신지'!$A$1:$J$41"}</definedName>
    <definedName name="신고분장" localSheetId="3" hidden="1">{"'통신지'!$A$1:$J$41"}</definedName>
    <definedName name="신고분장" hidden="1">{"'통신지'!$A$1:$J$41"}</definedName>
    <definedName name="신규_대출" localSheetId="1">'[16]Initial Input Variable'!#REF!</definedName>
    <definedName name="신규_대출">'[17]Initial Input Variable'!#REF!</definedName>
    <definedName name="신부1">#REF!</definedName>
    <definedName name="신부2">#REF!</definedName>
    <definedName name="신비1">#REF!</definedName>
    <definedName name="신비2">#REF!</definedName>
    <definedName name="신설동">#REF!</definedName>
    <definedName name="신수1">#REF!</definedName>
    <definedName name="신수2">#REF!</definedName>
    <definedName name="신신자">#REF!</definedName>
    <definedName name="신자">#REF!</definedName>
    <definedName name="신자1">#REF!</definedName>
    <definedName name="신자2">#REF!</definedName>
    <definedName name="실적">#REF!</definedName>
    <definedName name="실적_프린트안함" localSheetId="6">'CF(M)'!실적_프린트안함</definedName>
    <definedName name="실적_프린트안함" localSheetId="7">Key!실적_프린트안함</definedName>
    <definedName name="실적_프린트안함" localSheetId="3">RE!실적_프린트안함</definedName>
    <definedName name="실적_프린트안함">[0]!실적_프린트안함</definedName>
    <definedName name="실적계획">#REF!</definedName>
    <definedName name="실제급여" localSheetId="6" hidden="1">{#N/A,#N/A,TRUE,"대 차 대 조 표"}</definedName>
    <definedName name="실제급여" localSheetId="7" hidden="1">{#N/A,#N/A,TRUE,"대 차 대 조 표"}</definedName>
    <definedName name="실제급여" localSheetId="3" hidden="1">{#N/A,#N/A,TRUE,"대 차 대 조 표"}</definedName>
    <definedName name="실제급여" localSheetId="1" hidden="1">{#N/A,#N/A,TRUE,"대 차 대 조 표"}</definedName>
    <definedName name="실제급여" hidden="1">{#N/A,#N/A,TRUE,"대 차 대 조 표"}</definedName>
    <definedName name="십">IF(INT(RIGHT(#REF!,2)/10)=0,"",CHOOSE(INT(RIGHT(#REF!,2)/10),"일","이","삼","사","오","육","칠","팔","구")&amp;"십")</definedName>
    <definedName name="십만">IF(INT(RIGHT(#REF!,6)/100000)=0,"",CHOOSE(INT(RIGHT(#REF!,6)/100000),"일","이","삼","사","오","육","칠","팔","구")&amp;"십")</definedName>
    <definedName name="씨엔에이치" localSheetId="6" hidden="1">{#N/A,#N/A,TRUE,"대 차 대 조 표"}</definedName>
    <definedName name="씨엔에이치" localSheetId="7" hidden="1">{#N/A,#N/A,TRUE,"대 차 대 조 표"}</definedName>
    <definedName name="씨엔에이치" localSheetId="3" hidden="1">{#N/A,#N/A,TRUE,"대 차 대 조 표"}</definedName>
    <definedName name="씨엔에이치" localSheetId="1" hidden="1">{#N/A,#N/A,TRUE,"대 차 대 조 표"}</definedName>
    <definedName name="씨엔에이치" hidden="1">{#N/A,#N/A,TRUE,"대 차 대 조 표"}</definedName>
    <definedName name="ㅇ" localSheetId="6" hidden="1">{#N/A,#N/A,FALSE,"동부"}</definedName>
    <definedName name="ㅇ" localSheetId="7" hidden="1">{#N/A,#N/A,FALSE,"동부"}</definedName>
    <definedName name="ㅇ" localSheetId="3" hidden="1">{#N/A,#N/A,FALSE,"동부"}</definedName>
    <definedName name="ㅇ" localSheetId="1" hidden="1">{#N/A,#N/A,FALSE,"BS";#N/A,#N/A,FALSE,"PL";#N/A,#N/A,FALSE,"처분";#N/A,#N/A,FALSE,"현금";#N/A,#N/A,FALSE,"매출";#N/A,#N/A,FALSE,"원가";#N/A,#N/A,FALSE,"경영"}</definedName>
    <definedName name="ㅇ" hidden="1">{#N/A,#N/A,FALSE,"동부"}</definedName>
    <definedName name="ㅇ나ㅓㅗ랑" localSheetId="6" hidden="1">{#N/A,#N/A,FALSE,"동부"}</definedName>
    <definedName name="ㅇ나ㅓㅗ랑" localSheetId="7" hidden="1">{#N/A,#N/A,FALSE,"동부"}</definedName>
    <definedName name="ㅇ나ㅓㅗ랑" localSheetId="3" hidden="1">{#N/A,#N/A,FALSE,"동부"}</definedName>
    <definedName name="ㅇ나ㅓㅗ랑" hidden="1">{#N/A,#N/A,FALSE,"동부"}</definedName>
    <definedName name="ㅇㄷ" localSheetId="6" hidden="1">{#N/A,#N/A,FALSE,"Aging Summary";#N/A,#N/A,FALSE,"Ratio Analysis";#N/A,#N/A,FALSE,"Test 120 Day Accts";#N/A,#N/A,FALSE,"Tickmarks"}</definedName>
    <definedName name="ㅇㄷ" localSheetId="7" hidden="1">{#N/A,#N/A,FALSE,"Aging Summary";#N/A,#N/A,FALSE,"Ratio Analysis";#N/A,#N/A,FALSE,"Test 120 Day Accts";#N/A,#N/A,FALSE,"Tickmarks"}</definedName>
    <definedName name="ㅇㄷ" localSheetId="3" hidden="1">{#N/A,#N/A,FALSE,"Aging Summary";#N/A,#N/A,FALSE,"Ratio Analysis";#N/A,#N/A,FALSE,"Test 120 Day Accts";#N/A,#N/A,FALSE,"Tickmarks"}</definedName>
    <definedName name="ㅇㄷ" localSheetId="1" hidden="1">{#N/A,#N/A,FALSE,"Aging Summary";#N/A,#N/A,FALSE,"Ratio Analysis";#N/A,#N/A,FALSE,"Test 120 Day Accts";#N/A,#N/A,FALSE,"Tickmarks"}</definedName>
    <definedName name="ㅇㄷ" hidden="1">{#N/A,#N/A,FALSE,"Aging Summary";#N/A,#N/A,FALSE,"Ratio Analysis";#N/A,#N/A,FALSE,"Test 120 Day Accts";#N/A,#N/A,FALSE,"Tickmarks"}</definedName>
    <definedName name="ㅇㄹ" localSheetId="6">BlankMacro1</definedName>
    <definedName name="ㅇㄹ" localSheetId="7">BlankMacro1</definedName>
    <definedName name="ㅇㄹ" localSheetId="3">BlankMacro1</definedName>
    <definedName name="ㅇㄹ">BlankMacro1</definedName>
    <definedName name="ㅇㄹㅇㄴ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hidden="1">{#N/A,#N/A,FALSE,"손익표지";#N/A,#N/A,FALSE,"손익계산";#N/A,#N/A,FALSE,"일반관리비";#N/A,#N/A,FALSE,"영업외수익";#N/A,#N/A,FALSE,"영업외비용";#N/A,#N/A,FALSE,"매출액";#N/A,#N/A,FALSE,"요약손익";#N/A,#N/A,FALSE,"요약대차";#N/A,#N/A,FALSE,"매출채권현황";#N/A,#N/A,FALSE,"매출채권명세"}</definedName>
    <definedName name="ㅇㅇ" localSheetId="6" hidden="1">{#N/A,#N/A,TRUE,"대 차 대 조 표"}</definedName>
    <definedName name="ㅇㅇ" localSheetId="7" hidden="1">{#N/A,#N/A,TRUE,"대 차 대 조 표"}</definedName>
    <definedName name="ㅇㅇ" localSheetId="3" hidden="1">{#N/A,#N/A,TRUE,"대 차 대 조 표"}</definedName>
    <definedName name="ㅇㅇ" localSheetId="1" hidden="1">{#N/A,#N/A,FALSE,"BS";#N/A,#N/A,FALSE,"PL";#N/A,#N/A,FALSE,"처분";#N/A,#N/A,FALSE,"현금";#N/A,#N/A,FALSE,"매출";#N/A,#N/A,FALSE,"원가";#N/A,#N/A,FALSE,"경영"}</definedName>
    <definedName name="ㅇㅇ" hidden="1">{#N/A,#N/A,TRUE,"대 차 대 조 표"}</definedName>
    <definedName name="ㅇㅇㄴ" localSheetId="6">BlankMacro1</definedName>
    <definedName name="ㅇㅇㄴ" localSheetId="7">BlankMacro1</definedName>
    <definedName name="ㅇㅇㄴ" localSheetId="3">BlankMacro1</definedName>
    <definedName name="ㅇㅇㄴ" localSheetId="1">BlankMacro1</definedName>
    <definedName name="ㅇㅇㄴ">BlankMacro1</definedName>
    <definedName name="ㅇㅇㅇ" localSheetId="6">INDEX(#REF!,IF(월=1,12,월-1))</definedName>
    <definedName name="ㅇㅇㅇ" localSheetId="7">INDEX(#REF!,IF(월=1,12,월-1))</definedName>
    <definedName name="ㅇㅇㅇ" localSheetId="3">INDEX(#REF!,IF(월=1,12,월-1))</definedName>
    <definedName name="ㅇㅇㅇ" localSheetId="1" hidden="1">{#N/A,#N/A,FALSE,"BS";#N/A,#N/A,FALSE,"PL";#N/A,#N/A,FALSE,"처분";#N/A,#N/A,FALSE,"현금";#N/A,#N/A,FALSE,"매출";#N/A,#N/A,FALSE,"원가";#N/A,#N/A,FALSE,"경영"}</definedName>
    <definedName name="ㅇㅇㅇ">INDEX(#REF!,IF(월=1,12,월-1))</definedName>
    <definedName name="ㅇㅇㅇㅇ" localSheetId="6">ROUND(사용량2*('CF(M)'!ㅇㅇㅇ-#REF!+1)/'CF(M)'!ㅇㅇㅇ,0)*'CF(M)'!사용요금20</definedName>
    <definedName name="ㅇㅇㅇㅇ" localSheetId="7">ROUND(사용량2*(Key!ㅇㅇㅇ-#REF!+1)/Key!ㅇㅇㅇ,0)*Key!사용요금20</definedName>
    <definedName name="ㅇㅇㅇㅇ" localSheetId="3">ROUND(사용량2*(RE!ㅇㅇㅇ-#REF!+1)/RE!ㅇㅇㅇ,0)*RE!사용요금20</definedName>
    <definedName name="ㅇㅇㅇㅇ">ROUND(사용량2*(ㅇㅇㅇ-#REF!+1)/ㅇㅇㅇ,0)*사용요금20</definedName>
    <definedName name="ㅇㅇㅇㅇㅇ" localSheetId="6" hidden="1">{#N/A,#N/A,TRUE,"대 차 대 조 표"}</definedName>
    <definedName name="ㅇㅇㅇㅇㅇ" localSheetId="7" hidden="1">{#N/A,#N/A,TRUE,"대 차 대 조 표"}</definedName>
    <definedName name="ㅇㅇㅇㅇㅇ" localSheetId="3" hidden="1">{#N/A,#N/A,TRUE,"대 차 대 조 표"}</definedName>
    <definedName name="ㅇㅇㅇㅇㅇ" localSheetId="1" hidden="1">{#N/A,#N/A,TRUE,"대 차 대 조 표"}</definedName>
    <definedName name="ㅇㅇㅇㅇㅇ" hidden="1">{#N/A,#N/A,TRUE,"대 차 대 조 표"}</definedName>
    <definedName name="ㅇㅇㅇㅇㅇㅇ" localSheetId="6">'CF(M)'!ㅇㅇㅇㅇㅇㅇ</definedName>
    <definedName name="ㅇㅇㅇㅇㅇㅇ" localSheetId="7">Key!ㅇㅇㅇㅇㅇㅇ</definedName>
    <definedName name="ㅇㅇㅇㅇㅇㅇ" localSheetId="3">RE!ㅇㅇㅇㅇㅇㅇ</definedName>
    <definedName name="ㅇㅇㅇㅇㅇㅇ">[0]!ㅇㅇㅇㅇㅇㅇ</definedName>
    <definedName name="ㅇㅇㅇㅇㅇㅇㅇㅇ" localSheetId="6">'CF(M)'!ㅇㅇㅇㅇㅇㅇㅇㅇ</definedName>
    <definedName name="ㅇㅇㅇㅇㅇㅇㅇㅇ" localSheetId="7">Key!ㅇㅇㅇㅇㅇㅇㅇㅇ</definedName>
    <definedName name="ㅇㅇㅇㅇㅇㅇㅇㅇ" localSheetId="3">RE!ㅇㅇㅇㅇㅇㅇㅇㅇ</definedName>
    <definedName name="ㅇㅇㅇㅇㅇㅇㅇㅇ">[0]!ㅇㅇㅇㅇㅇㅇㅇㅇ</definedName>
    <definedName name="ㅇㅍㅇ">[28]!ㅇㅍㅇ</definedName>
    <definedName name="아아">#REF!</definedName>
    <definedName name="아아라ㅏ">[152]회사정보!$C$6</definedName>
    <definedName name="아이템">OFFSET([118]issued!$F$6,0,0,COUNTA([118]issued!$F$1:$F$65536)-1)</definedName>
    <definedName name="안건" localSheetId="6" hidden="1">{#N/A,#N/A,FALSE,"BS";#N/A,#N/A,FALSE,"PL";#N/A,#N/A,FALSE,"처분";#N/A,#N/A,FALSE,"현금";#N/A,#N/A,FALSE,"매출";#N/A,#N/A,FALSE,"원가";#N/A,#N/A,FALSE,"경영"}</definedName>
    <definedName name="안건" localSheetId="7" hidden="1">{#N/A,#N/A,FALSE,"BS";#N/A,#N/A,FALSE,"PL";#N/A,#N/A,FALSE,"처분";#N/A,#N/A,FALSE,"현금";#N/A,#N/A,FALSE,"매출";#N/A,#N/A,FALSE,"원가";#N/A,#N/A,FALSE,"경영"}</definedName>
    <definedName name="안건" localSheetId="3" hidden="1">{#N/A,#N/A,FALSE,"BS";#N/A,#N/A,FALSE,"PL";#N/A,#N/A,FALSE,"처분";#N/A,#N/A,FALSE,"현금";#N/A,#N/A,FALSE,"매출";#N/A,#N/A,FALSE,"원가";#N/A,#N/A,FALSE,"경영"}</definedName>
    <definedName name="안건" localSheetId="1" hidden="1">{#N/A,#N/A,FALSE,"BS";#N/A,#N/A,FALSE,"PL";#N/A,#N/A,FALSE,"처분";#N/A,#N/A,FALSE,"현금";#N/A,#N/A,FALSE,"매출";#N/A,#N/A,FALSE,"원가";#N/A,#N/A,FALSE,"경영"}</definedName>
    <definedName name="안건" hidden="1">{#N/A,#N/A,FALSE,"BS";#N/A,#N/A,FALSE,"PL";#N/A,#N/A,FALSE,"처분";#N/A,#N/A,FALSE,"현금";#N/A,#N/A,FALSE,"매출";#N/A,#N/A,FALSE,"원가";#N/A,#N/A,FALSE,"경영"}</definedName>
    <definedName name="암사" localSheetId="6" hidden="1">{#N/A,#N/A,TRUE,"대 차 대 조 표"}</definedName>
    <definedName name="암사" localSheetId="7" hidden="1">{#N/A,#N/A,TRUE,"대 차 대 조 표"}</definedName>
    <definedName name="암사" localSheetId="3" hidden="1">{#N/A,#N/A,TRUE,"대 차 대 조 표"}</definedName>
    <definedName name="암사" localSheetId="1" hidden="1">{#N/A,#N/A,TRUE,"대 차 대 조 표"}</definedName>
    <definedName name="암사" hidden="1">{#N/A,#N/A,TRUE,"대 차 대 조 표"}</definedName>
    <definedName name="앙" localSheetId="6" hidden="1">{#N/A,#N/A,FALSE,"이력서&amp;자기소개서"}</definedName>
    <definedName name="앙" localSheetId="7" hidden="1">{#N/A,#N/A,FALSE,"이력서&amp;자기소개서"}</definedName>
    <definedName name="앙" localSheetId="3" hidden="1">{#N/A,#N/A,FALSE,"이력서&amp;자기소개서"}</definedName>
    <definedName name="앙" hidden="1">{#N/A,#N/A,FALSE,"이력서&amp;자기소개서"}</definedName>
    <definedName name="양산">[119]TB!#REF!</definedName>
    <definedName name="양정">#REF!</definedName>
    <definedName name="어쩌라고" localSheetId="1">#REF!</definedName>
    <definedName name="어쩌라고">#REF!</definedName>
    <definedName name="억">IF(INT(RIGHT(#REF!,9)/100000000)=0,"",CHOOSE(INT(RIGHT(#REF!,9)/100000000),"일","이","삼","사","오","육","칠","팔","구")&amp;"억")</definedName>
    <definedName name="업무" localSheetId="1" hidden="1">{#N/A,#N/A,TRUE,"대 차 대 조 표"}</definedName>
    <definedName name="업무">[153]익월작업계힉!#REF!</definedName>
    <definedName name="업무계획표" localSheetId="6" hidden="1">{#N/A,#N/A,TRUE,"대 차 대 조 표"}</definedName>
    <definedName name="업무계획표" localSheetId="7" hidden="1">{#N/A,#N/A,TRUE,"대 차 대 조 표"}</definedName>
    <definedName name="업무계획표" localSheetId="3" hidden="1">{#N/A,#N/A,TRUE,"대 차 대 조 표"}</definedName>
    <definedName name="업무계획표" localSheetId="1" hidden="1">{#N/A,#N/A,TRUE,"대 차 대 조 표"}</definedName>
    <definedName name="업무계획표" hidden="1">{#N/A,#N/A,TRUE,"대 차 대 조 표"}</definedName>
    <definedName name="업무계획표01" localSheetId="6" hidden="1">{#N/A,#N/A,TRUE,"대 차 대 조 표"}</definedName>
    <definedName name="업무계획표01" localSheetId="7" hidden="1">{#N/A,#N/A,TRUE,"대 차 대 조 표"}</definedName>
    <definedName name="업무계획표01" localSheetId="3" hidden="1">{#N/A,#N/A,TRUE,"대 차 대 조 표"}</definedName>
    <definedName name="업무계획표01" localSheetId="1" hidden="1">{#N/A,#N/A,TRUE,"대 차 대 조 표"}</definedName>
    <definedName name="업무계획표01" hidden="1">{#N/A,#N/A,TRUE,"대 차 대 조 표"}</definedName>
    <definedName name="업무실적1">#REF!</definedName>
    <definedName name="업소월별사용량" localSheetId="6">억&amp;천만&amp;백만&amp;십만&amp;만&amp;천&amp;백&amp;십</definedName>
    <definedName name="업소월별사용량" localSheetId="7">억&amp;천만&amp;백만&amp;십만&amp;만&amp;천&amp;백&amp;십</definedName>
    <definedName name="업소월별사용량" localSheetId="3">억&amp;천만&amp;백만&amp;십만&amp;만&amp;천&amp;백&amp;십</definedName>
    <definedName name="업소월별사용량">억&amp;천만&amp;백만&amp;십만&amp;만&amp;천&amp;백&amp;십</definedName>
    <definedName name="에너지비용산출근거" localSheetId="6">BlankMacro1</definedName>
    <definedName name="에너지비용산출근거" localSheetId="7">BlankMacro1</definedName>
    <definedName name="에너지비용산출근거" localSheetId="3">BlankMacro1</definedName>
    <definedName name="에너지비용산출근거" localSheetId="1">BlankMacro1</definedName>
    <definedName name="에너지비용산출근거">BlankMacro1</definedName>
    <definedName name="역률요금1">#N/A</definedName>
    <definedName name="역삼4월" localSheetId="6" hidden="1">{#N/A,#N/A,TRUE,"대 차 대 조 표"}</definedName>
    <definedName name="역삼4월" localSheetId="7" hidden="1">{#N/A,#N/A,TRUE,"대 차 대 조 표"}</definedName>
    <definedName name="역삼4월" localSheetId="3" hidden="1">{#N/A,#N/A,TRUE,"대 차 대 조 표"}</definedName>
    <definedName name="역삼4월" localSheetId="1" hidden="1">{#N/A,#N/A,TRUE,"대 차 대 조 표"}</definedName>
    <definedName name="역삼4월" hidden="1">{#N/A,#N/A,TRUE,"대 차 대 조 표"}</definedName>
    <definedName name="역삼5월" localSheetId="6" hidden="1">{#N/A,#N/A,TRUE,"대 차 대 조 표"}</definedName>
    <definedName name="역삼5월" localSheetId="7" hidden="1">{#N/A,#N/A,TRUE,"대 차 대 조 표"}</definedName>
    <definedName name="역삼5월" localSheetId="3" hidden="1">{#N/A,#N/A,TRUE,"대 차 대 조 표"}</definedName>
    <definedName name="역삼5월" localSheetId="1" hidden="1">{#N/A,#N/A,TRUE,"대 차 대 조 표"}</definedName>
    <definedName name="역삼5월" hidden="1">{#N/A,#N/A,TRUE,"대 차 대 조 표"}</definedName>
    <definedName name="역삼5월청구" localSheetId="6" hidden="1">{#N/A,#N/A,TRUE,"대 차 대 조 표"}</definedName>
    <definedName name="역삼5월청구" localSheetId="7" hidden="1">{#N/A,#N/A,TRUE,"대 차 대 조 표"}</definedName>
    <definedName name="역삼5월청구" localSheetId="3" hidden="1">{#N/A,#N/A,TRUE,"대 차 대 조 표"}</definedName>
    <definedName name="역삼5월청구" localSheetId="1" hidden="1">{#N/A,#N/A,TRUE,"대 차 대 조 표"}</definedName>
    <definedName name="역삼5월청구" hidden="1">{#N/A,#N/A,TRUE,"대 차 대 조 표"}</definedName>
    <definedName name="역삼계" localSheetId="6" hidden="1">{#N/A,#N/A,TRUE,"대 차 대 조 표"}</definedName>
    <definedName name="역삼계" localSheetId="7" hidden="1">{#N/A,#N/A,TRUE,"대 차 대 조 표"}</definedName>
    <definedName name="역삼계" localSheetId="3" hidden="1">{#N/A,#N/A,TRUE,"대 차 대 조 표"}</definedName>
    <definedName name="역삼계" localSheetId="1" hidden="1">{#N/A,#N/A,TRUE,"대 차 대 조 표"}</definedName>
    <definedName name="역삼계" hidden="1">{#N/A,#N/A,TRUE,"대 차 대 조 표"}</definedName>
    <definedName name="역삼계약">#REF!</definedName>
    <definedName name="연봉" localSheetId="1">'[154]인원계획-미화'!#REF!</definedName>
    <definedName name="연봉">'[155]인원계획-미화'!#REF!</definedName>
    <definedName name="연수1">[156]회사정보!$C$8</definedName>
    <definedName name="연습">#REF!</definedName>
    <definedName name="영등포">#REF!</definedName>
    <definedName name="영업복사">#REF!</definedName>
    <definedName name="영업외비용" localSheetId="6" hidden="1">{#N/A,#N/A,FALSE,"BS";#N/A,#N/A,FALSE,"PL";#N/A,#N/A,FALSE,"처분";#N/A,#N/A,FALSE,"현금";#N/A,#N/A,FALSE,"매출";#N/A,#N/A,FALSE,"원가";#N/A,#N/A,FALSE,"경영"}</definedName>
    <definedName name="영업외비용" localSheetId="7" hidden="1">{#N/A,#N/A,FALSE,"BS";#N/A,#N/A,FALSE,"PL";#N/A,#N/A,FALSE,"처분";#N/A,#N/A,FALSE,"현금";#N/A,#N/A,FALSE,"매출";#N/A,#N/A,FALSE,"원가";#N/A,#N/A,FALSE,"경영"}</definedName>
    <definedName name="영업외비용" localSheetId="3" hidden="1">{#N/A,#N/A,FALSE,"BS";#N/A,#N/A,FALSE,"PL";#N/A,#N/A,FALSE,"처분";#N/A,#N/A,FALSE,"현금";#N/A,#N/A,FALSE,"매출";#N/A,#N/A,FALSE,"원가";#N/A,#N/A,FALSE,"경영"}</definedName>
    <definedName name="영업외비용" localSheetId="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역" localSheetId="1">#REF!</definedName>
    <definedName name="영역">#REF!</definedName>
    <definedName name="예" localSheetId="1">#REF!</definedName>
    <definedName name="예">#REF!</definedName>
    <definedName name="예산1기_시작년도">[130]Label!$I$11</definedName>
    <definedName name="예산기수1">[130]Label!$I$9</definedName>
    <definedName name="예수보증금">#REF!</definedName>
    <definedName name="예수보증금내꺼">#REF!</definedName>
    <definedName name="오대산점">#REF!</definedName>
    <definedName name="오알">#REF!</definedName>
    <definedName name="오일">#REF!</definedName>
    <definedName name="완성주택">#REF!</definedName>
    <definedName name="완성주택2">[157]회사정보!$C$7</definedName>
    <definedName name="외상매입금">#REF!</definedName>
    <definedName name="외주공사">'[158]1.외주공사'!$B$4:$AN$39</definedName>
    <definedName name="요금">#REF!</definedName>
    <definedName name="용">#REF!</definedName>
    <definedName name="용지">#REF!</definedName>
    <definedName name="용지거">#REF!</definedName>
    <definedName name="운영_보고서">'[77]CHECK LIST'!#REF!</definedName>
    <definedName name="운영시스템">'[77]CHECK LIST'!#REF!</definedName>
    <definedName name="운용수수료율">'[159]S&amp;R'!$F$28</definedName>
    <definedName name="원">[124]회사정보!$C$8</definedName>
    <definedName name="원가">#N/A</definedName>
    <definedName name="원가1">[160]회사정보!$C$7</definedName>
    <definedName name="원가11">#REF!</definedName>
    <definedName name="원가분개">[119]TB!#REF!</definedName>
    <definedName name="원본2" hidden="1">#N/A</definedName>
    <definedName name="월">#REF!</definedName>
    <definedName name="월분">[161]Sheet1!$C$3:$C$14</definedName>
    <definedName name="위치">#REF!</definedName>
    <definedName name="위험_관리">'[77]CHECK LIST'!#REF!</definedName>
    <definedName name="위험관리">'[77]CHECK LIST'!#REF!</definedName>
    <definedName name="유가" localSheetId="6" hidden="1">{#N/A,#N/A,FALSE,"BS";#N/A,#N/A,FALSE,"PL";#N/A,#N/A,FALSE,"처분";#N/A,#N/A,FALSE,"현금";#N/A,#N/A,FALSE,"매출";#N/A,#N/A,FALSE,"원가";#N/A,#N/A,FALSE,"경영"}</definedName>
    <definedName name="유가" localSheetId="7" hidden="1">{#N/A,#N/A,FALSE,"BS";#N/A,#N/A,FALSE,"PL";#N/A,#N/A,FALSE,"처분";#N/A,#N/A,FALSE,"현금";#N/A,#N/A,FALSE,"매출";#N/A,#N/A,FALSE,"원가";#N/A,#N/A,FALSE,"경영"}</definedName>
    <definedName name="유가" localSheetId="3" hidden="1">{#N/A,#N/A,FALSE,"BS";#N/A,#N/A,FALSE,"PL";#N/A,#N/A,FALSE,"처분";#N/A,#N/A,FALSE,"현금";#N/A,#N/A,FALSE,"매출";#N/A,#N/A,FALSE,"원가";#N/A,#N/A,FALSE,"경영"}</definedName>
    <definedName name="유가" localSheetId="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6" hidden="1">{#N/A,#N/A,FALSE,"Aging Summary";#N/A,#N/A,FALSE,"Ratio Analysis";#N/A,#N/A,FALSE,"Test 120 Day Accts";#N/A,#N/A,FALSE,"Tickmarks"}</definedName>
    <definedName name="유가증권" localSheetId="7" hidden="1">{#N/A,#N/A,FALSE,"Aging Summary";#N/A,#N/A,FALSE,"Ratio Analysis";#N/A,#N/A,FALSE,"Test 120 Day Accts";#N/A,#N/A,FALSE,"Tickmarks"}</definedName>
    <definedName name="유가증권" localSheetId="3" hidden="1">{#N/A,#N/A,FALSE,"Aging Summary";#N/A,#N/A,FALSE,"Ratio Analysis";#N/A,#N/A,FALSE,"Test 120 Day Accts";#N/A,#N/A,FALSE,"Tickmarks"}</definedName>
    <definedName name="유가증권" localSheetId="1" hidden="1">{#N/A,#N/A,FALSE,"Aging Summary";#N/A,#N/A,FALSE,"Ratio Analysis";#N/A,#N/A,FALSE,"Test 120 Day Accts";#N/A,#N/A,FALSE,"Tickmarks"}</definedName>
    <definedName name="유가증권" hidden="1">{#N/A,#N/A,FALSE,"Aging Summary";#N/A,#N/A,FALSE,"Ratio Analysis";#N/A,#N/A,FALSE,"Test 120 Day Accts";#N/A,#N/A,FALSE,"Tickmarks"}</definedName>
    <definedName name="유형자산">[138]회사정보!$C$7</definedName>
    <definedName name="유형자산처분">[140]회사정보!$C$7</definedName>
    <definedName name="유형자산처분1">[140]회사정보!$C$6</definedName>
    <definedName name="유형자산처분손익명세">#REF!</definedName>
    <definedName name="윤종현윤종현" localSheetId="6">'CF(M)'!윤종현윤종현</definedName>
    <definedName name="윤종현윤종현" localSheetId="7">Key!윤종현윤종현</definedName>
    <definedName name="윤종현윤종현" localSheetId="3">RE!윤종현윤종현</definedName>
    <definedName name="윤종현윤종현">[0]!윤종현윤종현</definedName>
    <definedName name="의정부1">#REF!</definedName>
    <definedName name="이근우" localSheetId="6" hidden="1">{#N/A,#N/A,FALSE,"BS";#N/A,#N/A,FALSE,"PL";#N/A,#N/A,FALSE,"처분";#N/A,#N/A,FALSE,"현금";#N/A,#N/A,FALSE,"매출";#N/A,#N/A,FALSE,"원가";#N/A,#N/A,FALSE,"경영"}</definedName>
    <definedName name="이근우" localSheetId="7" hidden="1">{#N/A,#N/A,FALSE,"BS";#N/A,#N/A,FALSE,"PL";#N/A,#N/A,FALSE,"처분";#N/A,#N/A,FALSE,"현금";#N/A,#N/A,FALSE,"매출";#N/A,#N/A,FALSE,"원가";#N/A,#N/A,FALSE,"경영"}</definedName>
    <definedName name="이근우" localSheetId="3" hidden="1">{#N/A,#N/A,FALSE,"BS";#N/A,#N/A,FALSE,"PL";#N/A,#N/A,FALSE,"처분";#N/A,#N/A,FALSE,"현금";#N/A,#N/A,FALSE,"매출";#N/A,#N/A,FALSE,"원가";#N/A,#N/A,FALSE,"경영"}</definedName>
    <definedName name="이근우" localSheetId="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동a">[162]건물대사!#REF!</definedName>
    <definedName name="이동c">[162]건물대사!#REF!</definedName>
    <definedName name="이동d">[162]건물대사!#REF!</definedName>
    <definedName name="이동e">[162]건물대사!#REF!</definedName>
    <definedName name="이동g">[162]건물대사!#REF!</definedName>
    <definedName name="이력" localSheetId="6" hidden="1">{#N/A,#N/A,FALSE,"이력서&amp;자기소개서"}</definedName>
    <definedName name="이력" localSheetId="7" hidden="1">{#N/A,#N/A,FALSE,"이력서&amp;자기소개서"}</definedName>
    <definedName name="이력" localSheetId="3" hidden="1">{#N/A,#N/A,FALSE,"이력서&amp;자기소개서"}</definedName>
    <definedName name="이력" hidden="1">{#N/A,#N/A,FALSE,"이력서&amp;자기소개서"}</definedName>
    <definedName name="이름정의">#REF!</definedName>
    <definedName name="이쁘니"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읏ㄷ" localSheetId="6"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7"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3"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이읏ㄷ" hidden="1">{#N/A,#N/A,FALSE,"손익표지";#N/A,#N/A,FALSE,"손익계산";#N/A,#N/A,FALSE,"일반관리비";#N/A,#N/A,FALSE,"영업외수익";#N/A,#N/A,FALSE,"영업외비용";#N/A,#N/A,FALSE,"매출액";#N/A,#N/A,FALSE,"요약손익";#N/A,#N/A,FALSE,"요약대차";#N/A,#N/A,FALSE,"매출채권현황";#N/A,#N/A,FALSE,"매출채권명세"}</definedName>
    <definedName name="이익">#REF!</definedName>
    <definedName name="이자">#REF!</definedName>
    <definedName name="이자비용">#REF!</definedName>
    <definedName name="익월업무계획">[163]익월작업계힉!#REF!</definedName>
    <definedName name="인상률안분" localSheetId="1">'[164]OPREV(대한)'!#REF!</definedName>
    <definedName name="인상률안분">'[165]OPREV(대한)'!#REF!</definedName>
    <definedName name="인쇄">[162]건물대사!#REF!</definedName>
    <definedName name="인쇄b">[162]건물대사!#REF!</definedName>
    <definedName name="인쇄f">[162]건물대사!#REF!</definedName>
    <definedName name="인쇄h">[162]건물대사!#REF!</definedName>
    <definedName name="인쇄i">[162]건물대사!#REF!</definedName>
    <definedName name="인쇄q">[162]건물대사!#REF!</definedName>
    <definedName name="인수자안">#REF!</definedName>
    <definedName name="인천킴스">#REF!</definedName>
    <definedName name="일">IF(RIGHT(#REF!,1)=0,"",CHOOSE(RIGHT(#REF!,1),"일","이","삼","사","오","육","칠","팔","구"))</definedName>
    <definedName name="壱番館住戸">#REF!</definedName>
    <definedName name="일산점">#REF!</definedName>
    <definedName name="일자">"Edit Box 13"</definedName>
    <definedName name="임대">#REF!</definedName>
    <definedName name="임대_관리">'[77]CHECK LIST'!#REF!</definedName>
    <definedName name="임대07년">#REF!</definedName>
    <definedName name="임대07년1">#REF!</definedName>
    <definedName name="임대08년">#REF!</definedName>
    <definedName name="임대09년">#REF!</definedName>
    <definedName name="임대관리">'[77]CHECK LIST'!#REF!</definedName>
    <definedName name="임대보증금" localSheetId="6" hidden="1">{#N/A,#N/A,FALSE,"BS";#N/A,#N/A,FALSE,"PL";#N/A,#N/A,FALSE,"처분";#N/A,#N/A,FALSE,"현금";#N/A,#N/A,FALSE,"매출";#N/A,#N/A,FALSE,"원가";#N/A,#N/A,FALSE,"경영"}</definedName>
    <definedName name="임대보증금" localSheetId="7" hidden="1">{#N/A,#N/A,FALSE,"BS";#N/A,#N/A,FALSE,"PL";#N/A,#N/A,FALSE,"처분";#N/A,#N/A,FALSE,"현금";#N/A,#N/A,FALSE,"매출";#N/A,#N/A,FALSE,"원가";#N/A,#N/A,FALSE,"경영"}</definedName>
    <definedName name="임대보증금" localSheetId="3" hidden="1">{#N/A,#N/A,FALSE,"BS";#N/A,#N/A,FALSE,"PL";#N/A,#N/A,FALSE,"처분";#N/A,#N/A,FALSE,"현금";#N/A,#N/A,FALSE,"매출";#N/A,#N/A,FALSE,"원가";#N/A,#N/A,FALSE,"경영"}</definedName>
    <definedName name="임대보증금" localSheetId="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2">[166]회사정보!$C$7</definedName>
    <definedName name="임대현황">[148]노무비!#REF!</definedName>
    <definedName name="임차풀" localSheetId="6" hidden="1">{#N/A,#N/A,FALSE,"동부"}</definedName>
    <definedName name="임차풀" localSheetId="7" hidden="1">{#N/A,#N/A,FALSE,"동부"}</definedName>
    <definedName name="임차풀" localSheetId="3" hidden="1">{#N/A,#N/A,FALSE,"동부"}</definedName>
    <definedName name="임차풀" hidden="1">{#N/A,#N/A,FALSE,"동부"}</definedName>
    <definedName name="입주현황">[167]노무비!#REF!</definedName>
    <definedName name="잏">[167]노무비!#REF!</definedName>
    <definedName name="ㅈ" localSheetId="6" hidden="1">{#N/A,#N/A,FALSE,"BS";#N/A,#N/A,FALSE,"PL";#N/A,#N/A,FALSE,"처분";#N/A,#N/A,FALSE,"현금";#N/A,#N/A,FALSE,"매출";#N/A,#N/A,FALSE,"원가";#N/A,#N/A,FALSE,"경영"}</definedName>
    <definedName name="ㅈ" localSheetId="7" hidden="1">{#N/A,#N/A,FALSE,"BS";#N/A,#N/A,FALSE,"PL";#N/A,#N/A,FALSE,"처분";#N/A,#N/A,FALSE,"현금";#N/A,#N/A,FALSE,"매출";#N/A,#N/A,FALSE,"원가";#N/A,#N/A,FALSE,"경영"}</definedName>
    <definedName name="ㅈ" localSheetId="3" hidden="1">{#N/A,#N/A,FALSE,"BS";#N/A,#N/A,FALSE,"PL";#N/A,#N/A,FALSE,"처분";#N/A,#N/A,FALSE,"현금";#N/A,#N/A,FALSE,"매출";#N/A,#N/A,FALSE,"원가";#N/A,#N/A,FALSE,"경영"}</definedName>
    <definedName name="ㅈ" localSheetId="1" hidden="1">{#N/A,#N/A,FALSE,"BS";#N/A,#N/A,FALSE,"PL";#N/A,#N/A,FALSE,"처분";#N/A,#N/A,FALSE,"현금";#N/A,#N/A,FALSE,"매출";#N/A,#N/A,FALSE,"원가";#N/A,#N/A,FALSE,"경영"}</definedName>
    <definedName name="ㅈ" hidden="1">{#N/A,#N/A,FALSE,"BS";#N/A,#N/A,FALSE,"PL";#N/A,#N/A,FALSE,"처분";#N/A,#N/A,FALSE,"현금";#N/A,#N/A,FALSE,"매출";#N/A,#N/A,FALSE,"원가";#N/A,#N/A,FALSE,"경영"}</definedName>
    <definedName name="ㅈㄳ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ㅈㄳㄹ" hidden="1">{#N/A,#N/A,FALSE,"손익표지";#N/A,#N/A,FALSE,"손익계산";#N/A,#N/A,FALSE,"일반관리비";#N/A,#N/A,FALSE,"영업외수익";#N/A,#N/A,FALSE,"영업외비용";#N/A,#N/A,FALSE,"매출액";#N/A,#N/A,FALSE,"요약손익";#N/A,#N/A,FALSE,"요약대차";#N/A,#N/A,FALSE,"매출채권현황";#N/A,#N/A,FALSE,"매출채권명세"}</definedName>
    <definedName name="ㅈㄷ">#REF!</definedName>
    <definedName name="ㅈㄷㄱ">#REF!</definedName>
    <definedName name="ㅈㄷㅈㄷ" localSheetId="6" hidden="1">{"'통신지'!$A$1:$J$41"}</definedName>
    <definedName name="ㅈㄷㅈㄷ" localSheetId="7" hidden="1">{"'통신지'!$A$1:$J$41"}</definedName>
    <definedName name="ㅈㄷㅈㄷ" localSheetId="3" hidden="1">{"'통신지'!$A$1:$J$41"}</definedName>
    <definedName name="ㅈㄷㅈㄷ" hidden="1">{"'통신지'!$A$1:$J$41"}</definedName>
    <definedName name="자본금" localSheetId="6" hidden="1">{#N/A,#N/A,FALSE,"Aging Summary";#N/A,#N/A,FALSE,"Ratio Analysis";#N/A,#N/A,FALSE,"Test 120 Day Accts";#N/A,#N/A,FALSE,"Tickmarks"}</definedName>
    <definedName name="자본금" localSheetId="7"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localSheetId="1" hidden="1">{#N/A,#N/A,FALSE,"Aging Summary";#N/A,#N/A,FALSE,"Ratio Analysis";#N/A,#N/A,FALSE,"Test 120 Day Accts";#N/A,#N/A,FALSE,"Tickmarks"}</definedName>
    <definedName name="자본금" hidden="1">{#N/A,#N/A,FALSE,"Aging Summary";#N/A,#N/A,FALSE,"Ratio Analysis";#N/A,#N/A,FALSE,"Test 120 Day Accts";#N/A,#N/A,FALSE,"Tickmarks"}</definedName>
    <definedName name="자산">#REF!</definedName>
    <definedName name="자산_가치_상승률" localSheetId="1">'[16]Initial Input Variable'!#REF!</definedName>
    <definedName name="자산_가치_상승률">'[17]Initial Input Variable'!#REF!</definedName>
    <definedName name="자재">#REF!</definedName>
    <definedName name="작성조서" localSheetId="6" hidden="1">{#N/A,#N/A,FALSE,"BS";#N/A,#N/A,FALSE,"PL";#N/A,#N/A,FALSE,"처분";#N/A,#N/A,FALSE,"현금";#N/A,#N/A,FALSE,"매출";#N/A,#N/A,FALSE,"원가";#N/A,#N/A,FALSE,"경영"}</definedName>
    <definedName name="작성조서" localSheetId="7" hidden="1">{#N/A,#N/A,FALSE,"BS";#N/A,#N/A,FALSE,"PL";#N/A,#N/A,FALSE,"처분";#N/A,#N/A,FALSE,"현금";#N/A,#N/A,FALSE,"매출";#N/A,#N/A,FALSE,"원가";#N/A,#N/A,FALSE,"경영"}</definedName>
    <definedName name="작성조서" localSheetId="3" hidden="1">{#N/A,#N/A,FALSE,"BS";#N/A,#N/A,FALSE,"PL";#N/A,#N/A,FALSE,"처분";#N/A,#N/A,FALSE,"현금";#N/A,#N/A,FALSE,"매출";#N/A,#N/A,FALSE,"원가";#N/A,#N/A,FALSE,"경영"}</definedName>
    <definedName name="작성조서" localSheetId="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_Crosstab">#REF!</definedName>
    <definedName name="잔금">[13]미납중도금후납시!$N$2</definedName>
    <definedName name="잔여배분">#REF!</definedName>
    <definedName name="잔여배분2">#REF!</definedName>
    <definedName name="잔여배분3">#REF!</definedName>
    <definedName name="잔여배분4">#REF!</definedName>
    <definedName name="잡이익">[168]회사정보!$C$7</definedName>
    <definedName name="장기차">[169]회사정보!$C$6</definedName>
    <definedName name="장기환산평가">#REF!</definedName>
    <definedName name="재고1">[160]회사정보!$C$6</definedName>
    <definedName name="재고원가">[170]회사정보!$C$8</definedName>
    <definedName name="재무관리">'[77]CHECK LIST'!#REF!</definedName>
    <definedName name="재무제표"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저장품">#REF!</definedName>
    <definedName name="적용">#REF!</definedName>
    <definedName name="적용1">#REF!</definedName>
    <definedName name="適用リスト">[171]リスト!$A$1:$A$11</definedName>
    <definedName name="전년">#REF!</definedName>
    <definedName name="전산_관리_시스템">'[77]CHECK LIST'!#REF!</definedName>
    <definedName name="전월요금1">#N/A</definedName>
    <definedName name="전월요금2">#N/A</definedName>
    <definedName name="전월일수" localSheetId="6">INDEX(#REF!,IF(월=1,12,월-1))</definedName>
    <definedName name="전월일수" localSheetId="7">INDEX(#REF!,IF(월=1,12,월-1))</definedName>
    <definedName name="전월일수" localSheetId="3">INDEX(#REF!,IF(월=1,12,월-1))</definedName>
    <definedName name="전월일수">INDEX(#REF!,IF(월=1,12,월-1))</definedName>
    <definedName name="점__명">#REF!</definedName>
    <definedName name="정리" localSheetId="6" hidden="1">{#N/A,#N/A,TRUE,"대 차 대 조 표"}</definedName>
    <definedName name="정리" localSheetId="7" hidden="1">{#N/A,#N/A,TRUE,"대 차 대 조 표"}</definedName>
    <definedName name="정리" localSheetId="3" hidden="1">{#N/A,#N/A,TRUE,"대 차 대 조 표"}</definedName>
    <definedName name="정리" localSheetId="1" hidden="1">{#N/A,#N/A,TRUE,"대 차 대 조 표"}</definedName>
    <definedName name="정리" hidden="1">{#N/A,#N/A,TRUE,"대 차 대 조 표"}</definedName>
    <definedName name="정리채권미지급금">#REF!</definedName>
    <definedName name="정산세부내역">#REF!</definedName>
    <definedName name="제경비율">#REF!</definedName>
    <definedName name="조서" hidden="1">#REF!</definedName>
    <definedName name="조서1" hidden="1">#REF!</definedName>
    <definedName name="조회서번호">#REF!</definedName>
    <definedName name="종로5가">#REF!</definedName>
    <definedName name="종합합산" localSheetId="1">#REF!</definedName>
    <definedName name="종합합산">#REF!</definedName>
    <definedName name="종합합산세" localSheetId="1">#REF!</definedName>
    <definedName name="종합합산세">#REF!</definedName>
    <definedName name="종합합산세율" localSheetId="1">#REF!</definedName>
    <definedName name="종합합산세율">#REF!</definedName>
    <definedName name="주소">#REF!</definedName>
    <definedName name="주택매출" localSheetId="1">#REF!</definedName>
    <definedName name="주택매출">#REF!</definedName>
    <definedName name="주택원가" localSheetId="1">#REF!</definedName>
    <definedName name="주택원가">#REF!</definedName>
    <definedName name="주택최종" localSheetId="1">#REF!</definedName>
    <definedName name="주택최종">#REF!</definedName>
    <definedName name="중간요약" localSheetId="6" hidden="1">{#N/A,#N/A,FALSE,"BS";#N/A,#N/A,FALSE,"PL";#N/A,#N/A,FALSE,"처분";#N/A,#N/A,FALSE,"현금";#N/A,#N/A,FALSE,"매출";#N/A,#N/A,FALSE,"원가";#N/A,#N/A,FALSE,"경영"}</definedName>
    <definedName name="중간요약" localSheetId="7" hidden="1">{#N/A,#N/A,FALSE,"BS";#N/A,#N/A,FALSE,"PL";#N/A,#N/A,FALSE,"처분";#N/A,#N/A,FALSE,"현금";#N/A,#N/A,FALSE,"매출";#N/A,#N/A,FALSE,"원가";#N/A,#N/A,FALSE,"경영"}</definedName>
    <definedName name="중간요약" localSheetId="3" hidden="1">{#N/A,#N/A,FALSE,"BS";#N/A,#N/A,FALSE,"PL";#N/A,#N/A,FALSE,"처분";#N/A,#N/A,FALSE,"현금";#N/A,#N/A,FALSE,"매출";#N/A,#N/A,FALSE,"원가";#N/A,#N/A,FALSE,"경영"}</definedName>
    <definedName name="중간요약" localSheetId="1"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기목록">[143]중기!$D$4:$H$161</definedName>
    <definedName name="중대가시설2">#N/A</definedName>
    <definedName name="중도금6">[172]전체손익!#REF!</definedName>
    <definedName name="중앙">'[173]인원계획-미화'!#REF!</definedName>
    <definedName name="중학동" hidden="1">[5]목표세부명세!#REF!</definedName>
    <definedName name="중학동서류" hidden="1">[5]목표세부명세!#REF!</definedName>
    <definedName name="증감구로">[119]TB!#REF!</definedName>
    <definedName name="증감본사누계">[119]TB!#REF!</definedName>
    <definedName name="증감부평">[119]TB!#REF!</definedName>
    <definedName name="증감서울">[119]TB!#REF!</definedName>
    <definedName name="증감창원">[119]TB!#REF!</definedName>
    <definedName name="지1">#REF!</definedName>
    <definedName name="지원동" localSheetId="6" hidden="1">{#N/A,#N/A,TRUE,"대 차 대 조 표"}</definedName>
    <definedName name="지원동" localSheetId="7" hidden="1">{#N/A,#N/A,TRUE,"대 차 대 조 표"}</definedName>
    <definedName name="지원동" localSheetId="3" hidden="1">{#N/A,#N/A,TRUE,"대 차 대 조 표"}</definedName>
    <definedName name="지원동" localSheetId="1" hidden="1">{#N/A,#N/A,TRUE,"대 차 대 조 표"}</definedName>
    <definedName name="지원동" hidden="1">{#N/A,#N/A,TRUE,"대 차 대 조 표"}</definedName>
    <definedName name="지자">#REF!</definedName>
    <definedName name="직영2">'[174]수지차(년)'!$F$16</definedName>
    <definedName name="직영공사">'[158]2.직영공사'!$B$4:$M$39</definedName>
    <definedName name="집기비품">[28]!집기비품</definedName>
    <definedName name="집행실적">#REF!</definedName>
    <definedName name="ㅊ" localSheetId="6" hidden="1">{#N/A,#N/A,FALSE,"BS";#N/A,#N/A,FALSE,"PL";#N/A,#N/A,FALSE,"처분";#N/A,#N/A,FALSE,"현금";#N/A,#N/A,FALSE,"매출";#N/A,#N/A,FALSE,"원가";#N/A,#N/A,FALSE,"경영"}</definedName>
    <definedName name="ㅊ" localSheetId="7" hidden="1">{#N/A,#N/A,FALSE,"BS";#N/A,#N/A,FALSE,"PL";#N/A,#N/A,FALSE,"처분";#N/A,#N/A,FALSE,"현금";#N/A,#N/A,FALSE,"매출";#N/A,#N/A,FALSE,"원가";#N/A,#N/A,FALSE,"경영"}</definedName>
    <definedName name="ㅊ" localSheetId="3" hidden="1">{#N/A,#N/A,FALSE,"BS";#N/A,#N/A,FALSE,"PL";#N/A,#N/A,FALSE,"처분";#N/A,#N/A,FALSE,"현금";#N/A,#N/A,FALSE,"매출";#N/A,#N/A,FALSE,"원가";#N/A,#N/A,FALSE,"경영"}</definedName>
    <definedName name="ㅊ" localSheetId="1" hidden="1">{#N/A,#N/A,FALSE,"BS";#N/A,#N/A,FALSE,"PL";#N/A,#N/A,FALSE,"처분";#N/A,#N/A,FALSE,"현금";#N/A,#N/A,FALSE,"매출";#N/A,#N/A,FALSE,"원가";#N/A,#N/A,FALSE,"경영"}</definedName>
    <definedName name="ㅊ" hidden="1">{#N/A,#N/A,FALSE,"BS";#N/A,#N/A,FALSE,"PL";#N/A,#N/A,FALSE,"처분";#N/A,#N/A,FALSE,"현금";#N/A,#N/A,FALSE,"매출";#N/A,#N/A,FALSE,"원가";#N/A,#N/A,FALSE,"경영"}</definedName>
    <definedName name="ㅊㄷㄷㄷ">[148]노무비!#REF!</definedName>
    <definedName name="ㅊㅊㅊㅊㅊㅊㅊㅊㅊㅊ"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hidden="1">{#N/A,#N/A,FALSE,"손익표지";#N/A,#N/A,FALSE,"손익계산";#N/A,#N/A,FALSE,"일반관리비";#N/A,#N/A,FALSE,"영업외수익";#N/A,#N/A,FALSE,"영업외비용";#N/A,#N/A,FALSE,"매출액";#N/A,#N/A,FALSE,"요약손익";#N/A,#N/A,FALSE,"요약대차";#N/A,#N/A,FALSE,"매출채권현황";#N/A,#N/A,FALSE,"매출채권명세"}</definedName>
    <definedName name="ㅊ호" localSheetId="6">'CF(M)'!ㅊ호</definedName>
    <definedName name="ㅊ호" localSheetId="7">Key!ㅊ호</definedName>
    <definedName name="ㅊ호" localSheetId="3">RE!ㅊ호</definedName>
    <definedName name="ㅊ호">[0]!ㅊ호</definedName>
    <definedName name="차량운반구">[28]!차량운반구</definedName>
    <definedName name="차원">'[175]1Month+Sheet2!'!$C$15</definedName>
    <definedName name="참고" localSheetId="6" hidden="1">{#N/A,#N/A,FALSE,"BS";#N/A,#N/A,FALSE,"PL";#N/A,#N/A,FALSE,"처분";#N/A,#N/A,FALSE,"현금";#N/A,#N/A,FALSE,"매출";#N/A,#N/A,FALSE,"원가";#N/A,#N/A,FALSE,"경영"}</definedName>
    <definedName name="참고" localSheetId="7" hidden="1">{#N/A,#N/A,FALSE,"BS";#N/A,#N/A,FALSE,"PL";#N/A,#N/A,FALSE,"처분";#N/A,#N/A,FALSE,"현금";#N/A,#N/A,FALSE,"매출";#N/A,#N/A,FALSE,"원가";#N/A,#N/A,FALSE,"경영"}</definedName>
    <definedName name="참고" localSheetId="3" hidden="1">{#N/A,#N/A,FALSE,"BS";#N/A,#N/A,FALSE,"PL";#N/A,#N/A,FALSE,"처분";#N/A,#N/A,FALSE,"현금";#N/A,#N/A,FALSE,"매출";#N/A,#N/A,FALSE,"원가";#N/A,#N/A,FALSE,"경영"}</definedName>
    <definedName name="참고" localSheetId="1" hidden="1">{#N/A,#N/A,FALSE,"BS";#N/A,#N/A,FALSE,"PL";#N/A,#N/A,FALSE,"처분";#N/A,#N/A,FALSE,"현금";#N/A,#N/A,FALSE,"매출";#N/A,#N/A,FALSE,"원가";#N/A,#N/A,FALSE,"경영"}</definedName>
    <definedName name="참고" hidden="1">{#N/A,#N/A,FALSE,"BS";#N/A,#N/A,FALSE,"PL";#N/A,#N/A,FALSE,"처분";#N/A,#N/A,FALSE,"현금";#N/A,#N/A,FALSE,"매출";#N/A,#N/A,FALSE,"원가";#N/A,#N/A,FALSE,"경영"}</definedName>
    <definedName name="창고" localSheetId="1">#REF!</definedName>
    <definedName name="창고">#REF!</definedName>
    <definedName name="창원">[119]TB!#REF!</definedName>
    <definedName name="채권sort">#REF!</definedName>
    <definedName name="채권계정과목">#REF!</definedName>
    <definedName name="채권금액">#REF!</definedName>
    <definedName name="채권자">#REF!</definedName>
    <definedName name="채권자풀">#REF!</definedName>
    <definedName name="채무">#REF!</definedName>
    <definedName name="채무sort">#REF!</definedName>
    <definedName name="채무계정과목">#REF!</definedName>
    <definedName name="채무금액">#REF!</definedName>
    <definedName name="채무제목">#REF!</definedName>
    <definedName name="천">IF(INT(RIGHT(#REF!,4)/1000)=0,"",CHOOSE(INT(RIGHT(#REF!,4)/1000),"일","이","삼","사","오","육","칠","팔","구")&amp;"천")</definedName>
    <definedName name="천만">IF(INT(RIGHT(#REF!,8)/10000000)=0,"",CHOOSE(INT(RIGHT(#REF!,8)/10000000),"일","이","삼","사","오","육","칠","팔","구")&amp;"천")</definedName>
    <definedName name="천안" localSheetId="1">[119]TB!#REF!</definedName>
    <definedName name="천안">#REF!</definedName>
    <definedName name="청구내역">#REF!</definedName>
    <definedName name="청소1">#REF!</definedName>
    <definedName name="체육관" localSheetId="6" hidden="1">{#N/A,#N/A,TRUE,"대 차 대 조 표"}</definedName>
    <definedName name="체육관" localSheetId="7" hidden="1">{#N/A,#N/A,TRUE,"대 차 대 조 표"}</definedName>
    <definedName name="체육관" localSheetId="3" hidden="1">{#N/A,#N/A,TRUE,"대 차 대 조 표"}</definedName>
    <definedName name="체육관" localSheetId="1" hidden="1">{#N/A,#N/A,TRUE,"대 차 대 조 표"}</definedName>
    <definedName name="체육관" hidden="1">{#N/A,#N/A,TRUE,"대 차 대 조 표"}</definedName>
    <definedName name="총" localSheetId="6" hidden="1">{#N/A,#N/A,FALSE,"이력서&amp;자기소개서"}</definedName>
    <definedName name="총" localSheetId="7" hidden="1">{#N/A,#N/A,FALSE,"이력서&amp;자기소개서"}</definedName>
    <definedName name="총" localSheetId="3" hidden="1">{#N/A,#N/A,FALSE,"이력서&amp;자기소개서"}</definedName>
    <definedName name="총" hidden="1">{#N/A,#N/A,FALSE,"이력서&amp;자기소개서"}</definedName>
    <definedName name="총괄" localSheetId="6">BlankMacro1</definedName>
    <definedName name="총괄" localSheetId="7">BlankMacro1</definedName>
    <definedName name="총괄" localSheetId="3">BlankMacro1</definedName>
    <definedName name="총괄" localSheetId="1">[28]!총괄</definedName>
    <definedName name="총괄">BlankMacro1</definedName>
    <definedName name="총괄표">#REF!</definedName>
    <definedName name="최종분" localSheetId="6" hidden="1">{#N/A,#N/A,TRUE,"대 차 대 조 표"}</definedName>
    <definedName name="최종분" localSheetId="7" hidden="1">{#N/A,#N/A,TRUE,"대 차 대 조 표"}</definedName>
    <definedName name="최종분" localSheetId="3" hidden="1">{#N/A,#N/A,TRUE,"대 차 대 조 표"}</definedName>
    <definedName name="최종분" hidden="1">{#N/A,#N/A,TRUE,"대 차 대 조 표"}</definedName>
    <definedName name="최초">#REF!</definedName>
    <definedName name="출력" localSheetId="1">#REF!</definedName>
    <definedName name="출력">#REF!</definedName>
    <definedName name="충당금">[176]회사정보!$C$6</definedName>
    <definedName name="취득일" localSheetId="1">#REF!</definedName>
    <definedName name="취득일">#REF!</definedName>
    <definedName name="층별" localSheetId="1">'[177]임대료산정(자동계산)'!#REF!</definedName>
    <definedName name="층별">'[178]임대료산정(자동계산)'!#REF!</definedName>
    <definedName name="층별임대" localSheetId="1">#REF!</definedName>
    <definedName name="층별임대">#REF!</definedName>
    <definedName name="층별효용" localSheetId="1">#REF!</definedName>
    <definedName name="층별효용">#REF!</definedName>
    <definedName name="ㅋ" localSheetId="6" hidden="1">{#N/A,#N/A,FALSE,"BS";#N/A,#N/A,FALSE,"PL";#N/A,#N/A,FALSE,"처분";#N/A,#N/A,FALSE,"현금";#N/A,#N/A,FALSE,"매출";#N/A,#N/A,FALSE,"원가";#N/A,#N/A,FALSE,"경영"}</definedName>
    <definedName name="ㅋ" localSheetId="7" hidden="1">{#N/A,#N/A,FALSE,"BS";#N/A,#N/A,FALSE,"PL";#N/A,#N/A,FALSE,"처분";#N/A,#N/A,FALSE,"현금";#N/A,#N/A,FALSE,"매출";#N/A,#N/A,FALSE,"원가";#N/A,#N/A,FALSE,"경영"}</definedName>
    <definedName name="ㅋ" localSheetId="3" hidden="1">{#N/A,#N/A,FALSE,"BS";#N/A,#N/A,FALSE,"PL";#N/A,#N/A,FALSE,"처분";#N/A,#N/A,FALSE,"현금";#N/A,#N/A,FALSE,"매출";#N/A,#N/A,FALSE,"원가";#N/A,#N/A,FALSE,"경영"}</definedName>
    <definedName name="ㅋ" localSheetId="1" hidden="1">{#N/A,#N/A,FALSE,"BS";#N/A,#N/A,FALSE,"PL";#N/A,#N/A,FALSE,"처분";#N/A,#N/A,FALSE,"현금";#N/A,#N/A,FALSE,"매출";#N/A,#N/A,FALSE,"원가";#N/A,#N/A,FALSE,"경영"}</definedName>
    <definedName name="ㅋ" hidden="1">{#N/A,#N/A,FALSE,"BS";#N/A,#N/A,FALSE,"PL";#N/A,#N/A,FALSE,"처분";#N/A,#N/A,FALSE,"현금";#N/A,#N/A,FALSE,"매출";#N/A,#N/A,FALSE,"원가";#N/A,#N/A,FALSE,"경영"}</definedName>
    <definedName name="ㅋㅋㅋ"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 localSheetId="6" hidden="1">{#N/A,#N/A,TRUE,"대 차 대 조 표"}</definedName>
    <definedName name="ㅋㅋㅋㅋ" localSheetId="7" hidden="1">{#N/A,#N/A,TRUE,"대 차 대 조 표"}</definedName>
    <definedName name="ㅋㅋㅋㅋ" localSheetId="3" hidden="1">{#N/A,#N/A,TRUE,"대 차 대 조 표"}</definedName>
    <definedName name="ㅋㅋㅋㅋ" localSheetId="1" hidden="1">{#N/A,#N/A,FALSE,"Aging Summary";#N/A,#N/A,FALSE,"Ratio Analysis";#N/A,#N/A,FALSE,"Test 120 Day Accts";#N/A,#N/A,FALSE,"Tickmarks"}</definedName>
    <definedName name="ㅋㅋㅋㅋ" hidden="1">{#N/A,#N/A,TRUE,"대 차 대 조 표"}</definedName>
    <definedName name="코크랩총괄예산" localSheetId="6" hidden="1">{#N/A,#N/A,FALSE,"이력서&amp;자기소개서"}</definedName>
    <definedName name="코크랩총괄예산" localSheetId="7" hidden="1">{#N/A,#N/A,FALSE,"이력서&amp;자기소개서"}</definedName>
    <definedName name="코크랩총괄예산" localSheetId="3" hidden="1">{#N/A,#N/A,FALSE,"이력서&amp;자기소개서"}</definedName>
    <definedName name="코크랩총괄예산" hidden="1">{#N/A,#N/A,FALSE,"이력서&amp;자기소개서"}</definedName>
    <definedName name="ㅌ" localSheetId="6" hidden="1">{#N/A,#N/A,FALSE,"BS";#N/A,#N/A,FALSE,"PL";#N/A,#N/A,FALSE,"처분";#N/A,#N/A,FALSE,"현금";#N/A,#N/A,FALSE,"매출";#N/A,#N/A,FALSE,"원가";#N/A,#N/A,FALSE,"경영"}</definedName>
    <definedName name="ㅌ" localSheetId="7" hidden="1">{#N/A,#N/A,FALSE,"BS";#N/A,#N/A,FALSE,"PL";#N/A,#N/A,FALSE,"처분";#N/A,#N/A,FALSE,"현금";#N/A,#N/A,FALSE,"매출";#N/A,#N/A,FALSE,"원가";#N/A,#N/A,FALSE,"경영"}</definedName>
    <definedName name="ㅌ" localSheetId="3" hidden="1">{#N/A,#N/A,FALSE,"BS";#N/A,#N/A,FALSE,"PL";#N/A,#N/A,FALSE,"처분";#N/A,#N/A,FALSE,"현금";#N/A,#N/A,FALSE,"매출";#N/A,#N/A,FALSE,"원가";#N/A,#N/A,FALSE,"경영"}</definedName>
    <definedName name="ㅌ" localSheetId="1" hidden="1">{#N/A,#N/A,FALSE,"BS";#N/A,#N/A,FALSE,"PL";#N/A,#N/A,FALSE,"처분";#N/A,#N/A,FALSE,"현금";#N/A,#N/A,FALSE,"매출";#N/A,#N/A,FALSE,"원가";#N/A,#N/A,FALSE,"경영"}</definedName>
    <definedName name="ㅌ" hidden="1">{#N/A,#N/A,FALSE,"BS";#N/A,#N/A,FALSE,"PL";#N/A,#N/A,FALSE,"처분";#N/A,#N/A,FALSE,"현금";#N/A,#N/A,FALSE,"매출";#N/A,#N/A,FALSE,"원가";#N/A,#N/A,FALSE,"경영"}</definedName>
    <definedName name="타입평" localSheetId="1">#REF!</definedName>
    <definedName name="타입평">#REF!</definedName>
    <definedName name="태양">[179]회사정보!$C$8</definedName>
    <definedName name="템플리트모듈1" localSheetId="6">BlankMacro1</definedName>
    <definedName name="템플리트모듈1" localSheetId="7">BlankMacro1</definedName>
    <definedName name="템플리트모듈1" localSheetId="3">BlankMacro1</definedName>
    <definedName name="템플리트모듈1" localSheetId="1">BlankMacro1</definedName>
    <definedName name="템플리트모듈1">BlankMacro1</definedName>
    <definedName name="템플리트모듈2" localSheetId="6">BlankMacro1</definedName>
    <definedName name="템플리트모듈2" localSheetId="7">BlankMacro1</definedName>
    <definedName name="템플리트모듈2" localSheetId="3">BlankMacro1</definedName>
    <definedName name="템플리트모듈2" localSheetId="1">BlankMacro1</definedName>
    <definedName name="템플리트모듈2">BlankMacro1</definedName>
    <definedName name="템플리트모듈3" localSheetId="6">BlankMacro1</definedName>
    <definedName name="템플리트모듈3" localSheetId="7">BlankMacro1</definedName>
    <definedName name="템플리트모듈3" localSheetId="3">BlankMacro1</definedName>
    <definedName name="템플리트모듈3" localSheetId="1">BlankMacro1</definedName>
    <definedName name="템플리트모듈3">BlankMacro1</definedName>
    <definedName name="템플리트모듈4" localSheetId="6">BlankMacro1</definedName>
    <definedName name="템플리트모듈4" localSheetId="7">BlankMacro1</definedName>
    <definedName name="템플리트모듈4" localSheetId="3">BlankMacro1</definedName>
    <definedName name="템플리트모듈4" localSheetId="1">BlankMacro1</definedName>
    <definedName name="템플리트모듈4">BlankMacro1</definedName>
    <definedName name="템플리트모듈5" localSheetId="6">BlankMacro1</definedName>
    <definedName name="템플리트모듈5" localSheetId="7">BlankMacro1</definedName>
    <definedName name="템플리트모듈5" localSheetId="3">BlankMacro1</definedName>
    <definedName name="템플리트모듈5" localSheetId="1">BlankMacro1</definedName>
    <definedName name="템플리트모듈5">BlankMacro1</definedName>
    <definedName name="템플리트모듈6" localSheetId="6">BlankMacro1</definedName>
    <definedName name="템플리트모듈6" localSheetId="7">BlankMacro1</definedName>
    <definedName name="템플리트모듈6" localSheetId="3">BlankMacro1</definedName>
    <definedName name="템플리트모듈6" localSheetId="1">BlankMacro1</definedName>
    <definedName name="템플리트모듈6">BlankMacro1</definedName>
    <definedName name="통합본관" localSheetId="1" hidden="1">#REF!</definedName>
    <definedName name="통합본관" hidden="1">#REF!</definedName>
    <definedName name="퇴충명세"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#REF!</definedName>
    <definedName name="투자자발행주식수">[130]Label!$I$25</definedName>
    <definedName name="투자자자본금">[130]Label!$I$28</definedName>
    <definedName name="ㅍㅎㅎ">'[10]בית השקעות'!#REF!</definedName>
    <definedName name="판매보수">[180]Assumption!$J$39</definedName>
    <definedName name="판매수수료율">'[159]S&amp;R'!#REF!</definedName>
    <definedName name="평" localSheetId="1">[62]Intro2!$J$17</definedName>
    <definedName name="평">[63]Intro2!$J$17</definedName>
    <definedName name="평균이자율" hidden="1">#N/A</definedName>
    <definedName name="평촌킴스">#REF!</definedName>
    <definedName name="평형구분" localSheetId="1">#REF!</definedName>
    <definedName name="평형구분">#REF!</definedName>
    <definedName name="포스코" localSheetId="6" hidden="1">{#N/A,#N/A,TRUE,"대 차 대 조 표"}</definedName>
    <definedName name="포스코" localSheetId="7" hidden="1">{#N/A,#N/A,TRUE,"대 차 대 조 표"}</definedName>
    <definedName name="포스코" localSheetId="3" hidden="1">{#N/A,#N/A,TRUE,"대 차 대 조 표"}</definedName>
    <definedName name="포스코" localSheetId="1" hidden="1">{#N/A,#N/A,TRUE,"대 차 대 조 표"}</definedName>
    <definedName name="포스코" hidden="1">{#N/A,#N/A,TRUE,"대 차 대 조 표"}</definedName>
    <definedName name="표지" localSheetId="6" hidden="1">{#N/A,#N/A,FALSE,"동부"}</definedName>
    <definedName name="표지" localSheetId="7" hidden="1">{#N/A,#N/A,FALSE,"동부"}</definedName>
    <definedName name="표지" localSheetId="3" hidden="1">{#N/A,#N/A,FALSE,"동부"}</definedName>
    <definedName name="표지" localSheetId="1" hidden="1">{#N/A,#N/A,FALSE,"동부"}</definedName>
    <definedName name="표지" hidden="1">{#N/A,#N/A,FALSE,"동부"}</definedName>
    <definedName name="풀" localSheetId="6" hidden="1">{#N/A,#N/A,FALSE,"동부"}</definedName>
    <definedName name="풀" localSheetId="7" hidden="1">{#N/A,#N/A,FALSE,"동부"}</definedName>
    <definedName name="풀" localSheetId="3" hidden="1">{#N/A,#N/A,FALSE,"동부"}</definedName>
    <definedName name="풀" hidden="1">{#N/A,#N/A,FALSE,"동부"}</definedName>
    <definedName name="피복비외" localSheetId="6">BlankMacro1</definedName>
    <definedName name="피복비외" localSheetId="7">BlankMacro1</definedName>
    <definedName name="피복비외" localSheetId="3">BlankMacro1</definedName>
    <definedName name="피복비외">BlankMacro1</definedName>
    <definedName name="피비씨">#REF!</definedName>
    <definedName name="피비씨리스트">#REF!</definedName>
    <definedName name="피크치">#REF!</definedName>
    <definedName name="피크치1" localSheetId="6">INDEX(#REF!,월)</definedName>
    <definedName name="피크치1" localSheetId="7">INDEX(#REF!,월)</definedName>
    <definedName name="피크치1" localSheetId="3">INDEX(#REF!,월)</definedName>
    <definedName name="피크치1">INDEX(#REF!,월)</definedName>
    <definedName name="피크치2" localSheetId="6">INDEX(#REF!,월)</definedName>
    <definedName name="피크치2" localSheetId="7">INDEX(#REF!,월)</definedName>
    <definedName name="피크치2" localSheetId="3">INDEX(#REF!,월)</definedName>
    <definedName name="피크치2">INDEX(#REF!,월)</definedName>
    <definedName name="ㅎ" localSheetId="6" hidden="1">{#N/A,#N/A,FALSE,"BS";#N/A,#N/A,FALSE,"PL";#N/A,#N/A,FALSE,"처분";#N/A,#N/A,FALSE,"현금";#N/A,#N/A,FALSE,"매출";#N/A,#N/A,FALSE,"원가";#N/A,#N/A,FALSE,"경영"}</definedName>
    <definedName name="ㅎ" localSheetId="7" hidden="1">{#N/A,#N/A,FALSE,"BS";#N/A,#N/A,FALSE,"PL";#N/A,#N/A,FALSE,"처분";#N/A,#N/A,FALSE,"현금";#N/A,#N/A,FALSE,"매출";#N/A,#N/A,FALSE,"원가";#N/A,#N/A,FALSE,"경영"}</definedName>
    <definedName name="ㅎ" localSheetId="3" hidden="1">{#N/A,#N/A,FALSE,"BS";#N/A,#N/A,FALSE,"PL";#N/A,#N/A,FALSE,"처분";#N/A,#N/A,FALSE,"현금";#N/A,#N/A,FALSE,"매출";#N/A,#N/A,FALSE,"원가";#N/A,#N/A,FALSE,"경영"}</definedName>
    <definedName name="ㅎ" localSheetId="1" hidden="1">{#N/A,#N/A,FALSE,"BS";#N/A,#N/A,FALSE,"PL";#N/A,#N/A,FALSE,"처분";#N/A,#N/A,FALSE,"현금";#N/A,#N/A,FALSE,"매출";#N/A,#N/A,FALSE,"원가";#N/A,#N/A,FALSE,"경영"}</definedName>
    <definedName name="ㅎ" hidden="1">{#N/A,#N/A,FALSE,"BS";#N/A,#N/A,FALSE,"PL";#N/A,#N/A,FALSE,"처분";#N/A,#N/A,FALSE,"현금";#N/A,#N/A,FALSE,"매출";#N/A,#N/A,FALSE,"원가";#N/A,#N/A,FALSE,"경영"}</definedName>
    <definedName name="ㅎㅂ" localSheetId="6">BlankMacro1</definedName>
    <definedName name="ㅎㅂ" localSheetId="7">BlankMacro1</definedName>
    <definedName name="ㅎㅂ" localSheetId="3">BlankMacro1</definedName>
    <definedName name="ㅎㅂ" localSheetId="1">BlankMacro1</definedName>
    <definedName name="ㅎㅂ">BlankMacro1</definedName>
    <definedName name="ㅎㅇ" localSheetId="6" hidden="1">{#N/A,#N/A,FALSE,"Aging Summary";#N/A,#N/A,FALSE,"Ratio Analysis";#N/A,#N/A,FALSE,"Test 120 Day Accts";#N/A,#N/A,FALSE,"Tickmarks"}</definedName>
    <definedName name="ㅎㅇ" localSheetId="7" hidden="1">{#N/A,#N/A,FALSE,"Aging Summary";#N/A,#N/A,FALSE,"Ratio Analysis";#N/A,#N/A,FALSE,"Test 120 Day Accts";#N/A,#N/A,FALSE,"Tickmarks"}</definedName>
    <definedName name="ㅎㅇ" localSheetId="3" hidden="1">{#N/A,#N/A,FALSE,"Aging Summary";#N/A,#N/A,FALSE,"Ratio Analysis";#N/A,#N/A,FALSE,"Test 120 Day Accts";#N/A,#N/A,FALSE,"Tickmarks"}</definedName>
    <definedName name="ㅎㅇ" localSheetId="1" hidden="1">{#N/A,#N/A,FALSE,"Aging Summary";#N/A,#N/A,FALSE,"Ratio Analysis";#N/A,#N/A,FALSE,"Test 120 Day Accts";#N/A,#N/A,FALSE,"Tickmarks"}</definedName>
    <definedName name="ㅎㅇ" hidden="1">{#N/A,#N/A,FALSE,"Aging Summary";#N/A,#N/A,FALSE,"Ratio Analysis";#N/A,#N/A,FALSE,"Test 120 Day Accts";#N/A,#N/A,FALSE,"Tickmarks"}</definedName>
    <definedName name="ㅎㅎ" localSheetId="6">BlankMacro1</definedName>
    <definedName name="ㅎㅎ" localSheetId="7">BlankMacro1</definedName>
    <definedName name="ㅎㅎ" localSheetId="3">BlankMacro1</definedName>
    <definedName name="ㅎㅎ" localSheetId="1" hidden="1">{#N/A,#N/A,FALSE,"BS";#N/A,#N/A,FALSE,"PL";#N/A,#N/A,FALSE,"처분";#N/A,#N/A,FALSE,"현금";#N/A,#N/A,FALSE,"매출";#N/A,#N/A,FALSE,"원가";#N/A,#N/A,FALSE,"경영"}</definedName>
    <definedName name="ㅎㅎ">BlankMacro1</definedName>
    <definedName name="ㅎㅎㄹ">[28]!ㅎㅎㄹ</definedName>
    <definedName name="ㅎㅎㅎㅎ" localSheetId="6" hidden="1">{#N/A,#N/A,FALSE,"BS";#N/A,#N/A,FALSE,"PL";#N/A,#N/A,FALSE,"처분";#N/A,#N/A,FALSE,"현금";#N/A,#N/A,FALSE,"매출";#N/A,#N/A,FALSE,"원가";#N/A,#N/A,FALSE,"경영"}</definedName>
    <definedName name="ㅎㅎㅎㅎ" localSheetId="7"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localSheetId="1" hidden="1">{#N/A,#N/A,FALSE,"BS";#N/A,#N/A,FALSE,"PL";#N/A,#N/A,FALSE,"처분";#N/A,#N/A,FALSE,"현금";#N/A,#N/A,FALSE,"매출";#N/A,#N/A,FALSE,"원가";#N/A,#N/A,FALSE,"경영"}</definedName>
    <definedName name="ㅎㅎㅎㅎ" hidden="1">{#N/A,#N/A,FALSE,"BS";#N/A,#N/A,FALSE,"PL";#N/A,#N/A,FALSE,"처분";#N/A,#N/A,FALSE,"현금";#N/A,#N/A,FALSE,"매출";#N/A,#N/A,FALSE,"원가";#N/A,#N/A,FALSE,"경영"}</definedName>
    <definedName name="하하">'[181]인원계획-미화'!#REF!</definedName>
    <definedName name="하하1">[182]노무비!#REF!</definedName>
    <definedName name="하하2">[183]노무비!#REF!</definedName>
    <definedName name="하하3">[182]노무비!#REF!</definedName>
    <definedName name="하하4">[184]재무가정!$H$13</definedName>
    <definedName name="하ㅏ라" localSheetId="6"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7"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3"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하ㅏ라" hidden="1">{#N/A,#N/A,FALSE,"손익표지";#N/A,#N/A,FALSE,"손익계산";#N/A,#N/A,FALSE,"일반관리비";#N/A,#N/A,FALSE,"영업외수익";#N/A,#N/A,FALSE,"영업외비용";#N/A,#N/A,FALSE,"매출액";#N/A,#N/A,FALSE,"요약손익";#N/A,#N/A,FALSE,"요약대차";#N/A,#N/A,FALSE,"매출채권현황";#N/A,#N/A,FALSE,"매출채권명세"}</definedName>
    <definedName name="한솔개별공시지가">[127]기준시가!#REF!</definedName>
    <definedName name="한솔건물기준시가">[127]기준시가!#REF!</definedName>
    <definedName name="한양계약">#REF!</definedName>
    <definedName name="할인" localSheetId="1">#REF!</definedName>
    <definedName name="할인">#REF!</definedName>
    <definedName name="합잔">[185]data!$A$1:$G$215</definedName>
    <definedName name="현금등가물" localSheetId="6" hidden="1">{#N/A,#N/A,FALSE,"Aging Summary";#N/A,#N/A,FALSE,"Ratio Analysis";#N/A,#N/A,FALSE,"Test 120 Day Accts";#N/A,#N/A,FALSE,"Tickmarks"}</definedName>
    <definedName name="현금등가물" localSheetId="7" hidden="1">{#N/A,#N/A,FALSE,"Aging Summary";#N/A,#N/A,FALSE,"Ratio Analysis";#N/A,#N/A,FALSE,"Test 120 Day Accts";#N/A,#N/A,FALSE,"Tickmarks"}</definedName>
    <definedName name="현금등가물" localSheetId="3" hidden="1">{#N/A,#N/A,FALSE,"Aging Summary";#N/A,#N/A,FALSE,"Ratio Analysis";#N/A,#N/A,FALSE,"Test 120 Day Accts";#N/A,#N/A,FALSE,"Tickmarks"}</definedName>
    <definedName name="현금등가물" localSheetId="1" hidden="1">{#N/A,#N/A,FALSE,"Aging Summary";#N/A,#N/A,FALSE,"Ratio Analysis";#N/A,#N/A,FALSE,"Test 120 Day Accts";#N/A,#N/A,FALSE,"Tickmarks"}</definedName>
    <definedName name="현금등가물" hidden="1">{#N/A,#N/A,FALSE,"Aging Summary";#N/A,#N/A,FALSE,"Ratio Analysis";#N/A,#N/A,FALSE,"Test 120 Day Accts";#N/A,#N/A,FALSE,"Tickmarks"}</definedName>
    <definedName name="현금등가물및단기" localSheetId="6" hidden="1">{#N/A,#N/A,FALSE,"Aging Summary";#N/A,#N/A,FALSE,"Ratio Analysis";#N/A,#N/A,FALSE,"Test 120 Day Accts";#N/A,#N/A,FALSE,"Tickmarks"}</definedName>
    <definedName name="현금등가물및단기" localSheetId="7" hidden="1">{#N/A,#N/A,FALSE,"Aging Summary";#N/A,#N/A,FALSE,"Ratio Analysis";#N/A,#N/A,FALSE,"Test 120 Day Accts";#N/A,#N/A,FALSE,"Tickmarks"}</definedName>
    <definedName name="현금등가물및단기" localSheetId="3" hidden="1">{#N/A,#N/A,FALSE,"Aging Summary";#N/A,#N/A,FALSE,"Ratio Analysis";#N/A,#N/A,FALSE,"Test 120 Day Accts";#N/A,#N/A,FALSE,"Tickmarks"}</definedName>
    <definedName name="현금등가물및단기" localSheetId="1"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흐름" localSheetId="1">[14]현금흐름!#REF!</definedName>
    <definedName name="현금흐름">[186]현금흐름!#REF!</definedName>
    <definedName name="현작성조서" localSheetId="6" hidden="1">{#N/A,#N/A,FALSE,"BS";#N/A,#N/A,FALSE,"PL";#N/A,#N/A,FALSE,"처분";#N/A,#N/A,FALSE,"현금";#N/A,#N/A,FALSE,"매출";#N/A,#N/A,FALSE,"원가";#N/A,#N/A,FALSE,"경영"}</definedName>
    <definedName name="현작성조서" localSheetId="7" hidden="1">{#N/A,#N/A,FALSE,"BS";#N/A,#N/A,FALSE,"PL";#N/A,#N/A,FALSE,"처분";#N/A,#N/A,FALSE,"현금";#N/A,#N/A,FALSE,"매출";#N/A,#N/A,FALSE,"원가";#N/A,#N/A,FALSE,"경영"}</definedName>
    <definedName name="현작성조서" localSheetId="3" hidden="1">{#N/A,#N/A,FALSE,"BS";#N/A,#N/A,FALSE,"PL";#N/A,#N/A,FALSE,"처분";#N/A,#N/A,FALSE,"현금";#N/A,#N/A,FALSE,"매출";#N/A,#N/A,FALSE,"원가";#N/A,#N/A,FALSE,"경영"}</definedName>
    <definedName name="현작성조서" localSheetId="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가치">#REF!</definedName>
    <definedName name="현황근태">#REF!</definedName>
    <definedName name="호">[152]회사정보!$C$6</definedName>
    <definedName name="호별가격" localSheetId="1">#REF!</definedName>
    <definedName name="호별가격">#REF!</definedName>
    <definedName name="호별시가안분" localSheetId="1">#REF!</definedName>
    <definedName name="호별시가안분">#REF!</definedName>
    <definedName name="환산률" localSheetId="1">#REF!</definedName>
    <definedName name="환산률">#REF!</definedName>
    <definedName name="회" localSheetId="6" hidden="1">{#N/A,#N/A,FALSE,"동부"}</definedName>
    <definedName name="회" localSheetId="7" hidden="1">{#N/A,#N/A,FALSE,"동부"}</definedName>
    <definedName name="회" localSheetId="3" hidden="1">{#N/A,#N/A,FALSE,"동부"}</definedName>
    <definedName name="회" hidden="1">{#N/A,#N/A,FALSE,"동부"}</definedName>
    <definedName name="회사명">#REF!</definedName>
    <definedName name="흐름" localSheetId="6" hidden="1">{#N/A,#N/A,FALSE,"BS";#N/A,#N/A,FALSE,"PL";#N/A,#N/A,FALSE,"처분";#N/A,#N/A,FALSE,"현금";#N/A,#N/A,FALSE,"매출";#N/A,#N/A,FALSE,"원가";#N/A,#N/A,FALSE,"경영"}</definedName>
    <definedName name="흐름" localSheetId="7" hidden="1">{#N/A,#N/A,FALSE,"BS";#N/A,#N/A,FALSE,"PL";#N/A,#N/A,FALSE,"처분";#N/A,#N/A,FALSE,"현금";#N/A,#N/A,FALSE,"매출";#N/A,#N/A,FALSE,"원가";#N/A,#N/A,FALSE,"경영"}</definedName>
    <definedName name="흐름" localSheetId="3" hidden="1">{#N/A,#N/A,FALSE,"BS";#N/A,#N/A,FALSE,"PL";#N/A,#N/A,FALSE,"처분";#N/A,#N/A,FALSE,"현금";#N/A,#N/A,FALSE,"매출";#N/A,#N/A,FALSE,"원가";#N/A,#N/A,FALSE,"경영"}</definedName>
    <definedName name="흐름" localSheetId="1"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6" hidden="1">{#N/A,#N/A,FALSE,"BS";#N/A,#N/A,FALSE,"PL";#N/A,#N/A,FALSE,"처분";#N/A,#N/A,FALSE,"현금";#N/A,#N/A,FALSE,"매출";#N/A,#N/A,FALSE,"원가";#N/A,#N/A,FALSE,"경영"}</definedName>
    <definedName name="ㅏ" localSheetId="7" hidden="1">{#N/A,#N/A,FALSE,"BS";#N/A,#N/A,FALSE,"PL";#N/A,#N/A,FALSE,"처분";#N/A,#N/A,FALSE,"현금";#N/A,#N/A,FALSE,"매출";#N/A,#N/A,FALSE,"원가";#N/A,#N/A,FALSE,"경영"}</definedName>
    <definedName name="ㅏ" localSheetId="3" hidden="1">{#N/A,#N/A,FALSE,"BS";#N/A,#N/A,FALSE,"PL";#N/A,#N/A,FALSE,"처분";#N/A,#N/A,FALSE,"현금";#N/A,#N/A,FALSE,"매출";#N/A,#N/A,FALSE,"원가";#N/A,#N/A,FALSE,"경영"}</definedName>
    <definedName name="ㅏ" localSheetId="1" hidden="1">{#N/A,#N/A,FALSE,"BS";#N/A,#N/A,FALSE,"PL";#N/A,#N/A,FALSE,"처분";#N/A,#N/A,FALSE,"현금";#N/A,#N/A,FALSE,"매출";#N/A,#N/A,FALSE,"원가";#N/A,#N/A,FALSE,"경영"}</definedName>
    <definedName name="ㅏ" hidden="1">{#N/A,#N/A,FALSE,"BS";#N/A,#N/A,FALSE,"PL";#N/A,#N/A,FALSE,"처분";#N/A,#N/A,FALSE,"현금";#N/A,#N/A,FALSE,"매출";#N/A,#N/A,FALSE,"원가";#N/A,#N/A,FALSE,"경영"}</definedName>
    <definedName name="ㅏ나앙"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앙"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어러이"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ㅏ어러이" hidden="1">{#N/A,#N/A,FALSE,"손익표지";#N/A,#N/A,FALSE,"손익계산";#N/A,#N/A,FALSE,"일반관리비";#N/A,#N/A,FALSE,"영업외수익";#N/A,#N/A,FALSE,"영업외비용";#N/A,#N/A,FALSE,"매출액";#N/A,#N/A,FALSE,"요약손익";#N/A,#N/A,FALSE,"요약대차";#N/A,#N/A,FALSE,"매출채권현황";#N/A,#N/A,FALSE,"매출채권명세"}</definedName>
    <definedName name="ㅏㅏ" localSheetId="6" hidden="1">{#N/A,#N/A,FALSE,"이력서&amp;자기소개서"}</definedName>
    <definedName name="ㅏㅏ" localSheetId="7" hidden="1">{#N/A,#N/A,FALSE,"이력서&amp;자기소개서"}</definedName>
    <definedName name="ㅏㅏ" localSheetId="3" hidden="1">{#N/A,#N/A,FALSE,"이력서&amp;자기소개서"}</definedName>
    <definedName name="ㅏㅏ" hidden="1">{#N/A,#N/A,FALSE,"이력서&amp;자기소개서"}</definedName>
    <definedName name="ㅑㅑㅐ">[28]!ㅑㅑㅐ</definedName>
    <definedName name="ㅓ" localSheetId="6" hidden="1">{#N/A,#N/A,FALSE,"BS";#N/A,#N/A,FALSE,"PL";#N/A,#N/A,FALSE,"처분";#N/A,#N/A,FALSE,"현금";#N/A,#N/A,FALSE,"매출";#N/A,#N/A,FALSE,"원가";#N/A,#N/A,FALSE,"경영"}</definedName>
    <definedName name="ㅓ" localSheetId="7" hidden="1">{#N/A,#N/A,FALSE,"BS";#N/A,#N/A,FALSE,"PL";#N/A,#N/A,FALSE,"처분";#N/A,#N/A,FALSE,"현금";#N/A,#N/A,FALSE,"매출";#N/A,#N/A,FALSE,"원가";#N/A,#N/A,FALSE,"경영"}</definedName>
    <definedName name="ㅓ" localSheetId="3" hidden="1">{#N/A,#N/A,FALSE,"BS";#N/A,#N/A,FALSE,"PL";#N/A,#N/A,FALSE,"처분";#N/A,#N/A,FALSE,"현금";#N/A,#N/A,FALSE,"매출";#N/A,#N/A,FALSE,"원가";#N/A,#N/A,FALSE,"경영"}</definedName>
    <definedName name="ㅓ" localSheetId="1" hidden="1">{#N/A,#N/A,FALSE,"BS";#N/A,#N/A,FALSE,"PL";#N/A,#N/A,FALSE,"처분";#N/A,#N/A,FALSE,"현금";#N/A,#N/A,FALSE,"매출";#N/A,#N/A,FALSE,"원가";#N/A,#N/A,FALSE,"경영"}</definedName>
    <definedName name="ㅓ" hidden="1">{#N/A,#N/A,FALSE,"BS";#N/A,#N/A,FALSE,"PL";#N/A,#N/A,FALSE,"처분";#N/A,#N/A,FALSE,"현금";#N/A,#N/A,FALSE,"매출";#N/A,#N/A,FALSE,"원가";#N/A,#N/A,FALSE,"경영"}</definedName>
    <definedName name="ㅕ" localSheetId="6" hidden="1">{#N/A,#N/A,FALSE,"BS";#N/A,#N/A,FALSE,"PL";#N/A,#N/A,FALSE,"처분";#N/A,#N/A,FALSE,"현금";#N/A,#N/A,FALSE,"매출";#N/A,#N/A,FALSE,"원가";#N/A,#N/A,FALSE,"경영"}</definedName>
    <definedName name="ㅕ" localSheetId="7" hidden="1">{#N/A,#N/A,FALSE,"BS";#N/A,#N/A,FALSE,"PL";#N/A,#N/A,FALSE,"처분";#N/A,#N/A,FALSE,"현금";#N/A,#N/A,FALSE,"매출";#N/A,#N/A,FALSE,"원가";#N/A,#N/A,FALSE,"경영"}</definedName>
    <definedName name="ㅕ" localSheetId="3" hidden="1">{#N/A,#N/A,FALSE,"BS";#N/A,#N/A,FALSE,"PL";#N/A,#N/A,FALSE,"처분";#N/A,#N/A,FALSE,"현금";#N/A,#N/A,FALSE,"매출";#N/A,#N/A,FALSE,"원가";#N/A,#N/A,FALSE,"경영"}</definedName>
    <definedName name="ㅕ" localSheetId="1" hidden="1">{#N/A,#N/A,FALSE,"BS";#N/A,#N/A,FALSE,"PL";#N/A,#N/A,FALSE,"처분";#N/A,#N/A,FALSE,"현금";#N/A,#N/A,FALSE,"매출";#N/A,#N/A,FALSE,"원가";#N/A,#N/A,FALSE,"경영"}</definedName>
    <definedName name="ㅕ" hidden="1">{#N/A,#N/A,FALSE,"BS";#N/A,#N/A,FALSE,"PL";#N/A,#N/A,FALSE,"처분";#N/A,#N/A,FALSE,"현금";#N/A,#N/A,FALSE,"매출";#N/A,#N/A,FALSE,"원가";#N/A,#N/A,FALSE,"경영"}</definedName>
    <definedName name="ㅕ12">#REF!</definedName>
    <definedName name="ㅗ" localSheetId="6" hidden="1">{#N/A,#N/A,FALSE,"BS";#N/A,#N/A,FALSE,"PL";#N/A,#N/A,FALSE,"처분";#N/A,#N/A,FALSE,"현금";#N/A,#N/A,FALSE,"매출";#N/A,#N/A,FALSE,"원가";#N/A,#N/A,FALSE,"경영"}</definedName>
    <definedName name="ㅗ" localSheetId="7" hidden="1">{#N/A,#N/A,FALSE,"BS";#N/A,#N/A,FALSE,"PL";#N/A,#N/A,FALSE,"처분";#N/A,#N/A,FALSE,"현금";#N/A,#N/A,FALSE,"매출";#N/A,#N/A,FALSE,"원가";#N/A,#N/A,FALSE,"경영"}</definedName>
    <definedName name="ㅗ" localSheetId="3" hidden="1">{#N/A,#N/A,FALSE,"BS";#N/A,#N/A,FALSE,"PL";#N/A,#N/A,FALSE,"처분";#N/A,#N/A,FALSE,"현금";#N/A,#N/A,FALSE,"매출";#N/A,#N/A,FALSE,"원가";#N/A,#N/A,FALSE,"경영"}</definedName>
    <definedName name="ㅗ" localSheetId="1" hidden="1">{#N/A,#N/A,FALSE,"BS";#N/A,#N/A,FALSE,"PL";#N/A,#N/A,FALSE,"처분";#N/A,#N/A,FALSE,"현금";#N/A,#N/A,FALSE,"매출";#N/A,#N/A,FALSE,"원가";#N/A,#N/A,FALSE,"경영"}</definedName>
    <definedName name="ㅗ" hidden="1">{#N/A,#N/A,FALSE,"BS";#N/A,#N/A,FALSE,"PL";#N/A,#N/A,FALSE,"처분";#N/A,#N/A,FALSE,"현금";#N/A,#N/A,FALSE,"매출";#N/A,#N/A,FALSE,"원가";#N/A,#N/A,FALSE,"경영"}</definedName>
    <definedName name="ㅗ60">#REF!</definedName>
    <definedName name="ㅗㄹ호"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ㅇㅎㅇㅎ옿" localSheetId="6">'CF(M)'!ㅗㅇㅎㅇㅎ옿</definedName>
    <definedName name="ㅗㅇㅎㅇㅎ옿" localSheetId="7">Key!ㅗㅇㅎㅇㅎ옿</definedName>
    <definedName name="ㅗㅇㅎㅇㅎ옿" localSheetId="3">RE!ㅗㅇㅎㅇㅎ옿</definedName>
    <definedName name="ㅗㅇㅎㅇㅎ옿">[0]!ㅗㅇㅎㅇㅎ옿</definedName>
    <definedName name="ㅗ츠ㅡㅊ" localSheetId="6">'CF(M)'!ㅗ츠ㅡㅊ</definedName>
    <definedName name="ㅗ츠ㅡㅊ" localSheetId="7">Key!ㅗ츠ㅡㅊ</definedName>
    <definedName name="ㅗ츠ㅡㅊ" localSheetId="3">RE!ㅗ츠ㅡㅊ</definedName>
    <definedName name="ㅗ츠ㅡㅊ">[0]!ㅗ츠ㅡㅊ</definedName>
    <definedName name="ㅗㅎㄹ" localSheetId="6">'CF(M)'!ㅗㅎㄹ</definedName>
    <definedName name="ㅗㅎㄹ" localSheetId="7">Key!ㅗㅎㄹ</definedName>
    <definedName name="ㅗㅎㄹ" localSheetId="3">RE!ㅗㅎㄹ</definedName>
    <definedName name="ㅗㅎㄹ">[0]!ㅗㅎㄹ</definedName>
    <definedName name="ㅗㅓㅣ허">[28]!ㅗㅓㅣ허</definedName>
    <definedName name="ㅛ" localSheetId="6" hidden="1">{#N/A,#N/A,FALSE,"BS";#N/A,#N/A,FALSE,"PL";#N/A,#N/A,FALSE,"처분";#N/A,#N/A,FALSE,"현금";#N/A,#N/A,FALSE,"매출";#N/A,#N/A,FALSE,"원가";#N/A,#N/A,FALSE,"경영"}</definedName>
    <definedName name="ㅛ" localSheetId="7" hidden="1">{#N/A,#N/A,FALSE,"BS";#N/A,#N/A,FALSE,"PL";#N/A,#N/A,FALSE,"처분";#N/A,#N/A,FALSE,"현금";#N/A,#N/A,FALSE,"매출";#N/A,#N/A,FALSE,"원가";#N/A,#N/A,FALSE,"경영"}</definedName>
    <definedName name="ㅛ" localSheetId="3" hidden="1">{#N/A,#N/A,FALSE,"BS";#N/A,#N/A,FALSE,"PL";#N/A,#N/A,FALSE,"처분";#N/A,#N/A,FALSE,"현금";#N/A,#N/A,FALSE,"매출";#N/A,#N/A,FALSE,"원가";#N/A,#N/A,FALSE,"경영"}</definedName>
    <definedName name="ㅛ" localSheetId="1" hidden="1">{#N/A,#N/A,FALSE,"BS";#N/A,#N/A,FALSE,"PL";#N/A,#N/A,FALSE,"처분";#N/A,#N/A,FALSE,"현금";#N/A,#N/A,FALSE,"매출";#N/A,#N/A,FALSE,"원가";#N/A,#N/A,FALSE,"경영"}</definedName>
    <definedName name="ㅛ" hidden="1">{#N/A,#N/A,FALSE,"BS";#N/A,#N/A,FALSE,"PL";#N/A,#N/A,FALSE,"처분";#N/A,#N/A,FALSE,"현금";#N/A,#N/A,FALSE,"매출";#N/A,#N/A,FALSE,"원가";#N/A,#N/A,FALSE,"경영"}</definedName>
    <definedName name="ㅛㅛㅛ"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ㅛㅛㅛ"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ㅜㅊ4263" hidden="1">{#N/A,#N/A,FALSE,"손익표지";#N/A,#N/A,FALSE,"손익계산";#N/A,#N/A,FALSE,"일반관리비";#N/A,#N/A,FALSE,"영업외수익";#N/A,#N/A,FALSE,"영업외비용";#N/A,#N/A,FALSE,"매출액";#N/A,#N/A,FALSE,"요약손익";#N/A,#N/A,FALSE,"요약대차";#N/A,#N/A,FALSE,"매출채권현황";#N/A,#N/A,FALSE,"매출채권명세"}</definedName>
    <definedName name="ㅜㅜ" localSheetId="6">'CF(M)'!ㅜㅜ</definedName>
    <definedName name="ㅜㅜ" localSheetId="7">Key!ㅜㅜ</definedName>
    <definedName name="ㅜㅜ" localSheetId="3">RE!ㅜㅜ</definedName>
    <definedName name="ㅜㅜ">[0]!ㅜㅜ</definedName>
    <definedName name="ㅜㅜㅜㅜㅜㅜㅜㅜㅜㅜㅜㅜㅜㅜ">[9]만기!#REF!</definedName>
    <definedName name="ㅠㅎ">[50]!ㅠㅎ</definedName>
    <definedName name="ㅠㅠ" localSheetId="6">'CF(M)'!ㅠㅠ</definedName>
    <definedName name="ㅠㅠ" localSheetId="7">Key!ㅠㅠ</definedName>
    <definedName name="ㅠㅠ" localSheetId="3">RE!ㅠㅠ</definedName>
    <definedName name="ㅠㅠ">[0]!ㅠㅠ</definedName>
    <definedName name="ㅠㅠㅠ" localSheetId="6" hidden="1">{#N/A,#N/A,FALSE,"동부"}</definedName>
    <definedName name="ㅠㅠㅠ" localSheetId="7" hidden="1">{#N/A,#N/A,FALSE,"동부"}</definedName>
    <definedName name="ㅠㅠㅠ" localSheetId="3" hidden="1">{#N/A,#N/A,FALSE,"동부"}</definedName>
    <definedName name="ㅠㅠㅠ" hidden="1">{#N/A,#N/A,FALSE,"동부"}</definedName>
    <definedName name="ㅡㅡㅡㅡ"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ㅣㅣㅣ" hidden="1">25</definedName>
    <definedName name="ㅣㅣㅣㅣ" localSheetId="6" hidden="1">{#N/A,#N/A,FALSE,"BS";#N/A,#N/A,FALSE,"PL";#N/A,#N/A,FALSE,"처분";#N/A,#N/A,FALSE,"현금";#N/A,#N/A,FALSE,"매출";#N/A,#N/A,FALSE,"원가";#N/A,#N/A,FALSE,"경영"}</definedName>
    <definedName name="ㅣㅣㅣㅣ" localSheetId="7" hidden="1">{#N/A,#N/A,FALSE,"BS";#N/A,#N/A,FALSE,"PL";#N/A,#N/A,FALSE,"처분";#N/A,#N/A,FALSE,"현금";#N/A,#N/A,FALSE,"매출";#N/A,#N/A,FALSE,"원가";#N/A,#N/A,FALSE,"경영"}</definedName>
    <definedName name="ㅣㅣㅣㅣ" localSheetId="3" hidden="1">{#N/A,#N/A,FALSE,"BS";#N/A,#N/A,FALSE,"PL";#N/A,#N/A,FALSE,"처분";#N/A,#N/A,FALSE,"현금";#N/A,#N/A,FALSE,"매출";#N/A,#N/A,FALSE,"원가";#N/A,#N/A,FALSE,"경영"}</definedName>
    <definedName name="ㅣㅣㅣㅣ" localSheetId="1" hidden="1">{#N/A,#N/A,FALSE,"BS";#N/A,#N/A,FALSE,"PL";#N/A,#N/A,FALSE,"처분";#N/A,#N/A,FALSE,"현금";#N/A,#N/A,FALSE,"매출";#N/A,#N/A,FALSE,"원가";#N/A,#N/A,FALSE,"경영"}</definedName>
    <definedName name="ㅣㅣㅣㅣ" hidden="1">{#N/A,#N/A,FALSE,"BS";#N/A,#N/A,FALSE,"PL";#N/A,#N/A,FALSE,"처분";#N/A,#N/A,FALSE,"현금";#N/A,#N/A,FALSE,"매출";#N/A,#N/A,FALSE,"원가";#N/A,#N/A,FALSE,"경영"}</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6" i="14" l="1"/>
  <c r="D104" i="14"/>
  <c r="E96" i="14" s="1"/>
  <c r="D103" i="14"/>
  <c r="P105" i="3"/>
  <c r="P107" i="3" s="1"/>
  <c r="J53" i="1" s="1"/>
  <c r="J56" i="1" s="1"/>
  <c r="J75" i="1" s="1"/>
  <c r="J76" i="1"/>
  <c r="E103" i="14" l="1"/>
  <c r="E91" i="14"/>
  <c r="C96" i="14"/>
  <c r="AC105" i="19" l="1"/>
  <c r="P88" i="19"/>
  <c r="S88" i="19"/>
  <c r="Q88" i="19"/>
  <c r="X117" i="19"/>
  <c r="Y117" i="19"/>
  <c r="Z117" i="19"/>
  <c r="AA117" i="19"/>
  <c r="AB117" i="19"/>
  <c r="AC117" i="19"/>
  <c r="AD117" i="19"/>
  <c r="AE117" i="19"/>
  <c r="Y116" i="19"/>
  <c r="Z116" i="19"/>
  <c r="AA116" i="19"/>
  <c r="AB116" i="19"/>
  <c r="AC116" i="19"/>
  <c r="AD116" i="19"/>
  <c r="AE116" i="19"/>
  <c r="X116" i="19"/>
  <c r="AU123" i="12"/>
  <c r="Y119" i="19" s="1"/>
  <c r="AV123" i="12"/>
  <c r="Z119" i="19" s="1"/>
  <c r="AW123" i="12"/>
  <c r="AA119" i="19" s="1"/>
  <c r="AX123" i="12"/>
  <c r="AB119" i="19" s="1"/>
  <c r="AD104" i="19"/>
  <c r="AY123" i="12" s="1"/>
  <c r="AC119" i="19" s="1"/>
  <c r="H40" i="19"/>
  <c r="BA121" i="12"/>
  <c r="AZ121" i="12"/>
  <c r="AY121" i="12"/>
  <c r="AT121" i="12"/>
  <c r="DZ72" i="12"/>
  <c r="DN72" i="12"/>
  <c r="DB72" i="12"/>
  <c r="CP72" i="12"/>
  <c r="CD72" i="12"/>
  <c r="BF72" i="12"/>
  <c r="AU121" i="12" s="1"/>
  <c r="AT72" i="12"/>
  <c r="AX121" i="12"/>
  <c r="AW121" i="12"/>
  <c r="AV121" i="12"/>
  <c r="BR72" i="12"/>
  <c r="AU76" i="12"/>
  <c r="K70" i="12"/>
  <c r="AT123" i="12" l="1"/>
  <c r="BA123" i="12"/>
  <c r="AE119" i="19" s="1"/>
  <c r="AZ123" i="12"/>
  <c r="X119" i="19"/>
  <c r="J5" i="5"/>
  <c r="J4" i="5"/>
  <c r="E69" i="27"/>
  <c r="E66" i="27"/>
  <c r="E65" i="27"/>
  <c r="E60" i="27"/>
  <c r="P32" i="27"/>
  <c r="J32" i="27"/>
  <c r="P31" i="27"/>
  <c r="J31" i="27"/>
  <c r="P30" i="27"/>
  <c r="J30" i="27"/>
  <c r="R29" i="27"/>
  <c r="P29" i="27"/>
  <c r="J29" i="27"/>
  <c r="R28" i="27"/>
  <c r="P28" i="27"/>
  <c r="J28" i="27"/>
  <c r="R27" i="27"/>
  <c r="P27" i="27"/>
  <c r="J27" i="27"/>
  <c r="R26" i="27"/>
  <c r="P26" i="27"/>
  <c r="J26" i="27"/>
  <c r="R25" i="27"/>
  <c r="P25" i="27"/>
  <c r="J25" i="27"/>
  <c r="R24" i="27"/>
  <c r="P24" i="27"/>
  <c r="J24" i="27"/>
  <c r="R23" i="27"/>
  <c r="P23" i="27"/>
  <c r="J23" i="27"/>
  <c r="R22" i="27"/>
  <c r="P22" i="27"/>
  <c r="J22" i="27"/>
  <c r="R21" i="27"/>
  <c r="P21" i="27"/>
  <c r="J21" i="27"/>
  <c r="R20" i="27"/>
  <c r="P20" i="27"/>
  <c r="J20" i="27"/>
  <c r="R19" i="27"/>
  <c r="P19" i="27"/>
  <c r="J19" i="27"/>
  <c r="R18" i="27"/>
  <c r="P18" i="27"/>
  <c r="J18" i="27"/>
  <c r="R17" i="27"/>
  <c r="P17" i="27"/>
  <c r="J17" i="27"/>
  <c r="R16" i="27"/>
  <c r="P16" i="27"/>
  <c r="J16" i="27"/>
  <c r="R15" i="27"/>
  <c r="P15" i="27"/>
  <c r="J15" i="27"/>
  <c r="R14" i="27"/>
  <c r="P14" i="27"/>
  <c r="J14" i="27"/>
  <c r="R13" i="27"/>
  <c r="P13" i="27"/>
  <c r="J13" i="27"/>
  <c r="R12" i="27"/>
  <c r="P12" i="27"/>
  <c r="J12" i="27"/>
  <c r="R11" i="27"/>
  <c r="S11" i="27" s="1"/>
  <c r="P11" i="27"/>
  <c r="J11" i="27"/>
  <c r="S10" i="27"/>
  <c r="R10" i="27"/>
  <c r="P10" i="27"/>
  <c r="AD119" i="19" l="1"/>
  <c r="C47" i="27"/>
  <c r="S12" i="27"/>
  <c r="S13" i="27" s="1"/>
  <c r="S14" i="27" s="1"/>
  <c r="S15" i="27" s="1"/>
  <c r="S16" i="27" s="1"/>
  <c r="S17" i="27" s="1"/>
  <c r="S18" i="27" s="1"/>
  <c r="S19" i="27" s="1"/>
  <c r="S20" i="27" s="1"/>
  <c r="S21" i="27" s="1"/>
  <c r="S22" i="27" s="1"/>
  <c r="S23" i="27" s="1"/>
  <c r="S24" i="27" s="1"/>
  <c r="S25" i="27" s="1"/>
  <c r="S26" i="27" s="1"/>
  <c r="S27" i="27" s="1"/>
  <c r="S28" i="27" s="1"/>
  <c r="S29" i="27" s="1"/>
  <c r="H33" i="27"/>
  <c r="K12" i="27" s="1"/>
  <c r="G33" i="27"/>
  <c r="C42" i="27"/>
  <c r="C45" i="27"/>
  <c r="J10" i="27"/>
  <c r="C48" i="27"/>
  <c r="C43" i="27"/>
  <c r="G48" i="27" l="1"/>
  <c r="F48" i="27"/>
  <c r="E48" i="27"/>
  <c r="D48" i="27"/>
  <c r="G45" i="27"/>
  <c r="F45" i="27"/>
  <c r="E45" i="27"/>
  <c r="D45" i="27"/>
  <c r="K24" i="27"/>
  <c r="C53" i="27"/>
  <c r="K20" i="27"/>
  <c r="G42" i="27"/>
  <c r="F42" i="27"/>
  <c r="E42" i="27"/>
  <c r="D42" i="27"/>
  <c r="K27" i="27"/>
  <c r="G47" i="27"/>
  <c r="F47" i="27"/>
  <c r="E47" i="27"/>
  <c r="D47" i="27"/>
  <c r="K26" i="27"/>
  <c r="K17" i="27"/>
  <c r="C50" i="27"/>
  <c r="K14" i="27"/>
  <c r="C55" i="27"/>
  <c r="D55" i="27" s="1"/>
  <c r="K13" i="27"/>
  <c r="H45" i="27" s="1"/>
  <c r="K22" i="27"/>
  <c r="E61" i="27"/>
  <c r="K21" i="27"/>
  <c r="C44" i="27"/>
  <c r="K23" i="27"/>
  <c r="C49" i="27"/>
  <c r="K30" i="27"/>
  <c r="K15" i="27"/>
  <c r="H47" i="27" s="1"/>
  <c r="E62" i="27"/>
  <c r="K25" i="27"/>
  <c r="K29" i="27"/>
  <c r="C46" i="27"/>
  <c r="K28" i="27"/>
  <c r="K19" i="27"/>
  <c r="C51" i="27"/>
  <c r="K32" i="27"/>
  <c r="K11" i="27"/>
  <c r="H43" i="27" s="1"/>
  <c r="C52" i="27"/>
  <c r="J33" i="27"/>
  <c r="E63" i="27" s="1"/>
  <c r="K10" i="27"/>
  <c r="H42" i="27" s="1"/>
  <c r="K16" i="27"/>
  <c r="H48" i="27" s="1"/>
  <c r="C54" i="27"/>
  <c r="D54" i="27" s="1"/>
  <c r="G43" i="27"/>
  <c r="F43" i="27"/>
  <c r="E43" i="27"/>
  <c r="D43" i="27"/>
  <c r="K31" i="27"/>
  <c r="K18" i="27"/>
  <c r="E64" i="27" l="1"/>
  <c r="E67" i="27" s="1"/>
  <c r="H67" i="27" s="1"/>
  <c r="K33" i="27"/>
  <c r="H51" i="27"/>
  <c r="G51" i="27"/>
  <c r="F51" i="27"/>
  <c r="E51" i="27"/>
  <c r="D51" i="27"/>
  <c r="H53" i="27"/>
  <c r="G53" i="27"/>
  <c r="F53" i="27"/>
  <c r="E53" i="27"/>
  <c r="D53" i="27"/>
  <c r="H50" i="27"/>
  <c r="G50" i="27"/>
  <c r="F50" i="27"/>
  <c r="E50" i="27"/>
  <c r="D50" i="27"/>
  <c r="F49" i="27"/>
  <c r="E49" i="27"/>
  <c r="D49" i="27"/>
  <c r="G49" i="27"/>
  <c r="H49" i="27"/>
  <c r="D52" i="27"/>
  <c r="H52" i="27"/>
  <c r="E52" i="27"/>
  <c r="G52" i="27"/>
  <c r="F52" i="27"/>
  <c r="H46" i="27"/>
  <c r="G46" i="27"/>
  <c r="F46" i="27"/>
  <c r="E46" i="27"/>
  <c r="E56" i="27" s="1"/>
  <c r="E57" i="27" s="1"/>
  <c r="D46" i="27"/>
  <c r="D44" i="27"/>
  <c r="E44" i="27"/>
  <c r="H44" i="27"/>
  <c r="G44" i="27"/>
  <c r="G56" i="27" s="1"/>
  <c r="G57" i="27" s="1"/>
  <c r="F44" i="27"/>
  <c r="F56" i="27" s="1"/>
  <c r="F57" i="27" s="1"/>
  <c r="J6" i="5" l="1"/>
  <c r="H56" i="27"/>
  <c r="H57" i="27" s="1"/>
  <c r="K203" i="3"/>
  <c r="J203" i="3"/>
  <c r="O202" i="3"/>
  <c r="O201" i="3"/>
  <c r="L201" i="3"/>
  <c r="L200" i="3"/>
  <c r="O200" i="3" s="1"/>
  <c r="O199" i="3"/>
  <c r="L199" i="3"/>
  <c r="L198" i="3"/>
  <c r="O198" i="3" s="1"/>
  <c r="L197" i="3"/>
  <c r="O197" i="3" s="1"/>
  <c r="L196" i="3"/>
  <c r="O196" i="3" s="1"/>
  <c r="O195" i="3"/>
  <c r="L195" i="3"/>
  <c r="O194" i="3"/>
  <c r="L194" i="3"/>
  <c r="O193" i="3"/>
  <c r="L193" i="3"/>
  <c r="L192" i="3"/>
  <c r="O192" i="3" s="1"/>
  <c r="O191" i="3"/>
  <c r="L191" i="3"/>
  <c r="L203" i="3" s="1"/>
  <c r="X54" i="1" l="1"/>
  <c r="X46" i="1"/>
  <c r="F62" i="14"/>
  <c r="I48" i="14"/>
  <c r="I49" i="14"/>
  <c r="D46" i="14"/>
  <c r="E41" i="14" s="1"/>
  <c r="F53" i="19"/>
  <c r="D40" i="1"/>
  <c r="D39" i="1"/>
  <c r="E33" i="1"/>
  <c r="D33" i="1"/>
  <c r="O57" i="17"/>
  <c r="H121" i="3"/>
  <c r="X21" i="1"/>
  <c r="K16" i="1"/>
  <c r="L16" i="1"/>
  <c r="M16" i="1"/>
  <c r="N16" i="1"/>
  <c r="O16" i="1"/>
  <c r="P16" i="1"/>
  <c r="Q16" i="1"/>
  <c r="R16" i="1"/>
  <c r="S16" i="1"/>
  <c r="T16" i="1"/>
  <c r="U16" i="1"/>
  <c r="V16" i="1"/>
  <c r="W16" i="1"/>
  <c r="X16" i="1"/>
  <c r="J16" i="1"/>
  <c r="O162" i="2"/>
  <c r="J15" i="1"/>
  <c r="J14" i="1"/>
  <c r="I8" i="1"/>
  <c r="I9" i="1"/>
  <c r="I10" i="1"/>
  <c r="I13" i="1" s="1"/>
  <c r="I15" i="1" s="1"/>
  <c r="I11" i="1"/>
  <c r="I12" i="1"/>
  <c r="I14" i="1"/>
  <c r="X14" i="1"/>
  <c r="W14" i="1"/>
  <c r="V14" i="1"/>
  <c r="U14" i="1"/>
  <c r="T14" i="1"/>
  <c r="S14" i="1"/>
  <c r="R14" i="1"/>
  <c r="Q14" i="1"/>
  <c r="P14" i="1"/>
  <c r="O14" i="1"/>
  <c r="N14" i="1"/>
  <c r="M14" i="1"/>
  <c r="L14" i="1"/>
  <c r="K14" i="1"/>
  <c r="Z14" i="1"/>
  <c r="Z13" i="1"/>
  <c r="Y13" i="1"/>
  <c r="K12" i="1"/>
  <c r="L12" i="1"/>
  <c r="M12" i="1"/>
  <c r="N12" i="1"/>
  <c r="O12" i="1"/>
  <c r="P12" i="1"/>
  <c r="Q12" i="1"/>
  <c r="R12" i="1"/>
  <c r="S12" i="1"/>
  <c r="T12" i="1"/>
  <c r="U12" i="1"/>
  <c r="V12" i="1"/>
  <c r="W12" i="1"/>
  <c r="X12" i="1"/>
  <c r="Y12" i="1"/>
  <c r="Y11" i="1"/>
  <c r="K11" i="1"/>
  <c r="L11" i="1"/>
  <c r="M11" i="1"/>
  <c r="N11" i="1"/>
  <c r="O11" i="1"/>
  <c r="P11" i="1"/>
  <c r="Q11" i="1"/>
  <c r="R11" i="1"/>
  <c r="S11" i="1"/>
  <c r="T11" i="1"/>
  <c r="U11" i="1"/>
  <c r="V11" i="1"/>
  <c r="W11" i="1"/>
  <c r="X11" i="1"/>
  <c r="D199" i="13"/>
  <c r="D198" i="13"/>
  <c r="D208" i="13"/>
  <c r="D177" i="13"/>
  <c r="D176" i="13"/>
  <c r="D186" i="13"/>
  <c r="D155" i="13"/>
  <c r="D154" i="13"/>
  <c r="D153" i="13"/>
  <c r="D152" i="13"/>
  <c r="D151" i="13"/>
  <c r="D150" i="13"/>
  <c r="H138" i="13"/>
  <c r="J128" i="13"/>
  <c r="J126" i="13"/>
  <c r="J104" i="13"/>
  <c r="J137" i="13" s="1"/>
  <c r="EL155" i="13"/>
  <c r="EK155" i="13"/>
  <c r="EJ155" i="13"/>
  <c r="EI155" i="13"/>
  <c r="EH155" i="13"/>
  <c r="EG155" i="13"/>
  <c r="EF155" i="13"/>
  <c r="EE155" i="13"/>
  <c r="ED155" i="13"/>
  <c r="EC155" i="13"/>
  <c r="EB155" i="13"/>
  <c r="EA155" i="13"/>
  <c r="DY155" i="13"/>
  <c r="DX155" i="13"/>
  <c r="DW155" i="13"/>
  <c r="DV155" i="13"/>
  <c r="DU155" i="13"/>
  <c r="DT155" i="13"/>
  <c r="DS155" i="13"/>
  <c r="DR155" i="13"/>
  <c r="DQ155" i="13"/>
  <c r="DP155" i="13"/>
  <c r="DO155" i="13"/>
  <c r="DN155" i="13"/>
  <c r="DM155" i="13"/>
  <c r="DL155" i="13"/>
  <c r="DK155" i="13"/>
  <c r="DJ155" i="13"/>
  <c r="DI155" i="13"/>
  <c r="DH155" i="13"/>
  <c r="DG155" i="13"/>
  <c r="DF155" i="13"/>
  <c r="DE155" i="13"/>
  <c r="DD155" i="13"/>
  <c r="DC155" i="13"/>
  <c r="DB155" i="13"/>
  <c r="DA155" i="13"/>
  <c r="CZ155" i="13"/>
  <c r="CY155" i="13"/>
  <c r="CX155" i="13"/>
  <c r="CW155" i="13"/>
  <c r="CV155" i="13"/>
  <c r="CU155" i="13"/>
  <c r="CT155" i="13"/>
  <c r="CS155" i="13"/>
  <c r="CR155" i="13"/>
  <c r="CQ155" i="13"/>
  <c r="CP155" i="13"/>
  <c r="CO155" i="13"/>
  <c r="CN155" i="13"/>
  <c r="CM155" i="13"/>
  <c r="CL155" i="13"/>
  <c r="CK155" i="13"/>
  <c r="CJ155" i="13"/>
  <c r="CI155" i="13"/>
  <c r="CH155" i="13"/>
  <c r="CG155" i="13"/>
  <c r="CF155" i="13"/>
  <c r="CE155" i="13"/>
  <c r="CD155" i="13"/>
  <c r="CC155" i="13"/>
  <c r="CB155" i="13"/>
  <c r="CA155" i="13"/>
  <c r="BZ155" i="13"/>
  <c r="BY155" i="13"/>
  <c r="BX155" i="13"/>
  <c r="BW155" i="13"/>
  <c r="BV155" i="13"/>
  <c r="BU155" i="13"/>
  <c r="BT155" i="13"/>
  <c r="BS155" i="13"/>
  <c r="BR155" i="13"/>
  <c r="BQ155" i="13"/>
  <c r="BP155" i="13"/>
  <c r="BO155" i="13"/>
  <c r="BN155" i="13"/>
  <c r="BM155" i="13"/>
  <c r="BL155" i="13"/>
  <c r="BK155" i="13"/>
  <c r="BJ155" i="13"/>
  <c r="BI155" i="13"/>
  <c r="BH155" i="13"/>
  <c r="BG155" i="13"/>
  <c r="BF155" i="13"/>
  <c r="BE155" i="13"/>
  <c r="BD155" i="13"/>
  <c r="BC155" i="13"/>
  <c r="BB155" i="13"/>
  <c r="BA155" i="13"/>
  <c r="AZ155" i="13"/>
  <c r="AY155" i="13"/>
  <c r="AX155" i="13"/>
  <c r="AW155" i="13"/>
  <c r="AV155" i="13"/>
  <c r="AU155" i="13"/>
  <c r="AT155" i="13"/>
  <c r="AS155" i="13"/>
  <c r="AR155" i="13"/>
  <c r="AQ155" i="13"/>
  <c r="AP155" i="13"/>
  <c r="AO155" i="13"/>
  <c r="AN155" i="13"/>
  <c r="AM155" i="13"/>
  <c r="AL155"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O155" i="13"/>
  <c r="N155" i="13"/>
  <c r="M155" i="13"/>
  <c r="L155" i="13"/>
  <c r="K155" i="13"/>
  <c r="J155" i="13"/>
  <c r="J94" i="13"/>
  <c r="H93" i="13"/>
  <c r="H91" i="13"/>
  <c r="H89" i="13"/>
  <c r="H80" i="13"/>
  <c r="H79" i="13"/>
  <c r="H77" i="13"/>
  <c r="H75" i="13"/>
  <c r="H74" i="13"/>
  <c r="H66" i="13"/>
  <c r="H59" i="13"/>
  <c r="H58" i="13"/>
  <c r="H39" i="13"/>
  <c r="H36" i="13"/>
  <c r="H35" i="13"/>
  <c r="H34" i="13"/>
  <c r="H33" i="13"/>
  <c r="H32" i="13"/>
  <c r="H29" i="13"/>
  <c r="H28" i="13"/>
  <c r="H16" i="13"/>
  <c r="H4" i="13"/>
  <c r="H3" i="13"/>
  <c r="Y9" i="1"/>
  <c r="Y8" i="1"/>
  <c r="AD45" i="2"/>
  <c r="P51" i="2"/>
  <c r="J12" i="1"/>
  <c r="J11" i="1"/>
  <c r="K10" i="1"/>
  <c r="J10" i="1"/>
  <c r="J159" i="3"/>
  <c r="H147" i="3"/>
  <c r="J78" i="3"/>
  <c r="E70" i="3"/>
  <c r="J67" i="3"/>
  <c r="J59" i="3"/>
  <c r="J52" i="3"/>
  <c r="J18" i="3"/>
  <c r="W111" i="13" l="1"/>
  <c r="EE111" i="13"/>
  <c r="X111" i="13"/>
  <c r="EF111" i="13"/>
  <c r="Y111" i="13"/>
  <c r="EG111" i="13"/>
  <c r="J212" i="13"/>
  <c r="J190" i="13"/>
  <c r="J168" i="13"/>
  <c r="J111" i="13"/>
  <c r="Z111" i="13"/>
  <c r="EH111" i="13"/>
  <c r="ED111" i="13"/>
  <c r="K168" i="13"/>
  <c r="K111" i="13"/>
  <c r="AA111" i="13"/>
  <c r="EI111" i="13"/>
  <c r="L212" i="13"/>
  <c r="L190" i="13"/>
  <c r="L168" i="13"/>
  <c r="L111" i="13"/>
  <c r="AB111" i="13"/>
  <c r="EJ111" i="13"/>
  <c r="M212" i="13"/>
  <c r="M168" i="13"/>
  <c r="M111" i="13"/>
  <c r="AC111" i="13"/>
  <c r="EK111" i="13"/>
  <c r="N212" i="13"/>
  <c r="N111" i="13"/>
  <c r="AD111" i="13"/>
  <c r="EL111" i="13"/>
  <c r="O111" i="13"/>
  <c r="AE111" i="13"/>
  <c r="V111" i="13"/>
  <c r="P168" i="13"/>
  <c r="P111" i="13"/>
  <c r="AF111" i="13"/>
  <c r="Q212" i="13"/>
  <c r="Q190" i="13"/>
  <c r="Q111" i="13"/>
  <c r="AG168" i="13"/>
  <c r="AG111" i="13"/>
  <c r="BM212" i="13"/>
  <c r="AG190" i="13"/>
  <c r="R190" i="13"/>
  <c r="R111" i="13"/>
  <c r="AH111" i="13"/>
  <c r="DZ111" i="13"/>
  <c r="S212" i="13"/>
  <c r="CT212" i="13"/>
  <c r="S190" i="13"/>
  <c r="S111" i="13"/>
  <c r="AI111" i="13"/>
  <c r="EA111" i="13"/>
  <c r="BO212" i="13"/>
  <c r="T212" i="13"/>
  <c r="T190" i="13"/>
  <c r="BO190" i="13"/>
  <c r="T111" i="13"/>
  <c r="AJ190" i="13"/>
  <c r="AJ111" i="13"/>
  <c r="EB168" i="13"/>
  <c r="EB111" i="13"/>
  <c r="BP212" i="13"/>
  <c r="AZ190" i="13"/>
  <c r="U190" i="13"/>
  <c r="U111" i="13"/>
  <c r="AK190" i="13"/>
  <c r="AK111" i="13"/>
  <c r="BA190" i="13"/>
  <c r="DM190" i="13"/>
  <c r="EC111" i="13"/>
  <c r="H37" i="13"/>
  <c r="H45" i="13"/>
  <c r="H65" i="13"/>
  <c r="H63" i="13"/>
  <c r="H78" i="13"/>
  <c r="H85" i="13"/>
  <c r="H73" i="13"/>
  <c r="H76" i="13"/>
  <c r="H86" i="13"/>
  <c r="H92" i="13"/>
  <c r="H90" i="13"/>
  <c r="J139" i="13"/>
  <c r="J134" i="13"/>
  <c r="J166" i="3"/>
  <c r="J72" i="3"/>
  <c r="K78" i="3"/>
  <c r="R148" i="13" l="1"/>
  <c r="BA168" i="13"/>
  <c r="AK198" i="13"/>
  <c r="AK153" i="13"/>
  <c r="U212" i="13"/>
  <c r="EB148" i="13"/>
  <c r="DL176" i="13"/>
  <c r="DL151" i="13"/>
  <c r="BP199" i="13"/>
  <c r="BP154" i="13"/>
  <c r="AJ212" i="13"/>
  <c r="T177" i="13"/>
  <c r="T152" i="13"/>
  <c r="CU198" i="13"/>
  <c r="CU153" i="13"/>
  <c r="CE212" i="13"/>
  <c r="BO168" i="13"/>
  <c r="S168" i="13"/>
  <c r="DY177" i="13"/>
  <c r="DY152" i="13"/>
  <c r="BB148" i="13"/>
  <c r="BK176" i="13"/>
  <c r="BK151" i="13"/>
  <c r="DR190" i="13"/>
  <c r="CW168" i="13"/>
  <c r="CG198" i="13"/>
  <c r="CG153" i="13"/>
  <c r="BQ212" i="13"/>
  <c r="BA148" i="13"/>
  <c r="CF190" i="13"/>
  <c r="AZ198" i="13"/>
  <c r="AZ153" i="13"/>
  <c r="T168" i="13"/>
  <c r="AL198" i="13"/>
  <c r="AL153" i="13"/>
  <c r="EA212" i="13"/>
  <c r="DK168" i="13"/>
  <c r="BO148" i="13"/>
  <c r="AY176" i="13"/>
  <c r="AY151" i="13"/>
  <c r="DZ176" i="13"/>
  <c r="DZ151" i="13"/>
  <c r="CD168" i="13"/>
  <c r="BN176" i="13"/>
  <c r="BN151" i="13"/>
  <c r="CS190" i="13"/>
  <c r="BB190" i="13"/>
  <c r="CD190" i="13"/>
  <c r="BM190" i="13"/>
  <c r="BK190" i="13"/>
  <c r="DX190" i="13"/>
  <c r="DY199" i="13"/>
  <c r="DY154" i="13"/>
  <c r="DI198" i="13"/>
  <c r="DI153" i="13"/>
  <c r="BE212" i="13"/>
  <c r="DZ199" i="13"/>
  <c r="DZ154" i="13"/>
  <c r="BN198" i="13"/>
  <c r="BN153" i="13"/>
  <c r="EC198" i="13"/>
  <c r="EC153" i="13"/>
  <c r="DM212" i="13"/>
  <c r="CW148" i="13"/>
  <c r="AK176" i="13"/>
  <c r="AK151" i="13"/>
  <c r="U177" i="13"/>
  <c r="U152" i="13"/>
  <c r="EB190" i="13"/>
  <c r="DL177" i="13"/>
  <c r="DL152" i="13"/>
  <c r="BP177" i="13"/>
  <c r="BP152" i="13"/>
  <c r="T148" i="13"/>
  <c r="DK148" i="13"/>
  <c r="CU176" i="13"/>
  <c r="CU151" i="13"/>
  <c r="AY199" i="13"/>
  <c r="AY154" i="13"/>
  <c r="DZ177" i="13"/>
  <c r="DZ152" i="13"/>
  <c r="DJ198" i="13"/>
  <c r="DJ153" i="13"/>
  <c r="CD148" i="13"/>
  <c r="AX198" i="13"/>
  <c r="AX153" i="13"/>
  <c r="CW199" i="13"/>
  <c r="CW154" i="13"/>
  <c r="J140" i="13"/>
  <c r="CG176" i="13"/>
  <c r="CG151" i="13"/>
  <c r="BQ177" i="13"/>
  <c r="BQ152" i="13"/>
  <c r="AK199" i="13"/>
  <c r="AK154" i="13"/>
  <c r="DL199" i="13"/>
  <c r="DL154" i="13"/>
  <c r="CV198" i="13"/>
  <c r="CV153" i="13"/>
  <c r="CF212" i="13"/>
  <c r="BP168" i="13"/>
  <c r="AZ176" i="13"/>
  <c r="AZ151" i="13"/>
  <c r="AL176" i="13"/>
  <c r="AL151" i="13"/>
  <c r="DK190" i="13"/>
  <c r="CU199" i="13"/>
  <c r="CU154" i="13"/>
  <c r="AY177" i="13"/>
  <c r="AY152" i="13"/>
  <c r="BN177" i="13"/>
  <c r="BN152" i="13"/>
  <c r="R212" i="13"/>
  <c r="DY148" i="13"/>
  <c r="DI176" i="13"/>
  <c r="DI151" i="13"/>
  <c r="P198" i="13"/>
  <c r="P153" i="13"/>
  <c r="DW198" i="13"/>
  <c r="DW153" i="13"/>
  <c r="DD168" i="13"/>
  <c r="CF148" i="13"/>
  <c r="EC176" i="13"/>
  <c r="EC151" i="13"/>
  <c r="DM177" i="13"/>
  <c r="DM152" i="13"/>
  <c r="CW190" i="13"/>
  <c r="CG199" i="13"/>
  <c r="CG154" i="13"/>
  <c r="EB212" i="13"/>
  <c r="DL168" i="13"/>
  <c r="BP148" i="13"/>
  <c r="AL199" i="13"/>
  <c r="AL154" i="13"/>
  <c r="CU177" i="13"/>
  <c r="CU152" i="13"/>
  <c r="AI198" i="13"/>
  <c r="AI153" i="13"/>
  <c r="DZ168" i="13"/>
  <c r="DJ176" i="13"/>
  <c r="DJ151" i="13"/>
  <c r="AX176" i="13"/>
  <c r="AX151" i="13"/>
  <c r="AH198" i="13"/>
  <c r="AH153" i="13"/>
  <c r="DY168" i="13"/>
  <c r="CS198" i="13"/>
  <c r="CS153" i="13"/>
  <c r="BG168" i="13"/>
  <c r="J46" i="13"/>
  <c r="EC199" i="13"/>
  <c r="EC154" i="13"/>
  <c r="AK168" i="13"/>
  <c r="U198" i="13"/>
  <c r="U153" i="13"/>
  <c r="DL148" i="13"/>
  <c r="AZ199" i="13"/>
  <c r="AZ154" i="13"/>
  <c r="CE198" i="13"/>
  <c r="CE153" i="13"/>
  <c r="AY168" i="13"/>
  <c r="DZ148" i="13"/>
  <c r="DJ199" i="13"/>
  <c r="DJ154" i="13"/>
  <c r="CD212" i="13"/>
  <c r="BN168" i="13"/>
  <c r="AX199" i="13"/>
  <c r="AX154" i="13"/>
  <c r="DI177" i="13"/>
  <c r="DI152" i="13"/>
  <c r="BL198" i="13"/>
  <c r="BL153" i="13"/>
  <c r="V198" i="13"/>
  <c r="V153" i="13"/>
  <c r="AI212" i="13"/>
  <c r="AH212" i="13"/>
  <c r="CB212" i="13"/>
  <c r="CG168" i="13"/>
  <c r="BQ198" i="13"/>
  <c r="BQ153" i="13"/>
  <c r="BA212" i="13"/>
  <c r="AK148" i="13"/>
  <c r="CV176" i="13"/>
  <c r="CV151" i="13"/>
  <c r="BP190" i="13"/>
  <c r="AZ177" i="13"/>
  <c r="AZ152" i="13"/>
  <c r="AJ198" i="13"/>
  <c r="AJ153" i="13"/>
  <c r="AL168" i="13"/>
  <c r="EA198" i="13"/>
  <c r="EA153" i="13"/>
  <c r="DK212" i="13"/>
  <c r="CU168" i="13"/>
  <c r="AY148" i="13"/>
  <c r="AI176" i="13"/>
  <c r="AI151" i="13"/>
  <c r="DZ190" i="13"/>
  <c r="DJ177" i="13"/>
  <c r="DJ152" i="13"/>
  <c r="BN148" i="13"/>
  <c r="AX177" i="13"/>
  <c r="AX152" i="13"/>
  <c r="CS176" i="13"/>
  <c r="CS151" i="13"/>
  <c r="AV176" i="13"/>
  <c r="AV151" i="13"/>
  <c r="CI168" i="13"/>
  <c r="DM198" i="13"/>
  <c r="DM153" i="13"/>
  <c r="U176" i="13"/>
  <c r="U151" i="13"/>
  <c r="DL190" i="13"/>
  <c r="CV199" i="13"/>
  <c r="CV154" i="13"/>
  <c r="AZ168" i="13"/>
  <c r="AL148" i="13"/>
  <c r="EA199" i="13"/>
  <c r="EA154" i="13"/>
  <c r="CU148" i="13"/>
  <c r="CE176" i="13"/>
  <c r="CE151" i="13"/>
  <c r="AY190" i="13"/>
  <c r="AI199" i="13"/>
  <c r="AI154" i="13"/>
  <c r="CT198" i="13"/>
  <c r="CT153" i="13"/>
  <c r="BN190" i="13"/>
  <c r="AH199" i="13"/>
  <c r="AH154" i="13"/>
  <c r="DY212" i="13"/>
  <c r="DI148" i="13"/>
  <c r="CC198" i="13"/>
  <c r="CC153" i="13"/>
  <c r="AV199" i="13"/>
  <c r="AV154" i="13"/>
  <c r="EC148" i="13"/>
  <c r="CG190" i="13"/>
  <c r="BQ176" i="13"/>
  <c r="BQ151" i="13"/>
  <c r="BA177" i="13"/>
  <c r="BA152" i="13"/>
  <c r="U199" i="13"/>
  <c r="U154" i="13"/>
  <c r="CV177" i="13"/>
  <c r="CV152" i="13"/>
  <c r="AZ148" i="13"/>
  <c r="CU190" i="13"/>
  <c r="CE199" i="13"/>
  <c r="CE154" i="13"/>
  <c r="AI177" i="13"/>
  <c r="AI152" i="13"/>
  <c r="DJ168" i="13"/>
  <c r="AX148" i="13"/>
  <c r="AH177" i="13"/>
  <c r="AH152" i="13"/>
  <c r="R198" i="13"/>
  <c r="R153" i="13"/>
  <c r="DI168" i="13"/>
  <c r="CS177" i="13"/>
  <c r="CS152" i="13"/>
  <c r="AG198" i="13"/>
  <c r="AG153" i="13"/>
  <c r="CR176" i="13"/>
  <c r="CR151" i="13"/>
  <c r="AY198" i="13"/>
  <c r="AY153" i="13"/>
  <c r="CD177" i="13"/>
  <c r="CD152" i="13"/>
  <c r="CW212" i="13"/>
  <c r="DM176" i="13"/>
  <c r="DM151" i="13"/>
  <c r="CW177" i="13"/>
  <c r="CW152" i="13"/>
  <c r="BQ199" i="13"/>
  <c r="BQ154" i="13"/>
  <c r="EB198" i="13"/>
  <c r="EB153" i="13"/>
  <c r="DL212" i="13"/>
  <c r="CV168" i="13"/>
  <c r="CF198" i="13"/>
  <c r="CF153" i="13"/>
  <c r="AJ176" i="13"/>
  <c r="AJ151" i="13"/>
  <c r="AL190" i="13"/>
  <c r="EA176" i="13"/>
  <c r="EA151" i="13"/>
  <c r="CE177" i="13"/>
  <c r="CE152" i="13"/>
  <c r="S198" i="13"/>
  <c r="S153" i="13"/>
  <c r="DZ212" i="13"/>
  <c r="DJ148" i="13"/>
  <c r="CT176" i="13"/>
  <c r="CT151" i="13"/>
  <c r="AX190" i="13"/>
  <c r="DI190" i="13"/>
  <c r="CC176" i="13"/>
  <c r="CC151" i="13"/>
  <c r="BB177" i="13"/>
  <c r="BB152" i="13"/>
  <c r="BP176" i="13"/>
  <c r="BP151" i="13"/>
  <c r="DK177" i="13"/>
  <c r="DK152" i="13"/>
  <c r="S148" i="13"/>
  <c r="DY176" i="13"/>
  <c r="DY151" i="13"/>
  <c r="DV190" i="13"/>
  <c r="CG148" i="13"/>
  <c r="EC190" i="13"/>
  <c r="DM199" i="13"/>
  <c r="DM154" i="13"/>
  <c r="U168" i="13"/>
  <c r="CV148" i="13"/>
  <c r="AJ199" i="13"/>
  <c r="AJ154" i="13"/>
  <c r="EA177" i="13"/>
  <c r="EA152" i="13"/>
  <c r="BO198" i="13"/>
  <c r="BO153" i="13"/>
  <c r="AY212" i="13"/>
  <c r="AI168" i="13"/>
  <c r="DJ190" i="13"/>
  <c r="CT199" i="13"/>
  <c r="CT154" i="13"/>
  <c r="AH168" i="13"/>
  <c r="R176" i="13"/>
  <c r="R151" i="13"/>
  <c r="BM176" i="13"/>
  <c r="BM151" i="13"/>
  <c r="AW176" i="13"/>
  <c r="AW151" i="13"/>
  <c r="Q176" i="13"/>
  <c r="Q151" i="13"/>
  <c r="CB177" i="13"/>
  <c r="CB152" i="13"/>
  <c r="DG190" i="13"/>
  <c r="AM212" i="13"/>
  <c r="EC168" i="13"/>
  <c r="BQ168" i="13"/>
  <c r="BA198" i="13"/>
  <c r="BA153" i="13"/>
  <c r="AK212" i="13"/>
  <c r="U148" i="13"/>
  <c r="EB176" i="13"/>
  <c r="EB151" i="13"/>
  <c r="CF176" i="13"/>
  <c r="CF151" i="13"/>
  <c r="AZ212" i="13"/>
  <c r="AJ177" i="13"/>
  <c r="AJ152" i="13"/>
  <c r="AL212" i="13"/>
  <c r="DK198" i="13"/>
  <c r="DK153" i="13"/>
  <c r="CU212" i="13"/>
  <c r="CE148" i="13"/>
  <c r="AI148" i="13"/>
  <c r="S176" i="13"/>
  <c r="S151" i="13"/>
  <c r="CT177" i="13"/>
  <c r="CT152" i="13"/>
  <c r="AH148" i="13"/>
  <c r="R199" i="13"/>
  <c r="R154" i="13"/>
  <c r="CS168" i="13"/>
  <c r="CC177" i="13"/>
  <c r="CC152" i="13"/>
  <c r="BM199" i="13"/>
  <c r="BM154" i="13"/>
  <c r="Q199" i="13"/>
  <c r="Q154" i="13"/>
  <c r="DX176" i="13"/>
  <c r="DX151" i="13"/>
  <c r="AV190" i="13"/>
  <c r="P148" i="13"/>
  <c r="DX168" i="13"/>
  <c r="AW168" i="13"/>
  <c r="AE168" i="13"/>
  <c r="EL168" i="13"/>
  <c r="Q168" i="13"/>
  <c r="AX168" i="13"/>
  <c r="BJ168" i="13"/>
  <c r="DG168" i="13"/>
  <c r="DM168" i="13"/>
  <c r="CW198" i="13"/>
  <c r="CW153" i="13"/>
  <c r="CG212" i="13"/>
  <c r="BQ148" i="13"/>
  <c r="CV190" i="13"/>
  <c r="CF199" i="13"/>
  <c r="CF154" i="13"/>
  <c r="AJ168" i="13"/>
  <c r="T198" i="13"/>
  <c r="T153" i="13"/>
  <c r="EA168" i="13"/>
  <c r="CE168" i="13"/>
  <c r="BO176" i="13"/>
  <c r="BO151" i="13"/>
  <c r="AI190" i="13"/>
  <c r="S199" i="13"/>
  <c r="S154" i="13"/>
  <c r="CT168" i="13"/>
  <c r="AX212" i="13"/>
  <c r="AH190" i="13"/>
  <c r="R177" i="13"/>
  <c r="R152" i="13"/>
  <c r="CC148" i="13"/>
  <c r="Q177" i="13"/>
  <c r="Q152" i="13"/>
  <c r="DX177" i="13"/>
  <c r="DX152" i="13"/>
  <c r="BL168" i="13"/>
  <c r="V190" i="13"/>
  <c r="T199" i="13"/>
  <c r="T154" i="13"/>
  <c r="BB168" i="13"/>
  <c r="EC212" i="13"/>
  <c r="DM148" i="13"/>
  <c r="BQ190" i="13"/>
  <c r="BA176" i="13"/>
  <c r="BA151" i="13"/>
  <c r="AK177" i="13"/>
  <c r="AK152" i="13"/>
  <c r="EB177" i="13"/>
  <c r="EB152" i="13"/>
  <c r="CF177" i="13"/>
  <c r="CF152" i="13"/>
  <c r="BP198" i="13"/>
  <c r="BP153" i="13"/>
  <c r="AJ148" i="13"/>
  <c r="EA148" i="13"/>
  <c r="DK176" i="13"/>
  <c r="DK151" i="13"/>
  <c r="CE190" i="13"/>
  <c r="BO199" i="13"/>
  <c r="BO154" i="13"/>
  <c r="S177" i="13"/>
  <c r="S152" i="13"/>
  <c r="DJ212" i="13"/>
  <c r="CT148" i="13"/>
  <c r="CD176" i="13"/>
  <c r="CD151" i="13"/>
  <c r="CC168" i="13"/>
  <c r="CR168" i="13"/>
  <c r="AF212" i="13"/>
  <c r="V212" i="13"/>
  <c r="EC177" i="13"/>
  <c r="EC152" i="13"/>
  <c r="CW176" i="13"/>
  <c r="CW151" i="13"/>
  <c r="CG177" i="13"/>
  <c r="CG152" i="13"/>
  <c r="BA199" i="13"/>
  <c r="BA154" i="13"/>
  <c r="EB199" i="13"/>
  <c r="EB154" i="13"/>
  <c r="DL198" i="13"/>
  <c r="DL153" i="13"/>
  <c r="CV212" i="13"/>
  <c r="CF168" i="13"/>
  <c r="T176" i="13"/>
  <c r="T151" i="13"/>
  <c r="AL177" i="13"/>
  <c r="AL152" i="13"/>
  <c r="EA190" i="13"/>
  <c r="DK199" i="13"/>
  <c r="DK154" i="13"/>
  <c r="BO177" i="13"/>
  <c r="BO152" i="13"/>
  <c r="DZ198" i="13"/>
  <c r="DZ153" i="13"/>
  <c r="CT190" i="13"/>
  <c r="CD199" i="13"/>
  <c r="CD154" i="13"/>
  <c r="R168" i="13"/>
  <c r="CS212" i="13"/>
  <c r="CC190" i="13"/>
  <c r="BM168" i="13"/>
  <c r="AW190" i="13"/>
  <c r="CR190" i="13"/>
  <c r="BF212" i="13"/>
  <c r="Z168" i="13"/>
  <c r="CR198" i="13"/>
  <c r="CR153" i="13"/>
  <c r="DW212" i="13"/>
  <c r="DG148" i="13"/>
  <c r="CQ199" i="13"/>
  <c r="CQ154" i="13"/>
  <c r="BK148" i="13"/>
  <c r="AU177" i="13"/>
  <c r="AU152" i="13"/>
  <c r="O190" i="13"/>
  <c r="BR176" i="13"/>
  <c r="BR151" i="13"/>
  <c r="BJ198" i="13"/>
  <c r="BJ153" i="13"/>
  <c r="AT176" i="13"/>
  <c r="AT151" i="13"/>
  <c r="AD212" i="13"/>
  <c r="EK177" i="13"/>
  <c r="EK152" i="13"/>
  <c r="DE168" i="13"/>
  <c r="CO177" i="13"/>
  <c r="CO152" i="13"/>
  <c r="BI148" i="13"/>
  <c r="M190" i="13"/>
  <c r="DD148" i="13"/>
  <c r="BH168" i="13"/>
  <c r="CM198" i="13"/>
  <c r="CM153" i="13"/>
  <c r="BG212" i="13"/>
  <c r="AA199" i="13"/>
  <c r="AA154" i="13"/>
  <c r="ED148" i="13"/>
  <c r="DB190" i="13"/>
  <c r="BF190" i="13"/>
  <c r="AP198" i="13"/>
  <c r="AP153" i="13"/>
  <c r="Z199" i="13"/>
  <c r="Z154" i="13"/>
  <c r="H40" i="13"/>
  <c r="H193" i="13"/>
  <c r="EG176" i="13"/>
  <c r="EG151" i="13"/>
  <c r="DQ177" i="13"/>
  <c r="DQ152" i="13"/>
  <c r="BU177" i="13"/>
  <c r="BU152" i="13"/>
  <c r="AO176" i="13"/>
  <c r="AO151" i="13"/>
  <c r="EF148" i="13"/>
  <c r="DP198" i="13"/>
  <c r="DP153" i="13"/>
  <c r="CJ168" i="13"/>
  <c r="X176" i="13"/>
  <c r="X151" i="13"/>
  <c r="CX177" i="13"/>
  <c r="CX152" i="13"/>
  <c r="DO176" i="13"/>
  <c r="DO151" i="13"/>
  <c r="CY177" i="13"/>
  <c r="CY152" i="13"/>
  <c r="CI190" i="13"/>
  <c r="BS199" i="13"/>
  <c r="BS154" i="13"/>
  <c r="CQ177" i="13"/>
  <c r="CQ152" i="13"/>
  <c r="CA198" i="13"/>
  <c r="CA153" i="13"/>
  <c r="AE198" i="13"/>
  <c r="AE153" i="13"/>
  <c r="BR199" i="13"/>
  <c r="BR154" i="13"/>
  <c r="DF198" i="13"/>
  <c r="DF153" i="13"/>
  <c r="CP176" i="13"/>
  <c r="CP151" i="13"/>
  <c r="BZ212" i="13"/>
  <c r="AT199" i="13"/>
  <c r="AT154" i="13"/>
  <c r="N168" i="13"/>
  <c r="DE148" i="13"/>
  <c r="BI190" i="13"/>
  <c r="EJ177" i="13"/>
  <c r="EJ152" i="13"/>
  <c r="CN177" i="13"/>
  <c r="CN152" i="13"/>
  <c r="BH190" i="13"/>
  <c r="EI198" i="13"/>
  <c r="EI153" i="13"/>
  <c r="DC212" i="13"/>
  <c r="BW199" i="13"/>
  <c r="BW154" i="13"/>
  <c r="AQ148" i="13"/>
  <c r="AA177" i="13"/>
  <c r="AA152" i="13"/>
  <c r="ED168" i="13"/>
  <c r="DB148" i="13"/>
  <c r="CL198" i="13"/>
  <c r="CL153" i="13"/>
  <c r="DA212" i="13"/>
  <c r="CK176" i="13"/>
  <c r="CK151" i="13"/>
  <c r="AO148" i="13"/>
  <c r="Y177" i="13"/>
  <c r="Y152" i="13"/>
  <c r="EF168" i="13"/>
  <c r="BT176" i="13"/>
  <c r="BT151" i="13"/>
  <c r="BD177" i="13"/>
  <c r="BD152" i="13"/>
  <c r="AN190" i="13"/>
  <c r="X199" i="13"/>
  <c r="X154" i="13"/>
  <c r="EE190" i="13"/>
  <c r="DO199" i="13"/>
  <c r="DO154" i="13"/>
  <c r="CI212" i="13"/>
  <c r="W168" i="13"/>
  <c r="DN198" i="13"/>
  <c r="DN153" i="13"/>
  <c r="EL176" i="13"/>
  <c r="EL151" i="13"/>
  <c r="DV212" i="13"/>
  <c r="CP199" i="13"/>
  <c r="CP154" i="13"/>
  <c r="AT177" i="13"/>
  <c r="AT152" i="13"/>
  <c r="N148" i="13"/>
  <c r="DE190" i="13"/>
  <c r="AS198" i="13"/>
  <c r="AS153" i="13"/>
  <c r="AC176" i="13"/>
  <c r="AC151" i="13"/>
  <c r="DD190" i="13"/>
  <c r="AB176" i="13"/>
  <c r="AB151" i="13"/>
  <c r="DS199" i="13"/>
  <c r="DS154" i="13"/>
  <c r="CM148" i="13"/>
  <c r="BW177" i="13"/>
  <c r="BW152" i="13"/>
  <c r="AQ168" i="13"/>
  <c r="EH198" i="13"/>
  <c r="EH153" i="13"/>
  <c r="DR199" i="13"/>
  <c r="DR154" i="13"/>
  <c r="BV199" i="13"/>
  <c r="BV154" i="13"/>
  <c r="AP151" i="13"/>
  <c r="AP176" i="13"/>
  <c r="Z177" i="13"/>
  <c r="Z152" i="13"/>
  <c r="EG199" i="13"/>
  <c r="EG154" i="13"/>
  <c r="CK148" i="13"/>
  <c r="AO168" i="13"/>
  <c r="DP176" i="13"/>
  <c r="DP151" i="13"/>
  <c r="CZ177" i="13"/>
  <c r="CZ152" i="13"/>
  <c r="CJ190" i="13"/>
  <c r="BT199" i="13"/>
  <c r="BT154" i="13"/>
  <c r="AN212" i="13"/>
  <c r="EE212" i="13"/>
  <c r="BS148" i="13"/>
  <c r="BC198" i="13"/>
  <c r="BC153" i="13"/>
  <c r="W148" i="13"/>
  <c r="CD198" i="13"/>
  <c r="CD153" i="13"/>
  <c r="BN212" i="13"/>
  <c r="AH176" i="13"/>
  <c r="AH151" i="13"/>
  <c r="DY190" i="13"/>
  <c r="DI199" i="13"/>
  <c r="DI154" i="13"/>
  <c r="BM177" i="13"/>
  <c r="BM152" i="13"/>
  <c r="DX212" i="13"/>
  <c r="DH168" i="13"/>
  <c r="CR199" i="13"/>
  <c r="CR154" i="13"/>
  <c r="BL148" i="13"/>
  <c r="AV177" i="13"/>
  <c r="AV152" i="13"/>
  <c r="P190" i="13"/>
  <c r="V176" i="13"/>
  <c r="V151" i="13"/>
  <c r="AE176" i="13"/>
  <c r="AE151" i="13"/>
  <c r="O212" i="13"/>
  <c r="BR168" i="13"/>
  <c r="EL177" i="13"/>
  <c r="EL152" i="13"/>
  <c r="DF148" i="13"/>
  <c r="CP177" i="13"/>
  <c r="CP152" i="13"/>
  <c r="BJ148" i="13"/>
  <c r="N190" i="13"/>
  <c r="EK198" i="13"/>
  <c r="EK153" i="13"/>
  <c r="CO198" i="13"/>
  <c r="CO153" i="13"/>
  <c r="BY176" i="13"/>
  <c r="BY151" i="13"/>
  <c r="BI212" i="13"/>
  <c r="AC199" i="13"/>
  <c r="AC154" i="13"/>
  <c r="BX176" i="13"/>
  <c r="BX151" i="13"/>
  <c r="BH212" i="13"/>
  <c r="AR198" i="13"/>
  <c r="AR153" i="13"/>
  <c r="AB199" i="13"/>
  <c r="AB154" i="13"/>
  <c r="EI168" i="13"/>
  <c r="DS177" i="13"/>
  <c r="DS152" i="13"/>
  <c r="CM168" i="13"/>
  <c r="BG176" i="13"/>
  <c r="BG151" i="13"/>
  <c r="AQ190" i="13"/>
  <c r="ED190" i="13"/>
  <c r="DR177" i="13"/>
  <c r="DR152" i="13"/>
  <c r="DB212" i="13"/>
  <c r="CL176" i="13"/>
  <c r="CL151" i="13"/>
  <c r="BV177" i="13"/>
  <c r="BV152" i="13"/>
  <c r="AP168" i="13"/>
  <c r="H215" i="13"/>
  <c r="EG148" i="13"/>
  <c r="DQ198" i="13"/>
  <c r="DQ153" i="13"/>
  <c r="CK168" i="13"/>
  <c r="BU198" i="13"/>
  <c r="BU153" i="13"/>
  <c r="AO190" i="13"/>
  <c r="Y198" i="13"/>
  <c r="Y153" i="13"/>
  <c r="CH177" i="13"/>
  <c r="CH152" i="13"/>
  <c r="EF190" i="13"/>
  <c r="DP199" i="13"/>
  <c r="DP154" i="13"/>
  <c r="CJ212" i="13"/>
  <c r="X148" i="13"/>
  <c r="CX198" i="13"/>
  <c r="CX153" i="13"/>
  <c r="DO168" i="13"/>
  <c r="CY198" i="13"/>
  <c r="CY153" i="13"/>
  <c r="BS168" i="13"/>
  <c r="DN176" i="13"/>
  <c r="DN151" i="13"/>
  <c r="AW198" i="13"/>
  <c r="AW153" i="13"/>
  <c r="AG212" i="13"/>
  <c r="Q148" i="13"/>
  <c r="BB198" i="13"/>
  <c r="BB153" i="13"/>
  <c r="DH148" i="13"/>
  <c r="CR177" i="13"/>
  <c r="CR152" i="13"/>
  <c r="BL190" i="13"/>
  <c r="AF198" i="13"/>
  <c r="AF153" i="13"/>
  <c r="V199" i="13"/>
  <c r="V154" i="13"/>
  <c r="DW199" i="13"/>
  <c r="DW154" i="13"/>
  <c r="CA176" i="13"/>
  <c r="CA151" i="13"/>
  <c r="BK212" i="13"/>
  <c r="AU168" i="13"/>
  <c r="AE199" i="13"/>
  <c r="AE154" i="13"/>
  <c r="BR148" i="13"/>
  <c r="DF168" i="13"/>
  <c r="BJ190" i="13"/>
  <c r="DU176" i="13"/>
  <c r="DU151" i="13"/>
  <c r="DE212" i="13"/>
  <c r="BY199" i="13"/>
  <c r="BY154" i="13"/>
  <c r="AS168" i="13"/>
  <c r="AC177" i="13"/>
  <c r="AC152" i="13"/>
  <c r="EJ198" i="13"/>
  <c r="EJ153" i="13"/>
  <c r="DT176" i="13"/>
  <c r="DT151" i="13"/>
  <c r="DD212" i="13"/>
  <c r="CN198" i="13"/>
  <c r="CN153" i="13"/>
  <c r="AR148" i="13"/>
  <c r="EI148" i="13"/>
  <c r="DC176" i="13"/>
  <c r="DC151" i="13"/>
  <c r="CM190" i="13"/>
  <c r="AA198" i="13"/>
  <c r="AA153" i="13"/>
  <c r="ED212" i="13"/>
  <c r="EH176" i="13"/>
  <c r="EH151" i="13"/>
  <c r="CL168" i="13"/>
  <c r="AP148" i="13"/>
  <c r="EG168" i="13"/>
  <c r="CK190" i="13"/>
  <c r="BE199" i="13"/>
  <c r="BE154" i="13"/>
  <c r="EF212" i="13"/>
  <c r="BT148" i="13"/>
  <c r="BD198" i="13"/>
  <c r="BD153" i="13"/>
  <c r="X168" i="13"/>
  <c r="DO148" i="13"/>
  <c r="BC176" i="13"/>
  <c r="BC151" i="13"/>
  <c r="AM177" i="13"/>
  <c r="AM152" i="13"/>
  <c r="W190" i="13"/>
  <c r="DN199" i="13"/>
  <c r="DN154" i="13"/>
  <c r="CC212" i="13"/>
  <c r="BM148" i="13"/>
  <c r="DH190" i="13"/>
  <c r="CB198" i="13"/>
  <c r="CB153" i="13"/>
  <c r="DG212" i="13"/>
  <c r="CQ148" i="13"/>
  <c r="CA199" i="13"/>
  <c r="CA154" i="13"/>
  <c r="AU148" i="13"/>
  <c r="AE177" i="13"/>
  <c r="AE152" i="13"/>
  <c r="DF190" i="13"/>
  <c r="AT198" i="13"/>
  <c r="AT153" i="13"/>
  <c r="AD176" i="13"/>
  <c r="AD151" i="13"/>
  <c r="EK199" i="13"/>
  <c r="EK154" i="13"/>
  <c r="DU177" i="13"/>
  <c r="DU152" i="13"/>
  <c r="CO168" i="13"/>
  <c r="BY177" i="13"/>
  <c r="BY152" i="13"/>
  <c r="AS148" i="13"/>
  <c r="EJ199" i="13"/>
  <c r="EJ154" i="13"/>
  <c r="DT199" i="13"/>
  <c r="DT154" i="13"/>
  <c r="CN148" i="13"/>
  <c r="BX199" i="13"/>
  <c r="BX154" i="13"/>
  <c r="AR168" i="13"/>
  <c r="AB177" i="13"/>
  <c r="AB152" i="13"/>
  <c r="EI190" i="13"/>
  <c r="BW198" i="13"/>
  <c r="BW153" i="13"/>
  <c r="AQ212" i="13"/>
  <c r="K176" i="13"/>
  <c r="K151" i="13"/>
  <c r="EH168" i="13"/>
  <c r="CL148" i="13"/>
  <c r="AP190" i="13"/>
  <c r="Z198" i="13"/>
  <c r="Z153" i="13"/>
  <c r="H87" i="13"/>
  <c r="EG190" i="13"/>
  <c r="DA199" i="13"/>
  <c r="DA154" i="13"/>
  <c r="BU176" i="13"/>
  <c r="BU151" i="13"/>
  <c r="BE177" i="13"/>
  <c r="BE152" i="13"/>
  <c r="AO212" i="13"/>
  <c r="Y176" i="13"/>
  <c r="Y151" i="13"/>
  <c r="DP148" i="13"/>
  <c r="CZ198" i="13"/>
  <c r="CZ153" i="13"/>
  <c r="BT168" i="13"/>
  <c r="CX176" i="13"/>
  <c r="CX151" i="13"/>
  <c r="CY176" i="13"/>
  <c r="CY151" i="13"/>
  <c r="CI177" i="13"/>
  <c r="CI152" i="13"/>
  <c r="BS190" i="13"/>
  <c r="BC199" i="13"/>
  <c r="BC154" i="13"/>
  <c r="W212" i="13"/>
  <c r="BB176" i="13"/>
  <c r="BB151" i="13"/>
  <c r="DX198" i="13"/>
  <c r="DX153" i="13"/>
  <c r="AF176" i="13"/>
  <c r="AF151" i="13"/>
  <c r="P212" i="13"/>
  <c r="V148" i="13"/>
  <c r="DW176" i="13"/>
  <c r="DW151" i="13"/>
  <c r="CQ168" i="13"/>
  <c r="CA177" i="13"/>
  <c r="CA152" i="13"/>
  <c r="BK198" i="13"/>
  <c r="BK153" i="13"/>
  <c r="AU190" i="13"/>
  <c r="BR190" i="13"/>
  <c r="EL198" i="13"/>
  <c r="EL153" i="13"/>
  <c r="CP198" i="13"/>
  <c r="CP153" i="13"/>
  <c r="BZ176" i="13"/>
  <c r="BZ151" i="13"/>
  <c r="BJ212" i="13"/>
  <c r="AD199" i="13"/>
  <c r="AD154" i="13"/>
  <c r="EK168" i="13"/>
  <c r="CO148" i="13"/>
  <c r="AS190" i="13"/>
  <c r="EJ148" i="13"/>
  <c r="DT177" i="13"/>
  <c r="DT152" i="13"/>
  <c r="CN168" i="13"/>
  <c r="BX177" i="13"/>
  <c r="BX152" i="13"/>
  <c r="AR190" i="13"/>
  <c r="DS198" i="13"/>
  <c r="DS153" i="13"/>
  <c r="CM212" i="13"/>
  <c r="BG199" i="13"/>
  <c r="BG154" i="13"/>
  <c r="AA148" i="13"/>
  <c r="K199" i="13"/>
  <c r="K154" i="13"/>
  <c r="EH148" i="13"/>
  <c r="DR198" i="13"/>
  <c r="DR153" i="13"/>
  <c r="CL190" i="13"/>
  <c r="BV198" i="13"/>
  <c r="BV153" i="13"/>
  <c r="BF199" i="13"/>
  <c r="BF154" i="13"/>
  <c r="DQ176" i="13"/>
  <c r="DQ151" i="13"/>
  <c r="DA177" i="13"/>
  <c r="DA152" i="13"/>
  <c r="CK212" i="13"/>
  <c r="Y148" i="13"/>
  <c r="CH198" i="13"/>
  <c r="CH153" i="13"/>
  <c r="DP168" i="13"/>
  <c r="BD176" i="13"/>
  <c r="BD151" i="13"/>
  <c r="AN177" i="13"/>
  <c r="AN152" i="13"/>
  <c r="X190" i="13"/>
  <c r="CX199" i="13"/>
  <c r="CX154" i="13"/>
  <c r="EE177" i="13"/>
  <c r="EE152" i="13"/>
  <c r="DO190" i="13"/>
  <c r="CY199" i="13"/>
  <c r="CY154" i="13"/>
  <c r="BS212" i="13"/>
  <c r="DN168" i="13"/>
  <c r="AW199" i="13"/>
  <c r="AW154" i="13"/>
  <c r="BB199" i="13"/>
  <c r="BB154" i="13"/>
  <c r="DX199" i="13"/>
  <c r="DX154" i="13"/>
  <c r="CB176" i="13"/>
  <c r="CB151" i="13"/>
  <c r="BL212" i="13"/>
  <c r="AV168" i="13"/>
  <c r="AF199" i="13"/>
  <c r="AF154" i="13"/>
  <c r="V168" i="13"/>
  <c r="DW177" i="13"/>
  <c r="DW152" i="13"/>
  <c r="DG198" i="13"/>
  <c r="DG153" i="13"/>
  <c r="CQ190" i="13"/>
  <c r="O198" i="13"/>
  <c r="O153" i="13"/>
  <c r="DV176" i="13"/>
  <c r="DV151" i="13"/>
  <c r="DF212" i="13"/>
  <c r="BZ199" i="13"/>
  <c r="BZ154" i="13"/>
  <c r="AT148" i="13"/>
  <c r="AD177" i="13"/>
  <c r="AD152" i="13"/>
  <c r="EK148" i="13"/>
  <c r="CO190" i="13"/>
  <c r="AC198" i="13"/>
  <c r="AC153" i="13"/>
  <c r="M176" i="13"/>
  <c r="M151" i="13"/>
  <c r="EJ168" i="13"/>
  <c r="CN190" i="13"/>
  <c r="L176" i="13"/>
  <c r="L151" i="13"/>
  <c r="EI212" i="13"/>
  <c r="DC199" i="13"/>
  <c r="DC154" i="13"/>
  <c r="BW148" i="13"/>
  <c r="BG177" i="13"/>
  <c r="BG152" i="13"/>
  <c r="AA168" i="13"/>
  <c r="K177" i="13"/>
  <c r="K152" i="13"/>
  <c r="EH190" i="13"/>
  <c r="DB199" i="13"/>
  <c r="DB154" i="13"/>
  <c r="BF177" i="13"/>
  <c r="BF152" i="13"/>
  <c r="AP212" i="13"/>
  <c r="Z176" i="13"/>
  <c r="Z151" i="13"/>
  <c r="J199" i="13"/>
  <c r="J154" i="13"/>
  <c r="H99" i="13"/>
  <c r="EG212" i="13"/>
  <c r="DQ199" i="13"/>
  <c r="DQ154" i="13"/>
  <c r="BU148" i="13"/>
  <c r="Y168" i="13"/>
  <c r="CZ176" i="13"/>
  <c r="CZ151" i="13"/>
  <c r="CJ177" i="13"/>
  <c r="CJ152" i="13"/>
  <c r="BT190" i="13"/>
  <c r="BD199" i="13"/>
  <c r="BD154" i="13"/>
  <c r="X212" i="13"/>
  <c r="DO212" i="13"/>
  <c r="BC148" i="13"/>
  <c r="AM198" i="13"/>
  <c r="AM153" i="13"/>
  <c r="DN148" i="13"/>
  <c r="CS199" i="13"/>
  <c r="CS154" i="13"/>
  <c r="AW177" i="13"/>
  <c r="AW152" i="13"/>
  <c r="DH212" i="13"/>
  <c r="CR148" i="13"/>
  <c r="CB199" i="13"/>
  <c r="CB154" i="13"/>
  <c r="AV148" i="13"/>
  <c r="AF177" i="13"/>
  <c r="AF152" i="13"/>
  <c r="BR212" i="13"/>
  <c r="EL199" i="13"/>
  <c r="EL154" i="13"/>
  <c r="DV177" i="13"/>
  <c r="DV152" i="13"/>
  <c r="CP168" i="13"/>
  <c r="BZ177" i="13"/>
  <c r="BZ152" i="13"/>
  <c r="AT168" i="13"/>
  <c r="EK190" i="13"/>
  <c r="DU198" i="13"/>
  <c r="DU153" i="13"/>
  <c r="BY198" i="13"/>
  <c r="BY153" i="13"/>
  <c r="BI176" i="13"/>
  <c r="BI151" i="13"/>
  <c r="AS212" i="13"/>
  <c r="M199" i="13"/>
  <c r="M154" i="13"/>
  <c r="EJ190" i="13"/>
  <c r="BH176" i="13"/>
  <c r="BH151" i="13"/>
  <c r="AR212" i="13"/>
  <c r="AB198" i="13"/>
  <c r="AB153" i="13"/>
  <c r="DS168" i="13"/>
  <c r="DC177" i="13"/>
  <c r="DC152" i="13"/>
  <c r="BW168" i="13"/>
  <c r="AA190" i="13"/>
  <c r="ED177" i="13"/>
  <c r="ED152" i="13"/>
  <c r="DB177" i="13"/>
  <c r="DB152" i="13"/>
  <c r="CL212" i="13"/>
  <c r="BV176" i="13"/>
  <c r="BV151" i="13"/>
  <c r="J177" i="13"/>
  <c r="J152" i="13"/>
  <c r="H97" i="13"/>
  <c r="DQ148" i="13"/>
  <c r="BU168" i="13"/>
  <c r="BE198" i="13"/>
  <c r="BE153" i="13"/>
  <c r="Y190" i="13"/>
  <c r="CH176" i="13"/>
  <c r="CH151" i="13"/>
  <c r="EF177" i="13"/>
  <c r="EF152" i="13"/>
  <c r="DP190" i="13"/>
  <c r="CZ199" i="13"/>
  <c r="CZ154" i="13"/>
  <c r="BT212" i="13"/>
  <c r="CX168" i="13"/>
  <c r="CY168" i="13"/>
  <c r="CI198" i="13"/>
  <c r="CI153" i="13"/>
  <c r="BC168" i="13"/>
  <c r="AU212" i="13"/>
  <c r="AE148" i="13"/>
  <c r="O176" i="13"/>
  <c r="O151" i="13"/>
  <c r="CP148" i="13"/>
  <c r="AT190" i="13"/>
  <c r="DE176" i="13"/>
  <c r="DE151" i="13"/>
  <c r="CO212" i="13"/>
  <c r="BI199" i="13"/>
  <c r="BI154" i="13"/>
  <c r="AC168" i="13"/>
  <c r="M177" i="13"/>
  <c r="M152" i="13"/>
  <c r="DT198" i="13"/>
  <c r="DT153" i="13"/>
  <c r="DD176" i="13"/>
  <c r="DD151" i="13"/>
  <c r="CN212" i="13"/>
  <c r="BX198" i="13"/>
  <c r="BX153" i="13"/>
  <c r="BH199" i="13"/>
  <c r="BH154" i="13"/>
  <c r="AB148" i="13"/>
  <c r="L199" i="13"/>
  <c r="L154" i="13"/>
  <c r="DS148" i="13"/>
  <c r="CM176" i="13"/>
  <c r="CM151" i="13"/>
  <c r="BW190" i="13"/>
  <c r="K198" i="13"/>
  <c r="K153" i="13"/>
  <c r="EH212" i="13"/>
  <c r="DR176" i="13"/>
  <c r="DR151" i="13"/>
  <c r="BV168" i="13"/>
  <c r="Z148" i="13"/>
  <c r="DQ168" i="13"/>
  <c r="BU190" i="13"/>
  <c r="AO199" i="13"/>
  <c r="AO154" i="13"/>
  <c r="CH199" i="13"/>
  <c r="CH154" i="13"/>
  <c r="DP212" i="13"/>
  <c r="BD148" i="13"/>
  <c r="AN198" i="13"/>
  <c r="AN153" i="13"/>
  <c r="CX148" i="13"/>
  <c r="EE198" i="13"/>
  <c r="EE153" i="13"/>
  <c r="CY148" i="13"/>
  <c r="AM176" i="13"/>
  <c r="AM151" i="13"/>
  <c r="DN190" i="13"/>
  <c r="DG176" i="13"/>
  <c r="DG151" i="13"/>
  <c r="CQ212" i="13"/>
  <c r="CA148" i="13"/>
  <c r="BK199" i="13"/>
  <c r="BK154" i="13"/>
  <c r="AU198" i="13"/>
  <c r="AU153" i="13"/>
  <c r="O199" i="13"/>
  <c r="O154" i="13"/>
  <c r="EL148" i="13"/>
  <c r="CP190" i="13"/>
  <c r="AD198" i="13"/>
  <c r="AD153" i="13"/>
  <c r="N176" i="13"/>
  <c r="N151" i="13"/>
  <c r="EK212" i="13"/>
  <c r="DU199" i="13"/>
  <c r="DU154" i="13"/>
  <c r="DE199" i="13"/>
  <c r="DE154" i="13"/>
  <c r="BY168" i="13"/>
  <c r="BI177" i="13"/>
  <c r="BI152" i="13"/>
  <c r="AC148" i="13"/>
  <c r="EJ212" i="13"/>
  <c r="DD199" i="13"/>
  <c r="DD154" i="13"/>
  <c r="BX148" i="13"/>
  <c r="BH177" i="13"/>
  <c r="BH152" i="13"/>
  <c r="AB168" i="13"/>
  <c r="L177" i="13"/>
  <c r="L152" i="13"/>
  <c r="DS190" i="13"/>
  <c r="BG198" i="13"/>
  <c r="BG153" i="13"/>
  <c r="AQ176" i="13"/>
  <c r="AQ151" i="13"/>
  <c r="AA212" i="13"/>
  <c r="DR168" i="13"/>
  <c r="BV148" i="13"/>
  <c r="BF198" i="13"/>
  <c r="BF153" i="13"/>
  <c r="Z190" i="13"/>
  <c r="J198" i="13"/>
  <c r="J153" i="13"/>
  <c r="H98" i="13"/>
  <c r="DQ190" i="13"/>
  <c r="DA198" i="13"/>
  <c r="DA153" i="13"/>
  <c r="CK199" i="13"/>
  <c r="CK154" i="13"/>
  <c r="AO177" i="13"/>
  <c r="AO152" i="13"/>
  <c r="Y212" i="13"/>
  <c r="CZ148" i="13"/>
  <c r="CJ198" i="13"/>
  <c r="CJ153" i="13"/>
  <c r="BD168" i="13"/>
  <c r="CI176" i="13"/>
  <c r="CI151" i="13"/>
  <c r="BS177" i="13"/>
  <c r="BS152" i="13"/>
  <c r="BC190" i="13"/>
  <c r="AM199" i="13"/>
  <c r="AM154" i="13"/>
  <c r="W177" i="13"/>
  <c r="W152" i="13"/>
  <c r="DN212" i="13"/>
  <c r="BN199" i="13"/>
  <c r="BN154" i="13"/>
  <c r="DY198" i="13"/>
  <c r="DY153" i="13"/>
  <c r="DI212" i="13"/>
  <c r="CS148" i="13"/>
  <c r="AW148" i="13"/>
  <c r="AG176" i="13"/>
  <c r="AG151" i="13"/>
  <c r="DH198" i="13"/>
  <c r="DH153" i="13"/>
  <c r="P176" i="13"/>
  <c r="P151" i="13"/>
  <c r="DW168" i="13"/>
  <c r="DG199" i="13"/>
  <c r="DG154" i="13"/>
  <c r="CA168" i="13"/>
  <c r="BK177" i="13"/>
  <c r="BK152" i="13"/>
  <c r="AE190" i="13"/>
  <c r="O177" i="13"/>
  <c r="O152" i="13"/>
  <c r="BR177" i="13"/>
  <c r="BR152" i="13"/>
  <c r="EL190" i="13"/>
  <c r="DV198" i="13"/>
  <c r="DV153" i="13"/>
  <c r="BZ198" i="13"/>
  <c r="BZ153" i="13"/>
  <c r="BJ176" i="13"/>
  <c r="BJ151" i="13"/>
  <c r="AT212" i="13"/>
  <c r="N199" i="13"/>
  <c r="N154" i="13"/>
  <c r="DU168" i="13"/>
  <c r="DE177" i="13"/>
  <c r="DE152" i="13"/>
  <c r="BY148" i="13"/>
  <c r="AC190" i="13"/>
  <c r="DT148" i="13"/>
  <c r="DD177" i="13"/>
  <c r="DD152" i="13"/>
  <c r="BX168" i="13"/>
  <c r="AB190" i="13"/>
  <c r="EI176" i="13"/>
  <c r="EI151" i="13"/>
  <c r="DC198" i="13"/>
  <c r="DC153" i="13"/>
  <c r="BW212" i="13"/>
  <c r="AQ199" i="13"/>
  <c r="AQ154" i="13"/>
  <c r="K148" i="13"/>
  <c r="ED198" i="13"/>
  <c r="ED153" i="13"/>
  <c r="DR148" i="13"/>
  <c r="BV190" i="13"/>
  <c r="AP199" i="13"/>
  <c r="AP154" i="13"/>
  <c r="H88" i="13"/>
  <c r="EG177" i="13"/>
  <c r="EG152" i="13"/>
  <c r="BU212" i="13"/>
  <c r="BE176" i="13"/>
  <c r="BE151" i="13"/>
  <c r="CH148" i="13"/>
  <c r="EF198" i="13"/>
  <c r="EF153" i="13"/>
  <c r="CZ168" i="13"/>
  <c r="AN176" i="13"/>
  <c r="AN151" i="13"/>
  <c r="X177" i="13"/>
  <c r="X152" i="13"/>
  <c r="CX190" i="13"/>
  <c r="EE176" i="13"/>
  <c r="EE151" i="13"/>
  <c r="DO177" i="13"/>
  <c r="DO152" i="13"/>
  <c r="CY190" i="13"/>
  <c r="CI199" i="13"/>
  <c r="CI154" i="13"/>
  <c r="BC212" i="13"/>
  <c r="AG199" i="13"/>
  <c r="AG154" i="13"/>
  <c r="BL176" i="13"/>
  <c r="BL151" i="13"/>
  <c r="AV212" i="13"/>
  <c r="AF148" i="13"/>
  <c r="P199" i="13"/>
  <c r="P154" i="13"/>
  <c r="DW148" i="13"/>
  <c r="DG177" i="13"/>
  <c r="DG152" i="13"/>
  <c r="CQ198" i="13"/>
  <c r="CQ153" i="13"/>
  <c r="CA190" i="13"/>
  <c r="DF176" i="13"/>
  <c r="DF151" i="13"/>
  <c r="CP212" i="13"/>
  <c r="BJ199" i="13"/>
  <c r="BJ154" i="13"/>
  <c r="AD148" i="13"/>
  <c r="N177" i="13"/>
  <c r="N152" i="13"/>
  <c r="DU148" i="13"/>
  <c r="BY190" i="13"/>
  <c r="M198" i="13"/>
  <c r="M153" i="13"/>
  <c r="DT168" i="13"/>
  <c r="BX190" i="13"/>
  <c r="DS212" i="13"/>
  <c r="CM199" i="13"/>
  <c r="CM154" i="13"/>
  <c r="BG148" i="13"/>
  <c r="AQ177" i="13"/>
  <c r="AQ152" i="13"/>
  <c r="DB198" i="13"/>
  <c r="DB153" i="13"/>
  <c r="CL199" i="13"/>
  <c r="CL154" i="13"/>
  <c r="AP177" i="13"/>
  <c r="AP152" i="13"/>
  <c r="Z212" i="13"/>
  <c r="J176" i="13"/>
  <c r="J151" i="13"/>
  <c r="H96" i="13"/>
  <c r="DQ212" i="13"/>
  <c r="DA176" i="13"/>
  <c r="DA151" i="13"/>
  <c r="CK177" i="13"/>
  <c r="CK152" i="13"/>
  <c r="BE148" i="13"/>
  <c r="CH168" i="13"/>
  <c r="CJ176" i="13"/>
  <c r="CJ151" i="13"/>
  <c r="BT177" i="13"/>
  <c r="BT152" i="13"/>
  <c r="BD190" i="13"/>
  <c r="AN199" i="13"/>
  <c r="AN154" i="13"/>
  <c r="CX212" i="13"/>
  <c r="EE199" i="13"/>
  <c r="EE154" i="13"/>
  <c r="CY212" i="13"/>
  <c r="AM168" i="13"/>
  <c r="W198" i="13"/>
  <c r="W153" i="13"/>
  <c r="CC199" i="13"/>
  <c r="CC154" i="13"/>
  <c r="AG177" i="13"/>
  <c r="AG152" i="13"/>
  <c r="DH176" i="13"/>
  <c r="DH151" i="13"/>
  <c r="CR212" i="13"/>
  <c r="CB148" i="13"/>
  <c r="BL199" i="13"/>
  <c r="BL154" i="13"/>
  <c r="AF168" i="13"/>
  <c r="P177" i="13"/>
  <c r="P152" i="13"/>
  <c r="DW190" i="13"/>
  <c r="EL212" i="13"/>
  <c r="DV199" i="13"/>
  <c r="DV154" i="13"/>
  <c r="DF199" i="13"/>
  <c r="DF154" i="13"/>
  <c r="BZ168" i="13"/>
  <c r="BJ177" i="13"/>
  <c r="BJ152" i="13"/>
  <c r="AD168" i="13"/>
  <c r="DU190" i="13"/>
  <c r="BI198" i="13"/>
  <c r="BI153" i="13"/>
  <c r="AS176" i="13"/>
  <c r="AS151" i="13"/>
  <c r="AC212" i="13"/>
  <c r="DT190" i="13"/>
  <c r="BH198" i="13"/>
  <c r="BH153" i="13"/>
  <c r="AR176" i="13"/>
  <c r="AR151" i="13"/>
  <c r="AB212" i="13"/>
  <c r="L198" i="13"/>
  <c r="L153" i="13"/>
  <c r="EI177" i="13"/>
  <c r="EI152" i="13"/>
  <c r="DC148" i="13"/>
  <c r="CM177" i="13"/>
  <c r="CM152" i="13"/>
  <c r="ED176" i="13"/>
  <c r="ED151" i="13"/>
  <c r="BV212" i="13"/>
  <c r="BF176" i="13"/>
  <c r="BF151" i="13"/>
  <c r="DA148" i="13"/>
  <c r="BE168" i="13"/>
  <c r="EF176" i="13"/>
  <c r="EF151" i="13"/>
  <c r="DP177" i="13"/>
  <c r="DP152" i="13"/>
  <c r="CZ190" i="13"/>
  <c r="CJ199" i="13"/>
  <c r="CJ154" i="13"/>
  <c r="BD212" i="13"/>
  <c r="BS198" i="13"/>
  <c r="BS153" i="13"/>
  <c r="AM148" i="13"/>
  <c r="Q198" i="13"/>
  <c r="Q153" i="13"/>
  <c r="BB212" i="13"/>
  <c r="DH199" i="13"/>
  <c r="DH154" i="13"/>
  <c r="CB168" i="13"/>
  <c r="BL177" i="13"/>
  <c r="BL152" i="13"/>
  <c r="AF190" i="13"/>
  <c r="V177" i="13"/>
  <c r="V152" i="13"/>
  <c r="AU176" i="13"/>
  <c r="AU151" i="13"/>
  <c r="AE212" i="13"/>
  <c r="O168" i="13"/>
  <c r="BR198" i="13"/>
  <c r="BR153" i="13"/>
  <c r="DV168" i="13"/>
  <c r="DF177" i="13"/>
  <c r="DF152" i="13"/>
  <c r="BZ148" i="13"/>
  <c r="AD190" i="13"/>
  <c r="DE198" i="13"/>
  <c r="DE153" i="13"/>
  <c r="CO176" i="13"/>
  <c r="CO151" i="13"/>
  <c r="BY212" i="13"/>
  <c r="AS199" i="13"/>
  <c r="AS154" i="13"/>
  <c r="CN176" i="13"/>
  <c r="CN151" i="13"/>
  <c r="BX212" i="13"/>
  <c r="AR199" i="13"/>
  <c r="AR154" i="13"/>
  <c r="L148" i="13"/>
  <c r="EI199" i="13"/>
  <c r="EI154" i="13"/>
  <c r="DC168" i="13"/>
  <c r="BW176" i="13"/>
  <c r="BW151" i="13"/>
  <c r="BG190" i="13"/>
  <c r="K190" i="13"/>
  <c r="ED199" i="13"/>
  <c r="ED154" i="13"/>
  <c r="EH177" i="13"/>
  <c r="EH152" i="13"/>
  <c r="DR212" i="13"/>
  <c r="DB176" i="13"/>
  <c r="DB151" i="13"/>
  <c r="CL177" i="13"/>
  <c r="CL152" i="13"/>
  <c r="BF168" i="13"/>
  <c r="H171" i="13"/>
  <c r="J148" i="13"/>
  <c r="EG198" i="13"/>
  <c r="EG153" i="13"/>
  <c r="DA168" i="13"/>
  <c r="BE190" i="13"/>
  <c r="AO198" i="13"/>
  <c r="AO153" i="13"/>
  <c r="CH212" i="13"/>
  <c r="EF199" i="13"/>
  <c r="EF154" i="13"/>
  <c r="CZ212" i="13"/>
  <c r="AN148" i="13"/>
  <c r="X198" i="13"/>
  <c r="X153" i="13"/>
  <c r="EE148" i="13"/>
  <c r="DO198" i="13"/>
  <c r="DO153" i="13"/>
  <c r="CI148" i="13"/>
  <c r="W176" i="13"/>
  <c r="W151" i="13"/>
  <c r="DN177" i="13"/>
  <c r="DN152" i="13"/>
  <c r="BM198" i="13"/>
  <c r="BM153" i="13"/>
  <c r="AW212" i="13"/>
  <c r="AG148" i="13"/>
  <c r="DX148" i="13"/>
  <c r="DH177" i="13"/>
  <c r="DH152" i="13"/>
  <c r="CB190" i="13"/>
  <c r="AV198" i="13"/>
  <c r="AV153" i="13"/>
  <c r="CQ176" i="13"/>
  <c r="CQ151" i="13"/>
  <c r="CA212" i="13"/>
  <c r="BK168" i="13"/>
  <c r="AU199" i="13"/>
  <c r="AU154" i="13"/>
  <c r="O148" i="13"/>
  <c r="DV148" i="13"/>
  <c r="BZ190" i="13"/>
  <c r="N198" i="13"/>
  <c r="N153" i="13"/>
  <c r="EK176" i="13"/>
  <c r="EK151" i="13"/>
  <c r="DU212" i="13"/>
  <c r="CO199" i="13"/>
  <c r="CO154" i="13"/>
  <c r="BI168" i="13"/>
  <c r="AS177" i="13"/>
  <c r="AS152" i="13"/>
  <c r="M148" i="13"/>
  <c r="EJ176" i="13"/>
  <c r="EJ151" i="13"/>
  <c r="DT212" i="13"/>
  <c r="DD198" i="13"/>
  <c r="DD153" i="13"/>
  <c r="CN199" i="13"/>
  <c r="CN154" i="13"/>
  <c r="BH148" i="13"/>
  <c r="AR177" i="13"/>
  <c r="AR152" i="13"/>
  <c r="DS176" i="13"/>
  <c r="DS151" i="13"/>
  <c r="DC190" i="13"/>
  <c r="AQ198" i="13"/>
  <c r="AQ153" i="13"/>
  <c r="AA176" i="13"/>
  <c r="AA151" i="13"/>
  <c r="K212" i="13"/>
  <c r="EH199" i="13"/>
  <c r="EH154" i="13"/>
  <c r="DB168" i="13"/>
  <c r="BF148" i="13"/>
  <c r="DA190" i="13"/>
  <c r="CK198" i="13"/>
  <c r="CK153" i="13"/>
  <c r="BU199" i="13"/>
  <c r="BU154" i="13"/>
  <c r="Y199" i="13"/>
  <c r="Y154" i="13"/>
  <c r="CH190" i="13"/>
  <c r="CJ148" i="13"/>
  <c r="BT198" i="13"/>
  <c r="BT153" i="13"/>
  <c r="AN168" i="13"/>
  <c r="EE168" i="13"/>
  <c r="BS176" i="13"/>
  <c r="BS151" i="13"/>
  <c r="BC177" i="13"/>
  <c r="BC152" i="13"/>
  <c r="AM190" i="13"/>
  <c r="W199" i="13"/>
  <c r="W154" i="13"/>
  <c r="K59" i="3"/>
  <c r="L78" i="3"/>
  <c r="L59" i="3" s="1"/>
  <c r="H177" i="13" l="1"/>
  <c r="H151" i="13"/>
  <c r="H153" i="13"/>
  <c r="J18" i="13"/>
  <c r="H148" i="13"/>
  <c r="H176" i="13"/>
  <c r="H198" i="13"/>
  <c r="EJ178" i="13"/>
  <c r="DT178" i="13"/>
  <c r="DD178" i="13"/>
  <c r="CN178" i="13"/>
  <c r="BX178" i="13"/>
  <c r="BH178" i="13"/>
  <c r="AR178" i="13"/>
  <c r="AB178" i="13"/>
  <c r="L178" i="13"/>
  <c r="EI178" i="13"/>
  <c r="DS178" i="13"/>
  <c r="DC178" i="13"/>
  <c r="CM178" i="13"/>
  <c r="BW178" i="13"/>
  <c r="BG178" i="13"/>
  <c r="AQ178" i="13"/>
  <c r="AA178" i="13"/>
  <c r="K178" i="13"/>
  <c r="EH178" i="13"/>
  <c r="DR178" i="13"/>
  <c r="DB178" i="13"/>
  <c r="CL178" i="13"/>
  <c r="BV178" i="13"/>
  <c r="BF178" i="13"/>
  <c r="AP178" i="13"/>
  <c r="Z178" i="13"/>
  <c r="J178" i="13"/>
  <c r="EG178" i="13"/>
  <c r="DQ178" i="13"/>
  <c r="DA178" i="13"/>
  <c r="CK178" i="13"/>
  <c r="BU178" i="13"/>
  <c r="BE178" i="13"/>
  <c r="AO178" i="13"/>
  <c r="Y178" i="13"/>
  <c r="EF178" i="13"/>
  <c r="DP178" i="13"/>
  <c r="CZ178" i="13"/>
  <c r="CJ178" i="13"/>
  <c r="BT178" i="13"/>
  <c r="BD178" i="13"/>
  <c r="AN178" i="13"/>
  <c r="X178" i="13"/>
  <c r="EE178" i="13"/>
  <c r="DO178" i="13"/>
  <c r="CY178" i="13"/>
  <c r="CI178" i="13"/>
  <c r="BS178" i="13"/>
  <c r="BC178" i="13"/>
  <c r="AM178" i="13"/>
  <c r="W178" i="13"/>
  <c r="ED178" i="13"/>
  <c r="DN178" i="13"/>
  <c r="CX178" i="13"/>
  <c r="CH178" i="13"/>
  <c r="BR178" i="13"/>
  <c r="BB178" i="13"/>
  <c r="AL178" i="13"/>
  <c r="V178" i="13"/>
  <c r="EC178" i="13"/>
  <c r="DM178" i="13"/>
  <c r="CW178" i="13"/>
  <c r="CG178" i="13"/>
  <c r="BQ178" i="13"/>
  <c r="BA178" i="13"/>
  <c r="AK178" i="13"/>
  <c r="U178" i="13"/>
  <c r="EB178" i="13"/>
  <c r="DL178" i="13"/>
  <c r="CV178" i="13"/>
  <c r="CF178" i="13"/>
  <c r="BP178" i="13"/>
  <c r="AZ178" i="13"/>
  <c r="AJ178" i="13"/>
  <c r="T178" i="13"/>
  <c r="EA178" i="13"/>
  <c r="DK178" i="13"/>
  <c r="CU178" i="13"/>
  <c r="CE178" i="13"/>
  <c r="BO178" i="13"/>
  <c r="AY178" i="13"/>
  <c r="AI178" i="13"/>
  <c r="S178" i="13"/>
  <c r="DZ178" i="13"/>
  <c r="DJ178" i="13"/>
  <c r="CT178" i="13"/>
  <c r="CD178" i="13"/>
  <c r="BN178" i="13"/>
  <c r="AX178" i="13"/>
  <c r="AH178" i="13"/>
  <c r="R178" i="13"/>
  <c r="DY178" i="13"/>
  <c r="DI178" i="13"/>
  <c r="CS178" i="13"/>
  <c r="CC178" i="13"/>
  <c r="BM178" i="13"/>
  <c r="AW178" i="13"/>
  <c r="AG178" i="13"/>
  <c r="Q178" i="13"/>
  <c r="DX178" i="13"/>
  <c r="DH178" i="13"/>
  <c r="CR178" i="13"/>
  <c r="CB178" i="13"/>
  <c r="BL178" i="13"/>
  <c r="AV178" i="13"/>
  <c r="AF178" i="13"/>
  <c r="P178" i="13"/>
  <c r="DW178" i="13"/>
  <c r="DG178" i="13"/>
  <c r="CQ178" i="13"/>
  <c r="CA178" i="13"/>
  <c r="BK178" i="13"/>
  <c r="AU178" i="13"/>
  <c r="AE178" i="13"/>
  <c r="O178" i="13"/>
  <c r="EL178" i="13"/>
  <c r="DV178" i="13"/>
  <c r="DF178" i="13"/>
  <c r="CP178" i="13"/>
  <c r="BZ178" i="13"/>
  <c r="BJ178" i="13"/>
  <c r="AT178" i="13"/>
  <c r="AD178" i="13"/>
  <c r="N178" i="13"/>
  <c r="EK178" i="13"/>
  <c r="DU178" i="13"/>
  <c r="DE178" i="13"/>
  <c r="CO178" i="13"/>
  <c r="BY178" i="13"/>
  <c r="BI178" i="13"/>
  <c r="AS178" i="13"/>
  <c r="AC178" i="13"/>
  <c r="M178" i="13"/>
  <c r="H152" i="13"/>
  <c r="H210" i="13"/>
  <c r="H202" i="13"/>
  <c r="H206" i="13"/>
  <c r="H154" i="13"/>
  <c r="H199" i="13"/>
  <c r="DH200" i="13" s="1"/>
  <c r="K166" i="3"/>
  <c r="K72" i="3"/>
  <c r="K18" i="3"/>
  <c r="L166" i="3"/>
  <c r="L72" i="3"/>
  <c r="L18" i="3"/>
  <c r="M78" i="3"/>
  <c r="M59" i="3" s="1"/>
  <c r="CU200" i="13" l="1"/>
  <c r="AK200" i="13"/>
  <c r="DY200" i="13"/>
  <c r="CD200" i="13"/>
  <c r="DN200" i="13"/>
  <c r="CZ200" i="13"/>
  <c r="CL200" i="13"/>
  <c r="EL200" i="13"/>
  <c r="DX200" i="13"/>
  <c r="AB200" i="13"/>
  <c r="BX200" i="13"/>
  <c r="M200" i="13"/>
  <c r="CT200" i="13"/>
  <c r="ED200" i="13"/>
  <c r="DP200" i="13"/>
  <c r="DB200" i="13"/>
  <c r="O200" i="13"/>
  <c r="BM200" i="13"/>
  <c r="DK200" i="13"/>
  <c r="AY200" i="13"/>
  <c r="DJ200" i="13"/>
  <c r="EF200" i="13"/>
  <c r="DR200" i="13"/>
  <c r="AE200" i="13"/>
  <c r="CV200" i="13"/>
  <c r="AQ200" i="13"/>
  <c r="CG200" i="13"/>
  <c r="DZ200" i="13"/>
  <c r="W200" i="13"/>
  <c r="Y200" i="13"/>
  <c r="EH200" i="13"/>
  <c r="AU200" i="13"/>
  <c r="AC200" i="13"/>
  <c r="BY200" i="13"/>
  <c r="EC200" i="13"/>
  <c r="EA200" i="13"/>
  <c r="AM200" i="13"/>
  <c r="AO200" i="13"/>
  <c r="EI200" i="13"/>
  <c r="BK200" i="13"/>
  <c r="BO200" i="13"/>
  <c r="DM200" i="13"/>
  <c r="Q200" i="13"/>
  <c r="BC200" i="13"/>
  <c r="BE200" i="13"/>
  <c r="DD200" i="13"/>
  <c r="CA200" i="13"/>
  <c r="CW200" i="13"/>
  <c r="AR200" i="13"/>
  <c r="AZ200" i="13"/>
  <c r="DL200" i="13"/>
  <c r="BS200" i="13"/>
  <c r="BU200" i="13"/>
  <c r="DT200" i="13"/>
  <c r="CQ200" i="13"/>
  <c r="H220" i="13"/>
  <c r="AG200" i="13"/>
  <c r="CC200" i="13"/>
  <c r="CM200" i="13"/>
  <c r="EB200" i="13"/>
  <c r="CI200" i="13"/>
  <c r="CK200" i="13"/>
  <c r="EJ200" i="13"/>
  <c r="DG200" i="13"/>
  <c r="T200" i="13"/>
  <c r="BP200" i="13"/>
  <c r="DS200" i="13"/>
  <c r="EK200" i="13"/>
  <c r="CY200" i="13"/>
  <c r="DA200" i="13"/>
  <c r="N200" i="13"/>
  <c r="DW200" i="13"/>
  <c r="BG200" i="13"/>
  <c r="DC200" i="13"/>
  <c r="K200" i="13"/>
  <c r="S200" i="13"/>
  <c r="DO200" i="13"/>
  <c r="DQ200" i="13"/>
  <c r="AD200" i="13"/>
  <c r="P200" i="13"/>
  <c r="CO200" i="13"/>
  <c r="AI200" i="13"/>
  <c r="AS200" i="13"/>
  <c r="BA200" i="13"/>
  <c r="V200" i="13"/>
  <c r="EE200" i="13"/>
  <c r="EG200" i="13"/>
  <c r="AT200" i="13"/>
  <c r="AF200" i="13"/>
  <c r="U200" i="13"/>
  <c r="BQ200" i="13"/>
  <c r="CE200" i="13"/>
  <c r="CN200" i="13"/>
  <c r="AL200" i="13"/>
  <c r="X200" i="13"/>
  <c r="J200" i="13"/>
  <c r="H200" i="13" s="1"/>
  <c r="BJ200" i="13"/>
  <c r="AV200" i="13"/>
  <c r="BH200" i="13"/>
  <c r="DE200" i="13"/>
  <c r="DU200" i="13"/>
  <c r="R200" i="13"/>
  <c r="BB200" i="13"/>
  <c r="AN200" i="13"/>
  <c r="Z200" i="13"/>
  <c r="BZ200" i="13"/>
  <c r="BL200" i="13"/>
  <c r="CS200" i="13"/>
  <c r="AJ200" i="13"/>
  <c r="L200" i="13"/>
  <c r="AH200" i="13"/>
  <c r="BR200" i="13"/>
  <c r="BD200" i="13"/>
  <c r="AP200" i="13"/>
  <c r="CP200" i="13"/>
  <c r="CB200" i="13"/>
  <c r="AA200" i="13"/>
  <c r="BW200" i="13"/>
  <c r="AW200" i="13"/>
  <c r="AX200" i="13"/>
  <c r="CH200" i="13"/>
  <c r="BT200" i="13"/>
  <c r="BF200" i="13"/>
  <c r="DF200" i="13"/>
  <c r="CR200" i="13"/>
  <c r="H178" i="13"/>
  <c r="BI200" i="13"/>
  <c r="DI200" i="13"/>
  <c r="CF200" i="13"/>
  <c r="BN200" i="13"/>
  <c r="CX200" i="13"/>
  <c r="CJ200" i="13"/>
  <c r="BV200" i="13"/>
  <c r="DV200" i="13"/>
  <c r="N78" i="3"/>
  <c r="N59" i="3" s="1"/>
  <c r="M166" i="3"/>
  <c r="M72" i="3"/>
  <c r="M18" i="3"/>
  <c r="N72" i="3" l="1"/>
  <c r="N166" i="3"/>
  <c r="N18" i="3"/>
  <c r="O78" i="3"/>
  <c r="O59" i="3" s="1"/>
  <c r="O72" i="3" l="1"/>
  <c r="O166" i="3"/>
  <c r="O18" i="3"/>
  <c r="P78" i="3"/>
  <c r="P59" i="3" l="1"/>
  <c r="Q78" i="3"/>
  <c r="Q59" i="3" l="1"/>
  <c r="R78" i="3"/>
  <c r="P72" i="3"/>
  <c r="P166" i="3"/>
  <c r="P18" i="3"/>
  <c r="R59" i="3" l="1"/>
  <c r="S78" i="3"/>
  <c r="Q166" i="3"/>
  <c r="Q18" i="3"/>
  <c r="Q72" i="3"/>
  <c r="S59" i="3" l="1"/>
  <c r="T78" i="3"/>
  <c r="R166" i="3"/>
  <c r="R72" i="3"/>
  <c r="R18" i="3"/>
  <c r="T59" i="3" l="1"/>
  <c r="U78" i="3"/>
  <c r="S166" i="3"/>
  <c r="S18" i="3"/>
  <c r="S72" i="3"/>
  <c r="U59" i="3" l="1"/>
  <c r="V78" i="3"/>
  <c r="T166" i="3"/>
  <c r="T72" i="3"/>
  <c r="T18" i="3"/>
  <c r="U166" i="3" l="1"/>
  <c r="U72" i="3"/>
  <c r="U18" i="3"/>
  <c r="V59" i="3"/>
  <c r="W78" i="3"/>
  <c r="V166" i="3" l="1"/>
  <c r="V72" i="3"/>
  <c r="V18" i="3"/>
  <c r="W59" i="3"/>
  <c r="X78" i="3"/>
  <c r="X59" i="3" l="1"/>
  <c r="Y78" i="3"/>
  <c r="W166" i="3"/>
  <c r="W72" i="3"/>
  <c r="W18" i="3"/>
  <c r="Y59" i="3" l="1"/>
  <c r="Z78" i="3"/>
  <c r="X166" i="3"/>
  <c r="X72" i="3"/>
  <c r="X18" i="3"/>
  <c r="Y166" i="3" l="1"/>
  <c r="Y72" i="3"/>
  <c r="Y18" i="3"/>
  <c r="Z59" i="3"/>
  <c r="AA78" i="3"/>
  <c r="AA59" i="3" l="1"/>
  <c r="AB78" i="3"/>
  <c r="Z166" i="3"/>
  <c r="Z72" i="3"/>
  <c r="Z18" i="3"/>
  <c r="AB59" i="3" l="1"/>
  <c r="AC78" i="3"/>
  <c r="AA166" i="3"/>
  <c r="AA72" i="3"/>
  <c r="AA18" i="3"/>
  <c r="AC59" i="3" l="1"/>
  <c r="AD78" i="3"/>
  <c r="AB166" i="3"/>
  <c r="AB72" i="3"/>
  <c r="AB18" i="3"/>
  <c r="AD59" i="3" l="1"/>
  <c r="AE78" i="3"/>
  <c r="AC166" i="3"/>
  <c r="AC72" i="3"/>
  <c r="AC18" i="3"/>
  <c r="AE59" i="3" l="1"/>
  <c r="H78" i="3"/>
  <c r="AD72" i="3"/>
  <c r="AD166" i="3"/>
  <c r="AD18" i="3"/>
  <c r="AE72" i="3" l="1"/>
  <c r="H72" i="3" s="1"/>
  <c r="AE166" i="3"/>
  <c r="AE18" i="3"/>
  <c r="H59" i="3"/>
  <c r="H18" i="3" l="1"/>
  <c r="H166" i="3"/>
  <c r="Y153" i="3" l="1"/>
  <c r="Q153" i="3"/>
  <c r="X153" i="3"/>
  <c r="P153" i="3"/>
  <c r="O153" i="3"/>
  <c r="W153" i="3"/>
  <c r="J153" i="3"/>
  <c r="N153" i="3"/>
  <c r="AD153" i="3"/>
  <c r="V153" i="3"/>
  <c r="AC153" i="3"/>
  <c r="U153" i="3"/>
  <c r="M153" i="3"/>
  <c r="AB153" i="3"/>
  <c r="T153" i="3"/>
  <c r="L153" i="3"/>
  <c r="R153" i="3"/>
  <c r="AA153" i="3"/>
  <c r="S153" i="3"/>
  <c r="K153" i="3"/>
  <c r="Z153" i="3"/>
  <c r="J11" i="3"/>
  <c r="H12" i="3" l="1"/>
  <c r="AE123" i="3"/>
  <c r="DP150" i="13" l="1"/>
  <c r="AP150" i="13"/>
  <c r="CM150" i="13"/>
  <c r="BJ150" i="13"/>
  <c r="P150" i="13"/>
  <c r="BT150" i="13"/>
  <c r="AQ150" i="13"/>
  <c r="DD150" i="13"/>
  <c r="N150" i="13"/>
  <c r="DG150" i="13"/>
  <c r="X150" i="13"/>
  <c r="EG150" i="13"/>
  <c r="DE150" i="13"/>
  <c r="BR150" i="13"/>
  <c r="BK150" i="13"/>
  <c r="L150" i="13"/>
  <c r="BH150" i="13"/>
  <c r="BI150" i="13"/>
  <c r="O150" i="13"/>
  <c r="DX150" i="13"/>
  <c r="DB150" i="13"/>
  <c r="M150" i="13"/>
  <c r="CB150" i="13"/>
  <c r="EF150" i="13"/>
  <c r="ED150" i="13"/>
  <c r="BZ150" i="13"/>
  <c r="DV150" i="13"/>
  <c r="CJ150" i="13"/>
  <c r="DA150" i="13"/>
  <c r="BF150" i="13"/>
  <c r="AD150" i="13"/>
  <c r="EE150" i="13"/>
  <c r="AN150" i="13"/>
  <c r="K150" i="13"/>
  <c r="BX150" i="13"/>
  <c r="DT150" i="13"/>
  <c r="CA150" i="13"/>
  <c r="CC150" i="13"/>
  <c r="CI150" i="13"/>
  <c r="BE150" i="13"/>
  <c r="AB150" i="13"/>
  <c r="AE150" i="13"/>
  <c r="AG150" i="13"/>
  <c r="AM150" i="13"/>
  <c r="CR150" i="13"/>
  <c r="CH150" i="13"/>
  <c r="BV150" i="13"/>
  <c r="DR150" i="13"/>
  <c r="DS150" i="13"/>
  <c r="CP150" i="13"/>
  <c r="EL150" i="13"/>
  <c r="AV150" i="13"/>
  <c r="CZ150" i="13"/>
  <c r="Z150" i="13"/>
  <c r="BW150" i="13"/>
  <c r="AT150" i="13"/>
  <c r="BD150" i="13"/>
  <c r="AA150" i="13"/>
  <c r="CN150" i="13"/>
  <c r="EJ150" i="13"/>
  <c r="BB150" i="13"/>
  <c r="CS150" i="13"/>
  <c r="CY150" i="13"/>
  <c r="CX150" i="13"/>
  <c r="Y150" i="13"/>
  <c r="BU150" i="13"/>
  <c r="DQ150" i="13"/>
  <c r="AR150" i="13"/>
  <c r="CO150" i="13"/>
  <c r="EK150" i="13"/>
  <c r="BC150" i="13"/>
  <c r="EH150" i="13"/>
  <c r="AS150" i="13"/>
  <c r="DN150" i="13"/>
  <c r="CL150" i="13"/>
  <c r="EI150" i="13"/>
  <c r="DF150" i="13"/>
  <c r="V150" i="13"/>
  <c r="BL150" i="13"/>
  <c r="BN150" i="13"/>
  <c r="AY150" i="13"/>
  <c r="DL150" i="13"/>
  <c r="DH150" i="13"/>
  <c r="BP150" i="13"/>
  <c r="T150" i="13"/>
  <c r="DY150" i="13"/>
  <c r="CD150" i="13"/>
  <c r="DK150" i="13"/>
  <c r="DW150" i="13"/>
  <c r="BO150" i="13"/>
  <c r="AF150" i="13"/>
  <c r="S150" i="13"/>
  <c r="CF150" i="13"/>
  <c r="EB150" i="13"/>
  <c r="AW150" i="13"/>
  <c r="R150" i="13"/>
  <c r="CU150" i="13"/>
  <c r="CT150" i="13"/>
  <c r="DM150" i="13"/>
  <c r="EA150" i="13"/>
  <c r="AJ150" i="13"/>
  <c r="BQ150" i="13"/>
  <c r="AK150" i="13"/>
  <c r="U150" i="13"/>
  <c r="AH150" i="13"/>
  <c r="CV150" i="13"/>
  <c r="AX150" i="13"/>
  <c r="DJ150" i="13"/>
  <c r="EC150" i="13"/>
  <c r="AL150" i="13"/>
  <c r="AZ150" i="13"/>
  <c r="CG150" i="13"/>
  <c r="J150" i="13" l="1"/>
  <c r="J83" i="13"/>
  <c r="H38" i="3"/>
  <c r="K61" i="13"/>
  <c r="AG61" i="13" l="1"/>
  <c r="O61" i="13"/>
  <c r="AR61" i="13"/>
  <c r="AE61" i="13"/>
  <c r="N61" i="13"/>
  <c r="AD61" i="13"/>
  <c r="M61" i="13"/>
  <c r="AC61" i="13"/>
  <c r="L61" i="13"/>
  <c r="AT61" i="13"/>
  <c r="AB61" i="13"/>
  <c r="AS61" i="13"/>
  <c r="AA61" i="13"/>
  <c r="J61" i="13"/>
  <c r="AQ61" i="13"/>
  <c r="Z61" i="13"/>
  <c r="AF61" i="13"/>
  <c r="AP61" i="13"/>
  <c r="Y61" i="13"/>
  <c r="AO61" i="13"/>
  <c r="X61" i="13"/>
  <c r="AN61" i="13"/>
  <c r="W61" i="13"/>
  <c r="AM61" i="13"/>
  <c r="V61" i="13"/>
  <c r="U61" i="13"/>
  <c r="AK61" i="13"/>
  <c r="S61" i="13"/>
  <c r="AL61" i="13"/>
  <c r="AJ61" i="13"/>
  <c r="R61" i="13"/>
  <c r="AI61" i="13"/>
  <c r="Q61" i="13"/>
  <c r="AU61" i="13"/>
  <c r="AH61" i="13"/>
  <c r="P61" i="13"/>
  <c r="AV61" i="13" l="1"/>
  <c r="AW61" i="13" l="1"/>
  <c r="AX61" i="13" l="1"/>
  <c r="AY61" i="13" l="1"/>
  <c r="T61" i="13"/>
  <c r="BA61" i="13" l="1"/>
  <c r="AZ61" i="13"/>
  <c r="BC61" i="13" l="1"/>
  <c r="BB61" i="13"/>
  <c r="BD61" i="13" l="1"/>
  <c r="BE61" i="13" l="1"/>
  <c r="BF61" i="13" l="1"/>
  <c r="BG61" i="13" l="1"/>
  <c r="BH61" i="13" l="1"/>
  <c r="BI61" i="13" l="1"/>
  <c r="AE125" i="3"/>
  <c r="H4" i="3"/>
  <c r="BJ61" i="13" l="1"/>
  <c r="BK61" i="13" l="1"/>
  <c r="BL61" i="13" l="1"/>
  <c r="BM61" i="13" l="1"/>
  <c r="BN61" i="13" l="1"/>
  <c r="BO61" i="13" l="1"/>
  <c r="BP61" i="13" l="1"/>
  <c r="BQ61" i="13" l="1"/>
  <c r="BR61" i="13" l="1"/>
  <c r="BS61" i="13" l="1"/>
  <c r="BT61" i="13" l="1"/>
  <c r="BU61" i="13" l="1"/>
  <c r="BV61" i="13" l="1"/>
  <c r="BW61" i="13" l="1"/>
  <c r="BX61" i="13" l="1"/>
  <c r="BY61" i="13" l="1"/>
  <c r="BZ61" i="13" l="1"/>
  <c r="CA61" i="13" l="1"/>
  <c r="CB61" i="13" l="1"/>
  <c r="CC61" i="13" l="1"/>
  <c r="CD61" i="13" l="1"/>
  <c r="CE61" i="13" l="1"/>
  <c r="CF61" i="13" l="1"/>
  <c r="CG61" i="13" l="1"/>
  <c r="CH61" i="13" l="1"/>
  <c r="CI61" i="13" l="1"/>
  <c r="CJ61" i="13" l="1"/>
  <c r="CK61" i="13" l="1"/>
  <c r="CL61" i="13" l="1"/>
  <c r="CM61" i="13" l="1"/>
  <c r="CN61" i="13" l="1"/>
  <c r="CO61" i="13" l="1"/>
  <c r="CP61" i="13" l="1"/>
  <c r="CQ61" i="13" l="1"/>
  <c r="CR61" i="13" l="1"/>
  <c r="CS61" i="13" l="1"/>
  <c r="CT61" i="13" l="1"/>
  <c r="CU61" i="13" l="1"/>
  <c r="CV61" i="13" l="1"/>
  <c r="CW61" i="13" l="1"/>
  <c r="CX61" i="13" l="1"/>
  <c r="CY61" i="13" l="1"/>
  <c r="CZ61" i="13" l="1"/>
  <c r="DA61" i="13" l="1"/>
  <c r="DB61" i="13" l="1"/>
  <c r="DC61" i="13" l="1"/>
  <c r="DD61" i="13" l="1"/>
  <c r="DE61" i="13" l="1"/>
  <c r="DF61" i="13" l="1"/>
  <c r="DG61" i="13" l="1"/>
  <c r="DH61" i="13" l="1"/>
  <c r="DI61" i="13" l="1"/>
  <c r="DJ61" i="13" l="1"/>
  <c r="DK61" i="13" l="1"/>
  <c r="DL61" i="13" l="1"/>
  <c r="DM61" i="13" l="1"/>
  <c r="DN61" i="13" l="1"/>
  <c r="DO61" i="13" l="1"/>
  <c r="DP61" i="13" l="1"/>
  <c r="DQ61" i="13" l="1"/>
  <c r="DR61" i="13" l="1"/>
  <c r="DS61" i="13" l="1"/>
  <c r="DT61" i="13" l="1"/>
  <c r="DU61" i="13" l="1"/>
  <c r="DV61" i="13" l="1"/>
  <c r="DW61" i="13" l="1"/>
  <c r="DX61" i="13" l="1"/>
  <c r="DY61" i="13" l="1"/>
  <c r="DZ61" i="13" l="1"/>
  <c r="EA61" i="13" l="1"/>
  <c r="EB61" i="13" l="1"/>
  <c r="EC61" i="13" l="1"/>
  <c r="ED61" i="13" l="1"/>
  <c r="EE61" i="13" l="1"/>
  <c r="EF61" i="13" l="1"/>
  <c r="EG61" i="13" l="1"/>
  <c r="EH61" i="13" l="1"/>
  <c r="EI61" i="13" l="1"/>
  <c r="EJ61" i="13" l="1"/>
  <c r="EK61" i="13" l="1"/>
  <c r="EL61" i="13" l="1"/>
  <c r="H61" i="13" s="1"/>
  <c r="H64" i="13"/>
  <c r="H94" i="3" l="1"/>
  <c r="H93" i="3"/>
  <c r="H26" i="13" l="1"/>
  <c r="AE53" i="3" l="1"/>
  <c r="AE69" i="3" s="1"/>
  <c r="AE31" i="3"/>
  <c r="AE37" i="3"/>
  <c r="AE43" i="3" l="1"/>
  <c r="H31" i="13" l="1"/>
  <c r="H27" i="13" l="1"/>
  <c r="AC112" i="3" l="1"/>
  <c r="AC114" i="3" s="1"/>
  <c r="N112" i="3"/>
  <c r="N114" i="3" s="1"/>
  <c r="AD112" i="3"/>
  <c r="AD114" i="3"/>
  <c r="O112" i="3"/>
  <c r="O114" i="3"/>
  <c r="AE112" i="3"/>
  <c r="AE114" i="3"/>
  <c r="P112" i="3"/>
  <c r="P114" i="3"/>
  <c r="Q112" i="3"/>
  <c r="Q114" i="3" s="1"/>
  <c r="M112" i="3"/>
  <c r="M114" i="3" s="1"/>
  <c r="R112" i="3"/>
  <c r="R114" i="3" s="1"/>
  <c r="S112" i="3"/>
  <c r="S114" i="3" s="1"/>
  <c r="J112" i="3"/>
  <c r="J114" i="3" s="1"/>
  <c r="H110" i="3"/>
  <c r="H112" i="3" s="1"/>
  <c r="T112" i="3"/>
  <c r="T114" i="3" s="1"/>
  <c r="Z112" i="3"/>
  <c r="Z114" i="3" s="1"/>
  <c r="U112" i="3"/>
  <c r="U114" i="3" s="1"/>
  <c r="K112" i="3"/>
  <c r="K114" i="3" s="1"/>
  <c r="V112" i="3"/>
  <c r="V114" i="3" s="1"/>
  <c r="AA112" i="3"/>
  <c r="AA114" i="3" s="1"/>
  <c r="W112" i="3"/>
  <c r="W114" i="3" s="1"/>
  <c r="L112" i="3"/>
  <c r="L114" i="3"/>
  <c r="X112" i="3"/>
  <c r="X114" i="3" s="1"/>
  <c r="AB112" i="3"/>
  <c r="AB114" i="3" s="1"/>
  <c r="Y112" i="3"/>
  <c r="Y114" i="3" s="1"/>
  <c r="H114" i="3" l="1"/>
  <c r="J115" i="3"/>
  <c r="J116" i="3" l="1"/>
  <c r="K115" i="3"/>
  <c r="L115" i="3" l="1"/>
  <c r="M115" i="3" l="1"/>
  <c r="N115" i="3" l="1"/>
  <c r="O115" i="3" l="1"/>
  <c r="P115" i="3" l="1"/>
  <c r="Q115" i="3" l="1"/>
  <c r="R115" i="3" l="1"/>
  <c r="S115" i="3" l="1"/>
  <c r="T115" i="3" l="1"/>
  <c r="U115" i="3" l="1"/>
  <c r="V115" i="3" l="1"/>
  <c r="W115" i="3" l="1"/>
  <c r="X115" i="3" l="1"/>
  <c r="Y115" i="3" l="1"/>
  <c r="Z115" i="3" l="1"/>
  <c r="AA115" i="3" l="1"/>
  <c r="AB115" i="3" l="1"/>
  <c r="AC115" i="3" l="1"/>
  <c r="AD115" i="3" l="1"/>
  <c r="AE115" i="3" l="1"/>
  <c r="H115" i="3" l="1"/>
  <c r="H36" i="3" l="1"/>
  <c r="V123" i="3" l="1"/>
  <c r="V125" i="3" s="1"/>
  <c r="Z123" i="3"/>
  <c r="Z125" i="3"/>
  <c r="O123" i="3"/>
  <c r="O125" i="3" s="1"/>
  <c r="U123" i="3"/>
  <c r="U125" i="3" s="1"/>
  <c r="AD123" i="3"/>
  <c r="AD125" i="3" s="1"/>
  <c r="J123" i="3"/>
  <c r="J125" i="3" s="1"/>
  <c r="W123" i="3"/>
  <c r="W125" i="3" s="1"/>
  <c r="L123" i="3"/>
  <c r="L125" i="3" s="1"/>
  <c r="T123" i="3"/>
  <c r="T125" i="3" s="1"/>
  <c r="R123" i="3"/>
  <c r="R125" i="3" s="1"/>
  <c r="M123" i="3"/>
  <c r="M125" i="3" s="1"/>
  <c r="X123" i="3"/>
  <c r="X125" i="3" s="1"/>
  <c r="Q123" i="3"/>
  <c r="Q125" i="3" s="1"/>
  <c r="AB123" i="3"/>
  <c r="AB125" i="3" s="1"/>
  <c r="AC123" i="3"/>
  <c r="AC125" i="3" s="1"/>
  <c r="P123" i="3"/>
  <c r="P125" i="3" s="1"/>
  <c r="K123" i="3"/>
  <c r="K125" i="3" s="1"/>
  <c r="S123" i="3"/>
  <c r="S125" i="3" s="1"/>
  <c r="AA123" i="3"/>
  <c r="AA125" i="3" s="1"/>
  <c r="N123" i="3"/>
  <c r="N125" i="3"/>
  <c r="J126" i="3" l="1"/>
  <c r="Y123" i="3"/>
  <c r="Y125" i="3" s="1"/>
  <c r="H125" i="3" l="1"/>
  <c r="H123" i="3" s="1"/>
  <c r="J127" i="3"/>
  <c r="K126" i="3"/>
  <c r="L126" i="3" l="1"/>
  <c r="M126" i="3" l="1"/>
  <c r="N126" i="3" l="1"/>
  <c r="O126" i="3" l="1"/>
  <c r="P126" i="3" l="1"/>
  <c r="Q126" i="3" l="1"/>
  <c r="R126" i="3" l="1"/>
  <c r="S126" i="3" l="1"/>
  <c r="T126" i="3" l="1"/>
  <c r="U126" i="3" l="1"/>
  <c r="V126" i="3" l="1"/>
  <c r="W126" i="3" l="1"/>
  <c r="X126" i="3" l="1"/>
  <c r="Y126" i="3" l="1"/>
  <c r="Z126" i="3" l="1"/>
  <c r="AA126" i="3" l="1"/>
  <c r="AB126" i="3" l="1"/>
  <c r="AC126" i="3" l="1"/>
  <c r="AD126" i="3" l="1"/>
  <c r="AE126" i="3" l="1"/>
  <c r="H126" i="3" l="1"/>
  <c r="H44" i="13" l="1"/>
  <c r="H25" i="13" l="1"/>
  <c r="H24" i="13" l="1"/>
  <c r="H22" i="13" l="1"/>
  <c r="H23" i="13" l="1"/>
  <c r="H30" i="3" l="1"/>
  <c r="AE45" i="3" l="1"/>
  <c r="AE14" i="3" l="1"/>
  <c r="AE55" i="3"/>
  <c r="AE70" i="3" l="1"/>
  <c r="AE162" i="3"/>
  <c r="O101" i="3" l="1"/>
  <c r="O103" i="3" s="1"/>
  <c r="AE101" i="3"/>
  <c r="AE103" i="3"/>
  <c r="P101" i="3"/>
  <c r="P103" i="3"/>
  <c r="Q101" i="3"/>
  <c r="Q103" i="3" s="1"/>
  <c r="R101" i="3"/>
  <c r="R103" i="3"/>
  <c r="S101" i="3"/>
  <c r="S103" i="3"/>
  <c r="T101" i="3"/>
  <c r="T103" i="3" s="1"/>
  <c r="U101" i="3"/>
  <c r="U103" i="3" s="1"/>
  <c r="V101" i="3"/>
  <c r="V103" i="3" s="1"/>
  <c r="W101" i="3"/>
  <c r="W103" i="3" s="1"/>
  <c r="L101" i="3"/>
  <c r="L103" i="3" s="1"/>
  <c r="X101" i="3"/>
  <c r="X103" i="3" s="1"/>
  <c r="N101" i="3"/>
  <c r="N103" i="3"/>
  <c r="Y101" i="3"/>
  <c r="Y103" i="3" s="1"/>
  <c r="AB101" i="3"/>
  <c r="AB103" i="3" s="1"/>
  <c r="J101" i="3"/>
  <c r="J103" i="3" s="1"/>
  <c r="H99" i="3"/>
  <c r="M101" i="3"/>
  <c r="M103" i="3" s="1"/>
  <c r="Z101" i="3"/>
  <c r="Z103" i="3" s="1"/>
  <c r="AC101" i="3"/>
  <c r="AC103" i="3" s="1"/>
  <c r="K101" i="3"/>
  <c r="K103" i="3" s="1"/>
  <c r="AD101" i="3"/>
  <c r="AD103" i="3" s="1"/>
  <c r="AA101" i="3"/>
  <c r="AA103" i="3" s="1"/>
  <c r="H103" i="3" l="1"/>
  <c r="H101" i="3" s="1"/>
  <c r="J104" i="3"/>
  <c r="J105" i="3" l="1"/>
  <c r="K104" i="3"/>
  <c r="L104" i="3" l="1"/>
  <c r="M104" i="3" l="1"/>
  <c r="N104" i="3" l="1"/>
  <c r="O104" i="3" l="1"/>
  <c r="P104" i="3" l="1"/>
  <c r="Q104" i="3" l="1"/>
  <c r="R104" i="3" l="1"/>
  <c r="S104" i="3" l="1"/>
  <c r="T104" i="3" l="1"/>
  <c r="U104" i="3" l="1"/>
  <c r="V104" i="3" l="1"/>
  <c r="W104" i="3" l="1"/>
  <c r="X104" i="3" l="1"/>
  <c r="Y104" i="3" l="1"/>
  <c r="Z104" i="3" l="1"/>
  <c r="AA104" i="3" l="1"/>
  <c r="AB104" i="3" l="1"/>
  <c r="AC104" i="3" l="1"/>
  <c r="AD104" i="3" l="1"/>
  <c r="AE104" i="3" l="1"/>
  <c r="H104" i="3" l="1"/>
  <c r="H43" i="13" l="1"/>
  <c r="H42" i="13" l="1"/>
  <c r="BB85" i="12" l="1"/>
  <c r="H79" i="12"/>
  <c r="H78" i="12"/>
  <c r="AM93" i="12"/>
  <c r="H58" i="12"/>
  <c r="BR86" i="12"/>
  <c r="BQ86" i="12"/>
  <c r="BP86" i="12"/>
  <c r="BO86" i="12"/>
  <c r="BN86" i="12"/>
  <c r="BM86" i="12"/>
  <c r="BL86" i="12"/>
  <c r="BK86" i="12"/>
  <c r="BJ86" i="12"/>
  <c r="BI86" i="12"/>
  <c r="BH86" i="12"/>
  <c r="BG86" i="12"/>
  <c r="BF86" i="12"/>
  <c r="BD86" i="12"/>
  <c r="BB86" i="12"/>
  <c r="BA86" i="12"/>
  <c r="AZ86" i="12"/>
  <c r="AY86" i="12"/>
  <c r="AX86" i="12"/>
  <c r="AW86" i="12"/>
  <c r="AV86" i="12"/>
  <c r="AU86" i="12"/>
  <c r="H54" i="12"/>
  <c r="BR85" i="12"/>
  <c r="BQ85" i="12"/>
  <c r="BP85" i="12"/>
  <c r="BO85" i="12"/>
  <c r="BN85" i="12"/>
  <c r="BM85" i="12"/>
  <c r="BL85" i="12"/>
  <c r="BJ85" i="12"/>
  <c r="BH85" i="12"/>
  <c r="BG85" i="12"/>
  <c r="BF85" i="12"/>
  <c r="BE85" i="12"/>
  <c r="BD85" i="12"/>
  <c r="BC85" i="12"/>
  <c r="BA85" i="12"/>
  <c r="AZ85" i="12"/>
  <c r="AY85" i="12"/>
  <c r="AX85" i="12"/>
  <c r="AW85" i="12"/>
  <c r="AV85" i="12"/>
  <c r="H38" i="12"/>
  <c r="H37" i="12"/>
  <c r="H32" i="12"/>
  <c r="H30" i="12"/>
  <c r="H28" i="12"/>
  <c r="H25" i="12"/>
  <c r="H22" i="12"/>
  <c r="H19" i="12"/>
  <c r="H4" i="12"/>
  <c r="H3" i="12"/>
  <c r="AD65" i="2"/>
  <c r="J142" i="2"/>
  <c r="J141" i="2"/>
  <c r="J140" i="2"/>
  <c r="J139" i="2"/>
  <c r="J138" i="2"/>
  <c r="J137" i="2"/>
  <c r="J136" i="2"/>
  <c r="J135" i="2"/>
  <c r="J134" i="2"/>
  <c r="J133"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H82" i="2"/>
  <c r="H81" i="2"/>
  <c r="H80" i="2"/>
  <c r="AE79" i="2"/>
  <c r="AD79" i="2"/>
  <c r="AC79" i="2"/>
  <c r="AB79" i="2"/>
  <c r="AA79" i="2"/>
  <c r="Z79" i="2"/>
  <c r="Y79" i="2"/>
  <c r="X79" i="2"/>
  <c r="W79" i="2"/>
  <c r="V79" i="2"/>
  <c r="U79" i="2"/>
  <c r="T79" i="2"/>
  <c r="S79" i="2"/>
  <c r="R79" i="2"/>
  <c r="Q79" i="2"/>
  <c r="P79" i="2"/>
  <c r="O79" i="2"/>
  <c r="N79" i="2"/>
  <c r="M79" i="2"/>
  <c r="L79" i="2"/>
  <c r="K79" i="2"/>
  <c r="J79" i="2"/>
  <c r="H79" i="2" s="1"/>
  <c r="H77" i="2"/>
  <c r="H76" i="2"/>
  <c r="H75" i="2"/>
  <c r="AE74" i="2"/>
  <c r="AD74" i="2"/>
  <c r="AC74" i="2"/>
  <c r="AB74" i="2"/>
  <c r="AA74" i="2"/>
  <c r="Z74" i="2"/>
  <c r="Y74" i="2"/>
  <c r="X74" i="2"/>
  <c r="W74" i="2"/>
  <c r="V74" i="2"/>
  <c r="U74" i="2"/>
  <c r="T74" i="2"/>
  <c r="S74" i="2"/>
  <c r="R74" i="2"/>
  <c r="Q74" i="2"/>
  <c r="P74" i="2"/>
  <c r="O74" i="2"/>
  <c r="N74" i="2"/>
  <c r="M74" i="2"/>
  <c r="L74" i="2"/>
  <c r="K74" i="2"/>
  <c r="J74" i="2"/>
  <c r="Q19" i="19"/>
  <c r="D155" i="19"/>
  <c r="E133" i="19"/>
  <c r="H137" i="19" s="1"/>
  <c r="H138" i="19" s="1"/>
  <c r="F132" i="19"/>
  <c r="G132" i="19" s="1"/>
  <c r="G126" i="19"/>
  <c r="G113" i="19"/>
  <c r="F113" i="19"/>
  <c r="E113" i="19"/>
  <c r="H112" i="19"/>
  <c r="H113" i="19" s="1"/>
  <c r="F112" i="19"/>
  <c r="H111" i="19"/>
  <c r="F111" i="19"/>
  <c r="G108" i="19"/>
  <c r="E108" i="19"/>
  <c r="H107" i="19"/>
  <c r="F107" i="19"/>
  <c r="H106" i="19"/>
  <c r="H108" i="19" s="1"/>
  <c r="F106" i="19"/>
  <c r="F108" i="19" s="1"/>
  <c r="O97" i="19"/>
  <c r="N97" i="19"/>
  <c r="M97" i="19"/>
  <c r="H97" i="19"/>
  <c r="H98" i="19" s="1"/>
  <c r="H99" i="19" s="1"/>
  <c r="H100" i="19" s="1"/>
  <c r="H101" i="19" s="1"/>
  <c r="H102" i="19" s="1"/>
  <c r="G97" i="19"/>
  <c r="G98" i="19" s="1"/>
  <c r="G99" i="19" s="1"/>
  <c r="G100" i="19" s="1"/>
  <c r="G101" i="19" s="1"/>
  <c r="G102" i="19" s="1"/>
  <c r="O96" i="19"/>
  <c r="N96" i="19"/>
  <c r="M96" i="19"/>
  <c r="H96" i="19"/>
  <c r="G96" i="19"/>
  <c r="O95" i="19"/>
  <c r="N95" i="19"/>
  <c r="M95" i="19"/>
  <c r="O94" i="19"/>
  <c r="N94" i="19"/>
  <c r="R88" i="19"/>
  <c r="Q81" i="19"/>
  <c r="P81" i="19"/>
  <c r="G80" i="19"/>
  <c r="S78" i="19"/>
  <c r="P78" i="19"/>
  <c r="G77" i="19"/>
  <c r="P76" i="19"/>
  <c r="H76" i="19"/>
  <c r="G76" i="19"/>
  <c r="N74" i="19"/>
  <c r="X73" i="19"/>
  <c r="N73" i="19"/>
  <c r="D76" i="19"/>
  <c r="Z72" i="19"/>
  <c r="N71" i="19"/>
  <c r="N70" i="19"/>
  <c r="N69" i="19"/>
  <c r="N68" i="19"/>
  <c r="N67" i="19"/>
  <c r="N66" i="19"/>
  <c r="G66" i="19"/>
  <c r="F66" i="19"/>
  <c r="F67" i="19" s="1"/>
  <c r="F68" i="19" s="1"/>
  <c r="E66" i="19"/>
  <c r="U65" i="19"/>
  <c r="N65" i="19" s="1"/>
  <c r="G65" i="19"/>
  <c r="F65" i="19"/>
  <c r="E65" i="19"/>
  <c r="U64" i="19"/>
  <c r="N64" i="19" s="1"/>
  <c r="G64" i="19"/>
  <c r="G128" i="19" s="1"/>
  <c r="F63" i="19"/>
  <c r="G63" i="19" s="1"/>
  <c r="E63" i="19"/>
  <c r="E62" i="19"/>
  <c r="F62" i="19" s="1"/>
  <c r="G62" i="19" s="1"/>
  <c r="E61" i="19"/>
  <c r="G139" i="19" s="1"/>
  <c r="H60" i="19"/>
  <c r="Q55" i="19"/>
  <c r="AD54" i="19"/>
  <c r="Q54" i="19"/>
  <c r="G54" i="19"/>
  <c r="Q53" i="19"/>
  <c r="H53" i="19"/>
  <c r="D53" i="19"/>
  <c r="O52" i="19"/>
  <c r="H52" i="19"/>
  <c r="F52" i="19"/>
  <c r="F54" i="19" s="1"/>
  <c r="D52" i="19"/>
  <c r="H51" i="19"/>
  <c r="F51" i="19"/>
  <c r="D51" i="19"/>
  <c r="G50" i="19"/>
  <c r="G47" i="19" s="1"/>
  <c r="H49" i="19"/>
  <c r="H48" i="19"/>
  <c r="F50" i="19"/>
  <c r="Q47" i="19"/>
  <c r="Q46" i="19"/>
  <c r="S45" i="19"/>
  <c r="AE44" i="19"/>
  <c r="H44" i="19"/>
  <c r="N43" i="19"/>
  <c r="N44" i="19" s="1"/>
  <c r="N45" i="19" s="1"/>
  <c r="Q42" i="19" s="1"/>
  <c r="Q43" i="19" s="1"/>
  <c r="Q44" i="19" s="1"/>
  <c r="H43" i="19"/>
  <c r="H42" i="19"/>
  <c r="E130" i="19"/>
  <c r="H41" i="19"/>
  <c r="O39" i="19"/>
  <c r="Q39" i="19" s="1"/>
  <c r="G39" i="19"/>
  <c r="S38" i="19"/>
  <c r="Q38" i="19"/>
  <c r="Q40" i="19" s="1"/>
  <c r="S39" i="19" s="1"/>
  <c r="G36" i="19"/>
  <c r="AD31" i="19"/>
  <c r="AG31" i="19" s="1"/>
  <c r="P30" i="19"/>
  <c r="Q30" i="19" s="1"/>
  <c r="R30" i="19" s="1"/>
  <c r="S30" i="19" s="1"/>
  <c r="O34" i="19" s="1"/>
  <c r="P34" i="19" s="1"/>
  <c r="Q34" i="19" s="1"/>
  <c r="R34" i="19" s="1"/>
  <c r="S34" i="19" s="1"/>
  <c r="P28" i="19"/>
  <c r="Q28" i="19" s="1"/>
  <c r="R28" i="19" s="1"/>
  <c r="AR27" i="19"/>
  <c r="AT26" i="19"/>
  <c r="AS26" i="19"/>
  <c r="AS25" i="19"/>
  <c r="AT25" i="19" s="1"/>
  <c r="S25" i="19"/>
  <c r="Q25" i="19"/>
  <c r="AT24" i="19"/>
  <c r="AS24" i="19"/>
  <c r="AS23" i="19"/>
  <c r="AT23" i="19" s="1"/>
  <c r="S23" i="19"/>
  <c r="Q23" i="19"/>
  <c r="T23" i="19" s="1"/>
  <c r="P23" i="19"/>
  <c r="AS22" i="19"/>
  <c r="AT22" i="19" s="1"/>
  <c r="AS21" i="19"/>
  <c r="AT21" i="19" s="1"/>
  <c r="S21" i="19"/>
  <c r="Q21" i="19"/>
  <c r="T21" i="19" s="1"/>
  <c r="P21" i="19"/>
  <c r="AS20" i="19"/>
  <c r="AT20" i="19" s="1"/>
  <c r="T20" i="19"/>
  <c r="S20" i="19"/>
  <c r="Q20" i="19"/>
  <c r="P20" i="19"/>
  <c r="E20" i="19"/>
  <c r="AS19" i="19"/>
  <c r="AT19" i="19" s="1"/>
  <c r="S19" i="19"/>
  <c r="AS18" i="19"/>
  <c r="AT18" i="19" s="1"/>
  <c r="H18" i="19"/>
  <c r="H17" i="19" s="1"/>
  <c r="AS17" i="19"/>
  <c r="AT17" i="19" s="1"/>
  <c r="AC17" i="19"/>
  <c r="AC19" i="19" s="1"/>
  <c r="AC20" i="19" s="1"/>
  <c r="AS16" i="19"/>
  <c r="AT16" i="19" s="1"/>
  <c r="AS15" i="19"/>
  <c r="AT15" i="19" s="1"/>
  <c r="R15" i="19"/>
  <c r="R20" i="19" s="1"/>
  <c r="AS14" i="19"/>
  <c r="AT14" i="19" s="1"/>
  <c r="AS13" i="19"/>
  <c r="AT13" i="19" s="1"/>
  <c r="AS12" i="19"/>
  <c r="AT12" i="19" s="1"/>
  <c r="AC12" i="19"/>
  <c r="AC13" i="19" s="1"/>
  <c r="AC14" i="19" s="1"/>
  <c r="AC15" i="19" s="1"/>
  <c r="H12" i="19"/>
  <c r="H13" i="19" s="1"/>
  <c r="AS11" i="19"/>
  <c r="AT11" i="19" s="1"/>
  <c r="M23" i="19"/>
  <c r="AT10" i="19"/>
  <c r="AS10" i="19"/>
  <c r="AS9" i="19"/>
  <c r="AT9" i="19" s="1"/>
  <c r="AS8" i="19"/>
  <c r="AT8" i="19" s="1"/>
  <c r="AD8" i="19"/>
  <c r="M21" i="19"/>
  <c r="AS7" i="19"/>
  <c r="AT7" i="19" s="1"/>
  <c r="X7" i="19"/>
  <c r="X8" i="19" s="1"/>
  <c r="X9" i="19" s="1"/>
  <c r="M20" i="19"/>
  <c r="E7" i="19"/>
  <c r="F7" i="19" s="1"/>
  <c r="P63" i="19" s="1"/>
  <c r="AS6" i="19"/>
  <c r="AD6" i="19"/>
  <c r="M19" i="19"/>
  <c r="F6" i="19"/>
  <c r="BD5" i="19"/>
  <c r="BB5" i="19"/>
  <c r="AZ5" i="19"/>
  <c r="AW5" i="19"/>
  <c r="AL4" i="19"/>
  <c r="AJ4" i="19"/>
  <c r="AH4" i="19"/>
  <c r="AE4" i="19" s="1"/>
  <c r="B38" i="1"/>
  <c r="D38" i="1"/>
  <c r="D37" i="1"/>
  <c r="U54" i="17"/>
  <c r="D34" i="1"/>
  <c r="D35" i="1"/>
  <c r="D31" i="1"/>
  <c r="O52" i="17"/>
  <c r="AI31" i="19" l="1"/>
  <c r="H50" i="19"/>
  <c r="AW122" i="12"/>
  <c r="AY122" i="12"/>
  <c r="AU122" i="12"/>
  <c r="AX122" i="12"/>
  <c r="AV122" i="12"/>
  <c r="AT122" i="12"/>
  <c r="AZ122" i="12"/>
  <c r="BA122" i="12"/>
  <c r="G46" i="19"/>
  <c r="H39" i="19"/>
  <c r="H139" i="19"/>
  <c r="H140" i="19" s="1"/>
  <c r="H141" i="19" s="1"/>
  <c r="H54" i="19"/>
  <c r="AS27" i="19"/>
  <c r="R19" i="19"/>
  <c r="H66" i="19"/>
  <c r="J144" i="2"/>
  <c r="J121" i="2"/>
  <c r="H14" i="12"/>
  <c r="H23" i="12"/>
  <c r="H24" i="12"/>
  <c r="H21" i="12"/>
  <c r="H33" i="12"/>
  <c r="BE86" i="12"/>
  <c r="AU85" i="12"/>
  <c r="BK85" i="12"/>
  <c r="H20" i="12"/>
  <c r="H39" i="12"/>
  <c r="H34" i="12"/>
  <c r="AU73" i="12"/>
  <c r="H26" i="12"/>
  <c r="H31" i="12"/>
  <c r="H29" i="12"/>
  <c r="H53" i="12"/>
  <c r="BC86" i="12"/>
  <c r="H86" i="12" s="1"/>
  <c r="BI85" i="12"/>
  <c r="H59" i="12"/>
  <c r="AM92" i="12"/>
  <c r="AN93" i="12"/>
  <c r="H55" i="12"/>
  <c r="H56" i="12"/>
  <c r="H74" i="2"/>
  <c r="AD7" i="19"/>
  <c r="AE48" i="19"/>
  <c r="D134" i="19"/>
  <c r="H14" i="19"/>
  <c r="D132" i="19"/>
  <c r="F75" i="19"/>
  <c r="H22" i="19"/>
  <c r="E22" i="19"/>
  <c r="X10" i="19"/>
  <c r="AD9" i="19"/>
  <c r="Q69" i="19"/>
  <c r="R69" i="19" s="1"/>
  <c r="Q73" i="19"/>
  <c r="R73" i="19" s="1"/>
  <c r="Q59" i="19"/>
  <c r="R68" i="19"/>
  <c r="R65" i="19"/>
  <c r="Q71" i="19"/>
  <c r="R71" i="19" s="1"/>
  <c r="Q67" i="19"/>
  <c r="R67" i="19" s="1"/>
  <c r="R66" i="19"/>
  <c r="R70" i="19"/>
  <c r="Q60" i="19"/>
  <c r="Q74" i="19"/>
  <c r="R74" i="19" s="1"/>
  <c r="Q64" i="19"/>
  <c r="S28" i="19"/>
  <c r="G17" i="19"/>
  <c r="F47" i="19"/>
  <c r="F45" i="19" s="1"/>
  <c r="H45" i="19" s="1"/>
  <c r="O40" i="19"/>
  <c r="G67" i="19"/>
  <c r="G68" i="19" s="1"/>
  <c r="H126" i="19"/>
  <c r="O10" i="19"/>
  <c r="T19" i="19"/>
  <c r="AK31" i="19"/>
  <c r="H67" i="19"/>
  <c r="H68" i="19" s="1"/>
  <c r="AT6" i="19"/>
  <c r="AT27" i="19" s="1"/>
  <c r="D75" i="19"/>
  <c r="O82" i="19"/>
  <c r="F61" i="19"/>
  <c r="E68" i="19"/>
  <c r="G137" i="19"/>
  <c r="G138" i="19" s="1"/>
  <c r="G140" i="19" s="1"/>
  <c r="G141" i="19" s="1"/>
  <c r="R21" i="19"/>
  <c r="R23" i="19"/>
  <c r="BA124" i="12" l="1"/>
  <c r="AE120" i="19" s="1"/>
  <c r="AE118" i="19"/>
  <c r="AD118" i="19"/>
  <c r="AZ124" i="12"/>
  <c r="AD120" i="19" s="1"/>
  <c r="X118" i="19"/>
  <c r="AT124" i="12"/>
  <c r="X120" i="19" s="1"/>
  <c r="Z118" i="19"/>
  <c r="AV124" i="12"/>
  <c r="Z120" i="19" s="1"/>
  <c r="AX124" i="12"/>
  <c r="AB120" i="19" s="1"/>
  <c r="AB118" i="19"/>
  <c r="Y118" i="19"/>
  <c r="AU124" i="12"/>
  <c r="Y120" i="19" s="1"/>
  <c r="AY124" i="12"/>
  <c r="AC120" i="19" s="1"/>
  <c r="AC118" i="19"/>
  <c r="AA118" i="19"/>
  <c r="AW124" i="12"/>
  <c r="AA120" i="19" s="1"/>
  <c r="H47" i="19"/>
  <c r="AD42" i="19" s="1"/>
  <c r="AE42" i="19" s="1"/>
  <c r="H85" i="12"/>
  <c r="AO93" i="12"/>
  <c r="AN92" i="12"/>
  <c r="AU74" i="12"/>
  <c r="AV73" i="12"/>
  <c r="O32" i="19"/>
  <c r="X11" i="19"/>
  <c r="AC27" i="19"/>
  <c r="F76" i="19"/>
  <c r="F79" i="19"/>
  <c r="S10" i="19"/>
  <c r="R10" i="19"/>
  <c r="O12" i="19"/>
  <c r="Q10" i="19"/>
  <c r="R64" i="19"/>
  <c r="H46" i="19"/>
  <c r="AE43" i="19"/>
  <c r="H15" i="19"/>
  <c r="F37" i="19"/>
  <c r="F39" i="19"/>
  <c r="F46" i="19" s="1"/>
  <c r="G61" i="19"/>
  <c r="G60" i="19" s="1"/>
  <c r="F60" i="19"/>
  <c r="E60" i="19" s="1"/>
  <c r="G57" i="19" l="1"/>
  <c r="G58" i="19"/>
  <c r="AV74" i="12"/>
  <c r="AW73" i="12"/>
  <c r="AO92" i="12"/>
  <c r="AP93" i="12"/>
  <c r="H16" i="19"/>
  <c r="R76" i="19"/>
  <c r="X12" i="19"/>
  <c r="AD10" i="19"/>
  <c r="AD27" i="19" s="1"/>
  <c r="P32" i="19"/>
  <c r="F80" i="19"/>
  <c r="F77" i="19"/>
  <c r="F81" i="19" s="1"/>
  <c r="U23" i="19"/>
  <c r="S3" i="19"/>
  <c r="U20" i="19"/>
  <c r="U21" i="19"/>
  <c r="U19" i="19"/>
  <c r="E80" i="19"/>
  <c r="E95" i="19" s="1"/>
  <c r="F95" i="19" s="1"/>
  <c r="F84" i="19"/>
  <c r="AP92" i="12" l="1"/>
  <c r="AQ93" i="12"/>
  <c r="AW74" i="12"/>
  <c r="AX73" i="12"/>
  <c r="X13" i="19"/>
  <c r="F96" i="19"/>
  <c r="E96" i="19"/>
  <c r="U24" i="19"/>
  <c r="O24" i="19"/>
  <c r="S24" i="19"/>
  <c r="Q24" i="19"/>
  <c r="P24" i="19"/>
  <c r="R24" i="19"/>
  <c r="T24" i="19"/>
  <c r="F86" i="19"/>
  <c r="F82" i="19"/>
  <c r="E82" i="19"/>
  <c r="E81" i="19"/>
  <c r="F85" i="19"/>
  <c r="Q32" i="19"/>
  <c r="Q77" i="19"/>
  <c r="Q79" i="19"/>
  <c r="Q78" i="19"/>
  <c r="N30" i="19"/>
  <c r="H19" i="19"/>
  <c r="Q62" i="19" l="1"/>
  <c r="AR93" i="12"/>
  <c r="AX74" i="12"/>
  <c r="AY73" i="12"/>
  <c r="AQ92" i="12"/>
  <c r="E97" i="19"/>
  <c r="F97" i="19"/>
  <c r="R32" i="19"/>
  <c r="X14" i="19"/>
  <c r="AR92" i="12" l="1"/>
  <c r="AY74" i="12"/>
  <c r="AZ73" i="12"/>
  <c r="AS93" i="12"/>
  <c r="X15" i="19"/>
  <c r="F98" i="19"/>
  <c r="E98" i="19"/>
  <c r="S32" i="19"/>
  <c r="AZ74" i="12" l="1"/>
  <c r="BA73" i="12"/>
  <c r="AS92" i="12"/>
  <c r="AT93" i="12"/>
  <c r="F99" i="19"/>
  <c r="E99" i="19"/>
  <c r="X16" i="19"/>
  <c r="AT92" i="12" l="1"/>
  <c r="BB73" i="12"/>
  <c r="BA74" i="12"/>
  <c r="X17" i="19"/>
  <c r="E100" i="19"/>
  <c r="F100" i="19"/>
  <c r="BC73" i="12" l="1"/>
  <c r="BB74" i="12"/>
  <c r="F101" i="19"/>
  <c r="E101" i="19"/>
  <c r="X18" i="19"/>
  <c r="BD73" i="12" l="1"/>
  <c r="BC74" i="12"/>
  <c r="X19" i="19"/>
  <c r="F102" i="19"/>
  <c r="E102" i="19"/>
  <c r="BE73" i="12" l="1"/>
  <c r="BD74" i="12"/>
  <c r="X20" i="19"/>
  <c r="BF73" i="12" l="1"/>
  <c r="BE74" i="12"/>
  <c r="X21" i="19"/>
  <c r="BG73" i="12" l="1"/>
  <c r="BF74" i="12"/>
  <c r="X22" i="19"/>
  <c r="BH73" i="12" l="1"/>
  <c r="BG74" i="12"/>
  <c r="X23" i="19"/>
  <c r="BH74" i="12" l="1"/>
  <c r="BI73" i="12"/>
  <c r="X24" i="19"/>
  <c r="BI74" i="12" l="1"/>
  <c r="BJ73" i="12"/>
  <c r="X25" i="19"/>
  <c r="BJ74" i="12" l="1"/>
  <c r="BK73" i="12"/>
  <c r="X26" i="19"/>
  <c r="BK74" i="12" l="1"/>
  <c r="BL73" i="12"/>
  <c r="BL74" i="12" l="1"/>
  <c r="BM73" i="12"/>
  <c r="BM74" i="12" l="1"/>
  <c r="BN73" i="12"/>
  <c r="BN74" i="12" l="1"/>
  <c r="BO73" i="12"/>
  <c r="BO74" i="12" l="1"/>
  <c r="BP73" i="12"/>
  <c r="BP74" i="12" l="1"/>
  <c r="BQ73" i="12"/>
  <c r="BR73" i="12" l="1"/>
  <c r="BR74" i="12" s="1"/>
  <c r="BQ74" i="12"/>
  <c r="AM104" i="12" l="1"/>
  <c r="AM96" i="12"/>
  <c r="AM97" i="12"/>
  <c r="AO104" i="12"/>
  <c r="AM103" i="12"/>
  <c r="AN104" i="12"/>
  <c r="AN103" i="12"/>
  <c r="AO97" i="12"/>
  <c r="AN96" i="12"/>
  <c r="AO96" i="12"/>
  <c r="AQ96" i="12"/>
  <c r="AP104" i="12"/>
  <c r="AN97" i="12"/>
  <c r="AP96" i="12"/>
  <c r="AP97" i="12"/>
  <c r="AO103" i="12"/>
  <c r="AP103" i="12"/>
  <c r="AQ97" i="12"/>
  <c r="AQ103" i="12"/>
  <c r="AS96" i="12"/>
  <c r="AR96" i="12"/>
  <c r="AQ104" i="12"/>
  <c r="AR104" i="12"/>
  <c r="AS104" i="12"/>
  <c r="AR97" i="12"/>
  <c r="AS97" i="12"/>
  <c r="AR103" i="12"/>
  <c r="AT96" i="12"/>
  <c r="AS103" i="12"/>
  <c r="AT97" i="12"/>
  <c r="AT104" i="12"/>
  <c r="AT103" i="12"/>
  <c r="H103" i="12" l="1"/>
  <c r="I103" i="12" s="1"/>
  <c r="H97" i="12"/>
  <c r="I97" i="12" s="1"/>
  <c r="H96" i="12"/>
  <c r="I96" i="12" s="1"/>
  <c r="H104" i="12"/>
  <c r="I104" i="12" s="1"/>
  <c r="J30" i="17" l="1"/>
  <c r="L63" i="17"/>
  <c r="L61" i="17"/>
  <c r="E57" i="17"/>
  <c r="O71" i="17"/>
  <c r="L64" i="17"/>
  <c r="N48" i="17"/>
  <c r="S36" i="17"/>
  <c r="M36" i="17"/>
  <c r="M35" i="17" s="1"/>
  <c r="S35" i="17"/>
  <c r="R36" i="17"/>
  <c r="S5" i="17"/>
  <c r="R5" i="17"/>
  <c r="M5" i="17"/>
  <c r="K5" i="17"/>
  <c r="R35" i="17" l="1"/>
  <c r="J5" i="17"/>
  <c r="H13" i="17"/>
  <c r="T36" i="17"/>
  <c r="U36" i="17"/>
  <c r="L5" i="17"/>
  <c r="N5" i="17"/>
  <c r="O5" i="17"/>
  <c r="P5" i="17"/>
  <c r="J36" i="17"/>
  <c r="Q5" i="17"/>
  <c r="K36" i="17"/>
  <c r="L36" i="17"/>
  <c r="T5" i="17"/>
  <c r="N36" i="17"/>
  <c r="H25" i="17"/>
  <c r="U5" i="17"/>
  <c r="H24" i="17"/>
  <c r="O36" i="17"/>
  <c r="P36" i="17"/>
  <c r="Q36" i="17"/>
  <c r="J35" i="17" l="1"/>
  <c r="H22" i="17"/>
  <c r="T35" i="17"/>
  <c r="P35" i="17"/>
  <c r="H17" i="17"/>
  <c r="H18" i="17"/>
  <c r="N35" i="17"/>
  <c r="O35" i="17"/>
  <c r="U35" i="17"/>
  <c r="H20" i="17"/>
  <c r="H28" i="17"/>
  <c r="L35" i="17"/>
  <c r="H26" i="17"/>
  <c r="Q35" i="17"/>
  <c r="K35" i="17"/>
  <c r="H23" i="17"/>
  <c r="H21" i="17"/>
  <c r="J70" i="2" l="1"/>
  <c r="K70" i="2"/>
  <c r="L70" i="2"/>
  <c r="M70" i="2"/>
  <c r="N70" i="2"/>
  <c r="O70" i="2"/>
  <c r="P70" i="2"/>
  <c r="Q70" i="2"/>
  <c r="R70" i="2"/>
  <c r="S70" i="2"/>
  <c r="T70" i="2"/>
  <c r="U70" i="2"/>
  <c r="V70" i="2"/>
  <c r="W70" i="2"/>
  <c r="X70" i="2"/>
  <c r="Y70" i="2"/>
  <c r="Z70" i="2"/>
  <c r="AA70" i="2"/>
  <c r="AB70" i="2"/>
  <c r="AC70" i="2"/>
  <c r="AD70" i="2"/>
  <c r="AE70" i="2"/>
  <c r="R69" i="2" l="1"/>
  <c r="J69" i="2"/>
  <c r="Y69" i="2"/>
  <c r="Q69" i="2"/>
  <c r="X69" i="2"/>
  <c r="P69" i="2"/>
  <c r="AE47" i="2"/>
  <c r="AE163" i="2"/>
  <c r="AE69" i="2"/>
  <c r="O69" i="2"/>
  <c r="N69" i="2"/>
  <c r="W69" i="2"/>
  <c r="AD69" i="2"/>
  <c r="V69" i="2"/>
  <c r="AC69" i="2"/>
  <c r="U69" i="2"/>
  <c r="M69" i="2"/>
  <c r="AB69" i="2"/>
  <c r="T69" i="2"/>
  <c r="L69" i="2"/>
  <c r="AA69" i="2"/>
  <c r="S69" i="2"/>
  <c r="K69" i="2"/>
  <c r="Z69" i="2"/>
  <c r="AE17" i="2" l="1"/>
  <c r="AE169" i="2"/>
  <c r="Q177" i="2"/>
  <c r="H31" i="2"/>
  <c r="H26" i="2"/>
  <c r="H55" i="2"/>
  <c r="H37" i="2"/>
  <c r="H56" i="2"/>
  <c r="H28" i="2"/>
  <c r="H58" i="2"/>
  <c r="H29" i="2"/>
  <c r="H21" i="2"/>
  <c r="H38" i="2"/>
  <c r="H20" i="2"/>
  <c r="H30" i="2"/>
  <c r="H59" i="2"/>
  <c r="H22" i="2"/>
  <c r="H39" i="2"/>
  <c r="H23" i="2"/>
  <c r="AE168" i="2"/>
  <c r="AE9" i="2"/>
  <c r="AE45" i="2" s="1"/>
  <c r="H19" i="2"/>
  <c r="H53" i="2"/>
  <c r="H14" i="2"/>
  <c r="H24" i="2"/>
  <c r="H32" i="2"/>
  <c r="AE51" i="2"/>
  <c r="P177" i="2"/>
  <c r="H33" i="2"/>
  <c r="H25" i="2"/>
  <c r="H34" i="2"/>
  <c r="H54" i="2"/>
  <c r="AE61" i="2" l="1"/>
  <c r="AE65" i="2"/>
  <c r="AE72" i="2"/>
  <c r="AE85" i="2" s="1"/>
  <c r="AE170" i="2"/>
  <c r="Z12" i="19"/>
  <c r="AQ12" i="19"/>
  <c r="Z19" i="19"/>
  <c r="AQ19" i="19"/>
  <c r="Z22" i="19"/>
  <c r="AQ22" i="19"/>
  <c r="Z26" i="19"/>
  <c r="AQ26" i="19"/>
  <c r="AQ10" i="19"/>
  <c r="Z10" i="19"/>
  <c r="O42" i="19"/>
  <c r="R44" i="19"/>
  <c r="O44" i="19"/>
  <c r="O45" i="19"/>
  <c r="R43" i="19"/>
  <c r="R42" i="19"/>
  <c r="O43" i="19"/>
  <c r="Z15" i="19"/>
  <c r="AQ15" i="19"/>
  <c r="AQ7" i="19"/>
  <c r="Z7" i="19"/>
  <c r="AQ21" i="19"/>
  <c r="Z21" i="19"/>
  <c r="Z8" i="19"/>
  <c r="AQ8" i="19"/>
  <c r="Z18" i="19"/>
  <c r="AQ18" i="19"/>
  <c r="AQ23" i="19"/>
  <c r="Z23" i="19"/>
  <c r="Z13" i="19"/>
  <c r="AQ13" i="19"/>
  <c r="AQ25" i="19"/>
  <c r="Z25" i="19"/>
  <c r="Z24" i="19"/>
  <c r="AQ24" i="19"/>
  <c r="AQ6" i="19"/>
  <c r="Z6" i="19"/>
  <c r="AQ9" i="19"/>
  <c r="Z9" i="19"/>
  <c r="AQ20" i="19"/>
  <c r="Z20" i="19"/>
  <c r="AQ11" i="19"/>
  <c r="Z11" i="19"/>
  <c r="AQ14" i="19"/>
  <c r="Z14" i="19"/>
  <c r="Z16" i="19"/>
  <c r="AQ16" i="19"/>
  <c r="AQ17" i="19"/>
  <c r="Z17" i="19"/>
  <c r="AJ12" i="19" l="1"/>
  <c r="AW10" i="19"/>
  <c r="AE10" i="19" s="1"/>
  <c r="AL10" i="19"/>
  <c r="AJ10" i="19"/>
  <c r="AJ25" i="19"/>
  <c r="AJ24" i="19"/>
  <c r="AW24" i="19"/>
  <c r="AJ16" i="19"/>
  <c r="AJ17" i="19"/>
  <c r="AJ13" i="19"/>
  <c r="AJ7" i="19"/>
  <c r="AL7" i="19"/>
  <c r="AJ11" i="19"/>
  <c r="AJ22" i="19"/>
  <c r="AJ15" i="19"/>
  <c r="AH8" i="19"/>
  <c r="AL8" i="19"/>
  <c r="AJ8" i="19"/>
  <c r="AZ27" i="19"/>
  <c r="AG4" i="19" s="1"/>
  <c r="AA27" i="19"/>
  <c r="BD27" i="19"/>
  <c r="AK4" i="19" s="1"/>
  <c r="AJ6" i="19"/>
  <c r="AJ18" i="19"/>
  <c r="AJ26" i="19"/>
  <c r="AJ20" i="19"/>
  <c r="AW20" i="19"/>
  <c r="AJ21" i="19"/>
  <c r="AW21" i="19"/>
  <c r="AJ23" i="19"/>
  <c r="AW23" i="19"/>
  <c r="AJ14" i="19"/>
  <c r="AW14" i="19"/>
  <c r="AJ9" i="19"/>
  <c r="AW9" i="19"/>
  <c r="AE9" i="19" s="1"/>
  <c r="AL9" i="19"/>
  <c r="AJ19" i="19"/>
  <c r="AW26" i="19" l="1"/>
  <c r="AH9" i="19"/>
  <c r="AL6" i="19"/>
  <c r="AW15" i="19"/>
  <c r="AW11" i="19"/>
  <c r="BB27" i="19"/>
  <c r="AI4" i="19" s="1"/>
  <c r="AW19" i="19"/>
  <c r="AW17" i="19"/>
  <c r="AH10" i="19"/>
  <c r="AW18" i="19"/>
  <c r="AW6" i="19"/>
  <c r="AW7" i="19"/>
  <c r="AE7" i="19" s="1"/>
  <c r="AW12" i="19"/>
  <c r="AH6" i="19"/>
  <c r="AW22" i="19"/>
  <c r="AH7" i="19"/>
  <c r="AW25" i="19"/>
  <c r="AW8" i="19"/>
  <c r="AE8" i="19" s="1"/>
  <c r="AW13" i="19"/>
  <c r="AW16" i="19"/>
  <c r="AE6" i="19" l="1"/>
  <c r="AW27" i="19"/>
  <c r="AD4" i="19" s="1"/>
  <c r="G58" i="17" l="1"/>
  <c r="O62" i="17"/>
  <c r="AE162" i="2" l="1"/>
  <c r="AE164" i="2" s="1"/>
  <c r="H36" i="12" l="1"/>
  <c r="H36" i="2" l="1"/>
  <c r="H40" i="12" l="1"/>
  <c r="K163" i="2" l="1"/>
  <c r="L163" i="2"/>
  <c r="M163" i="2"/>
  <c r="N163" i="2"/>
  <c r="O163" i="2"/>
  <c r="P163" i="2"/>
  <c r="Q163" i="2"/>
  <c r="R163" i="2"/>
  <c r="S163" i="2"/>
  <c r="T163" i="2"/>
  <c r="U163" i="2"/>
  <c r="V163" i="2"/>
  <c r="W163" i="2"/>
  <c r="X163" i="2"/>
  <c r="Y163" i="2"/>
  <c r="Z163" i="2"/>
  <c r="AA163" i="2"/>
  <c r="AB163" i="2"/>
  <c r="AC163" i="2"/>
  <c r="AD163" i="2"/>
  <c r="O49" i="17"/>
  <c r="J163" i="2" l="1"/>
  <c r="H163" i="2" s="1"/>
  <c r="H40" i="2"/>
  <c r="H5" i="1" l="1"/>
  <c r="I26" i="5" l="1"/>
  <c r="E64" i="26"/>
  <c r="E63" i="26"/>
  <c r="E58" i="26"/>
  <c r="P32" i="26"/>
  <c r="J32" i="26"/>
  <c r="P31" i="26"/>
  <c r="J31" i="26"/>
  <c r="P30" i="26"/>
  <c r="J30" i="26"/>
  <c r="R29" i="26"/>
  <c r="P29" i="26"/>
  <c r="J29" i="26"/>
  <c r="R28" i="26"/>
  <c r="P28" i="26"/>
  <c r="J28" i="26"/>
  <c r="R27" i="26"/>
  <c r="P27" i="26"/>
  <c r="J27" i="26"/>
  <c r="R26" i="26"/>
  <c r="P26" i="26"/>
  <c r="J26" i="26"/>
  <c r="R25" i="26"/>
  <c r="P25" i="26"/>
  <c r="J25" i="26"/>
  <c r="R24" i="26"/>
  <c r="P24" i="26"/>
  <c r="J24" i="26"/>
  <c r="R23" i="26"/>
  <c r="P23" i="26"/>
  <c r="J23" i="26"/>
  <c r="R22" i="26"/>
  <c r="P22" i="26"/>
  <c r="J22" i="26"/>
  <c r="R21" i="26"/>
  <c r="P21" i="26"/>
  <c r="J21" i="26"/>
  <c r="R20" i="26"/>
  <c r="P20" i="26"/>
  <c r="J20" i="26"/>
  <c r="R19" i="26"/>
  <c r="P19" i="26"/>
  <c r="J19" i="26"/>
  <c r="R18" i="26"/>
  <c r="P18" i="26"/>
  <c r="J18" i="26"/>
  <c r="R17" i="26"/>
  <c r="P17" i="26"/>
  <c r="J17" i="26"/>
  <c r="R16" i="26"/>
  <c r="P16" i="26"/>
  <c r="J16" i="26"/>
  <c r="R15" i="26"/>
  <c r="P15" i="26"/>
  <c r="J15" i="26"/>
  <c r="R14" i="26"/>
  <c r="P14" i="26"/>
  <c r="J14" i="26"/>
  <c r="R13" i="26"/>
  <c r="P13" i="26"/>
  <c r="J13" i="26"/>
  <c r="R12" i="26"/>
  <c r="P12" i="26"/>
  <c r="J12" i="26"/>
  <c r="R11" i="26"/>
  <c r="P11" i="26"/>
  <c r="J11" i="26"/>
  <c r="R10" i="26"/>
  <c r="S10" i="26" s="1"/>
  <c r="P10" i="26"/>
  <c r="J10" i="26"/>
  <c r="K7" i="26"/>
  <c r="C42" i="26" l="1"/>
  <c r="S11" i="26"/>
  <c r="S12" i="26" s="1"/>
  <c r="S13" i="26" s="1"/>
  <c r="S14" i="26" s="1"/>
  <c r="S15" i="26" s="1"/>
  <c r="S16" i="26" s="1"/>
  <c r="S17" i="26" s="1"/>
  <c r="S18" i="26" s="1"/>
  <c r="S19" i="26" s="1"/>
  <c r="S20" i="26" s="1"/>
  <c r="S21" i="26" s="1"/>
  <c r="S22" i="26" s="1"/>
  <c r="S23" i="26" s="1"/>
  <c r="S24" i="26" s="1"/>
  <c r="S25" i="26" s="1"/>
  <c r="S26" i="26" s="1"/>
  <c r="S27" i="26" s="1"/>
  <c r="S28" i="26" s="1"/>
  <c r="S29" i="26" s="1"/>
  <c r="C52" i="26"/>
  <c r="H33" i="26"/>
  <c r="J33" i="26"/>
  <c r="E61" i="26" s="1"/>
  <c r="G33" i="26"/>
  <c r="C44" i="26" l="1"/>
  <c r="F44" i="26" s="1"/>
  <c r="C53" i="26"/>
  <c r="F53" i="26" s="1"/>
  <c r="C48" i="26"/>
  <c r="E48" i="26" s="1"/>
  <c r="C46" i="26"/>
  <c r="E60" i="26"/>
  <c r="E62" i="26" s="1"/>
  <c r="K27" i="26"/>
  <c r="K22" i="26"/>
  <c r="K17" i="26"/>
  <c r="K15" i="26"/>
  <c r="H53" i="26"/>
  <c r="G53" i="26"/>
  <c r="E53" i="26"/>
  <c r="D53" i="26"/>
  <c r="K10" i="26"/>
  <c r="K11" i="26"/>
  <c r="E46" i="26"/>
  <c r="K28" i="26"/>
  <c r="K13" i="26"/>
  <c r="K26" i="26"/>
  <c r="K14" i="26"/>
  <c r="G48" i="26"/>
  <c r="F48" i="26"/>
  <c r="K21" i="26"/>
  <c r="K24" i="26"/>
  <c r="C49" i="26"/>
  <c r="H52" i="26"/>
  <c r="G52" i="26"/>
  <c r="F52" i="26"/>
  <c r="E52" i="26"/>
  <c r="D52" i="26"/>
  <c r="K18" i="26"/>
  <c r="K32" i="26"/>
  <c r="C47" i="26"/>
  <c r="K20" i="26"/>
  <c r="K23" i="26"/>
  <c r="K19" i="26"/>
  <c r="K30" i="26"/>
  <c r="G42" i="26"/>
  <c r="F42" i="26"/>
  <c r="E42" i="26"/>
  <c r="D42" i="26"/>
  <c r="K16" i="26"/>
  <c r="H48" i="26" s="1"/>
  <c r="C50" i="26"/>
  <c r="E59" i="26"/>
  <c r="K31" i="26"/>
  <c r="C45" i="26"/>
  <c r="K29" i="26"/>
  <c r="C43" i="26"/>
  <c r="K25" i="26"/>
  <c r="K12" i="26"/>
  <c r="C51" i="26"/>
  <c r="E65" i="26" l="1"/>
  <c r="H46" i="26"/>
  <c r="D46" i="26"/>
  <c r="D44" i="26"/>
  <c r="E44" i="26"/>
  <c r="G44" i="26"/>
  <c r="K33" i="26"/>
  <c r="D48" i="26"/>
  <c r="H44" i="26"/>
  <c r="F46" i="26"/>
  <c r="G46" i="26"/>
  <c r="H42" i="26"/>
  <c r="E51" i="26"/>
  <c r="D51" i="26"/>
  <c r="H51" i="26"/>
  <c r="G51" i="26"/>
  <c r="F51" i="26"/>
  <c r="H49" i="26"/>
  <c r="G49" i="26"/>
  <c r="F49" i="26"/>
  <c r="E49" i="26"/>
  <c r="D49" i="26"/>
  <c r="E43" i="26"/>
  <c r="D43" i="26"/>
  <c r="H43" i="26"/>
  <c r="G43" i="26"/>
  <c r="F43" i="26"/>
  <c r="H45" i="26"/>
  <c r="G45" i="26"/>
  <c r="F45" i="26"/>
  <c r="E45" i="26"/>
  <c r="D45" i="26"/>
  <c r="H50" i="26"/>
  <c r="G50" i="26"/>
  <c r="F50" i="26"/>
  <c r="E50" i="26"/>
  <c r="D50" i="26"/>
  <c r="H47" i="26"/>
  <c r="G47" i="26"/>
  <c r="F47" i="26"/>
  <c r="E47" i="26"/>
  <c r="D47" i="26"/>
  <c r="H65" i="26" l="1"/>
  <c r="F54" i="26"/>
  <c r="F55" i="26" s="1"/>
  <c r="G54" i="26"/>
  <c r="G55" i="26" s="1"/>
  <c r="E54" i="26"/>
  <c r="E55" i="26" s="1"/>
  <c r="H54" i="26"/>
  <c r="H55" i="26" s="1"/>
  <c r="E90" i="1" l="1"/>
  <c r="K42" i="24"/>
  <c r="E64" i="25"/>
  <c r="E63" i="25"/>
  <c r="E58" i="25"/>
  <c r="P32" i="25"/>
  <c r="J32" i="25"/>
  <c r="P31" i="25"/>
  <c r="J31" i="25"/>
  <c r="P30" i="25"/>
  <c r="J30" i="25"/>
  <c r="R29" i="25"/>
  <c r="P29" i="25"/>
  <c r="J29" i="25"/>
  <c r="R28" i="25"/>
  <c r="P28" i="25"/>
  <c r="J28" i="25"/>
  <c r="R27" i="25"/>
  <c r="P27" i="25"/>
  <c r="J27" i="25"/>
  <c r="R26" i="25"/>
  <c r="P26" i="25"/>
  <c r="J26" i="25"/>
  <c r="R25" i="25"/>
  <c r="P25" i="25"/>
  <c r="J25" i="25"/>
  <c r="R24" i="25"/>
  <c r="P24" i="25"/>
  <c r="J24" i="25"/>
  <c r="R23" i="25"/>
  <c r="P23" i="25"/>
  <c r="J23" i="25"/>
  <c r="R22" i="25"/>
  <c r="P22" i="25"/>
  <c r="J22" i="25"/>
  <c r="R21" i="25"/>
  <c r="P21" i="25"/>
  <c r="J21" i="25"/>
  <c r="R20" i="25"/>
  <c r="P20" i="25"/>
  <c r="J20" i="25"/>
  <c r="R19" i="25"/>
  <c r="P19" i="25"/>
  <c r="J19" i="25"/>
  <c r="R18" i="25"/>
  <c r="P18" i="25"/>
  <c r="J18" i="25"/>
  <c r="R17" i="25"/>
  <c r="P17" i="25"/>
  <c r="J17" i="25"/>
  <c r="R16" i="25"/>
  <c r="P16" i="25"/>
  <c r="J16" i="25"/>
  <c r="R15" i="25"/>
  <c r="P15" i="25"/>
  <c r="J15" i="25"/>
  <c r="R14" i="25"/>
  <c r="P14" i="25"/>
  <c r="J14" i="25"/>
  <c r="R13" i="25"/>
  <c r="P13" i="25"/>
  <c r="J13" i="25"/>
  <c r="R12" i="25"/>
  <c r="P12" i="25"/>
  <c r="J12" i="25"/>
  <c r="R11" i="25"/>
  <c r="P11" i="25"/>
  <c r="J11" i="25"/>
  <c r="R10" i="25"/>
  <c r="S10" i="25" s="1"/>
  <c r="P10" i="25"/>
  <c r="J10" i="25"/>
  <c r="K7" i="25"/>
  <c r="J33" i="25" l="1"/>
  <c r="E61" i="25" s="1"/>
  <c r="C46" i="25"/>
  <c r="C43" i="25"/>
  <c r="S11" i="25"/>
  <c r="S12" i="25" s="1"/>
  <c r="S13" i="25" s="1"/>
  <c r="S14" i="25" s="1"/>
  <c r="S15" i="25" s="1"/>
  <c r="S16" i="25" s="1"/>
  <c r="S17" i="25" s="1"/>
  <c r="S18" i="25" s="1"/>
  <c r="S19" i="25" s="1"/>
  <c r="S20" i="25" s="1"/>
  <c r="S21" i="25" s="1"/>
  <c r="S22" i="25" s="1"/>
  <c r="S23" i="25" s="1"/>
  <c r="S24" i="25" s="1"/>
  <c r="S25" i="25" s="1"/>
  <c r="S26" i="25" s="1"/>
  <c r="S27" i="25" s="1"/>
  <c r="S28" i="25" s="1"/>
  <c r="S29" i="25" s="1"/>
  <c r="C42" i="25"/>
  <c r="H33" i="25"/>
  <c r="K28" i="25" s="1"/>
  <c r="C44" i="25"/>
  <c r="G33" i="25"/>
  <c r="C52" i="25" l="1"/>
  <c r="D52" i="25" s="1"/>
  <c r="C49" i="25"/>
  <c r="G49" i="25" s="1"/>
  <c r="C47" i="25"/>
  <c r="C50" i="25"/>
  <c r="C53" i="25"/>
  <c r="H53" i="25" s="1"/>
  <c r="C48" i="25"/>
  <c r="F48" i="25" s="1"/>
  <c r="E59" i="25"/>
  <c r="K13" i="25"/>
  <c r="G44" i="25"/>
  <c r="F44" i="25"/>
  <c r="E44" i="25"/>
  <c r="D44" i="25"/>
  <c r="K20" i="25"/>
  <c r="F52" i="25"/>
  <c r="E52" i="25"/>
  <c r="K24" i="25"/>
  <c r="G47" i="25"/>
  <c r="F47" i="25"/>
  <c r="E47" i="25"/>
  <c r="D47" i="25"/>
  <c r="K23" i="25"/>
  <c r="K11" i="25"/>
  <c r="H43" i="25" s="1"/>
  <c r="G42" i="25"/>
  <c r="F42" i="25"/>
  <c r="E42" i="25"/>
  <c r="D42" i="25"/>
  <c r="K30" i="25"/>
  <c r="G50" i="25"/>
  <c r="F50" i="25"/>
  <c r="E50" i="25"/>
  <c r="D50" i="25"/>
  <c r="K32" i="25"/>
  <c r="E46" i="25"/>
  <c r="D46" i="25"/>
  <c r="G46" i="25"/>
  <c r="F46" i="25"/>
  <c r="K14" i="25"/>
  <c r="K12" i="25"/>
  <c r="H44" i="25" s="1"/>
  <c r="K25" i="25"/>
  <c r="K21" i="25"/>
  <c r="E60" i="25"/>
  <c r="E62" i="25" s="1"/>
  <c r="K29" i="25"/>
  <c r="K17" i="25"/>
  <c r="C45" i="25"/>
  <c r="K15" i="25"/>
  <c r="K26" i="25"/>
  <c r="K18" i="25"/>
  <c r="K16" i="25"/>
  <c r="K27" i="25"/>
  <c r="E43" i="25"/>
  <c r="D43" i="25"/>
  <c r="G43" i="25"/>
  <c r="F43" i="25"/>
  <c r="K10" i="25"/>
  <c r="H42" i="25" s="1"/>
  <c r="G48" i="25"/>
  <c r="K31" i="25"/>
  <c r="K22" i="25"/>
  <c r="C51" i="25"/>
  <c r="K19" i="25"/>
  <c r="H46" i="25" l="1"/>
  <c r="E65" i="25"/>
  <c r="H65" i="25" s="1"/>
  <c r="F53" i="25"/>
  <c r="H50" i="25"/>
  <c r="G52" i="25"/>
  <c r="H47" i="25"/>
  <c r="H52" i="25"/>
  <c r="D53" i="25"/>
  <c r="E49" i="25"/>
  <c r="D49" i="25"/>
  <c r="H48" i="25"/>
  <c r="E53" i="25"/>
  <c r="F49" i="25"/>
  <c r="E48" i="25"/>
  <c r="G53" i="25"/>
  <c r="D48" i="25"/>
  <c r="H49" i="25"/>
  <c r="E51" i="25"/>
  <c r="F51" i="25"/>
  <c r="D51" i="25"/>
  <c r="G51" i="25"/>
  <c r="H51" i="25"/>
  <c r="K33" i="25"/>
  <c r="H45" i="25"/>
  <c r="G45" i="25"/>
  <c r="F45" i="25"/>
  <c r="E45" i="25"/>
  <c r="D45" i="25"/>
  <c r="E54" i="25" l="1"/>
  <c r="E55" i="25" s="1"/>
  <c r="F54" i="25"/>
  <c r="F55" i="25" s="1"/>
  <c r="H54" i="25"/>
  <c r="H55" i="25" s="1"/>
  <c r="G54" i="25"/>
  <c r="G55" i="25" s="1"/>
  <c r="F171" i="1" l="1"/>
  <c r="G171" i="1"/>
  <c r="H171" i="1"/>
  <c r="I171" i="1"/>
  <c r="J171" i="1"/>
  <c r="K156" i="1"/>
  <c r="F156" i="1"/>
  <c r="G156" i="1"/>
  <c r="H156" i="1"/>
  <c r="I156" i="1"/>
  <c r="J156" i="1"/>
  <c r="L140" i="1"/>
  <c r="H140" i="1"/>
  <c r="I140" i="1"/>
  <c r="J140" i="1"/>
  <c r="K140" i="1"/>
  <c r="G140" i="1"/>
  <c r="E62" i="24" l="1"/>
  <c r="J7" i="5" s="1"/>
  <c r="J8" i="5" s="1"/>
  <c r="E59" i="22"/>
  <c r="H6" i="5"/>
  <c r="E64" i="24"/>
  <c r="E63" i="24"/>
  <c r="E58" i="24"/>
  <c r="P30" i="24"/>
  <c r="J30" i="24"/>
  <c r="R29" i="24"/>
  <c r="P29" i="24"/>
  <c r="J29" i="24"/>
  <c r="R28" i="24"/>
  <c r="P28" i="24"/>
  <c r="J28" i="24"/>
  <c r="R27" i="24"/>
  <c r="P27" i="24"/>
  <c r="J27" i="24"/>
  <c r="R26" i="24"/>
  <c r="P26" i="24"/>
  <c r="J26" i="24"/>
  <c r="R25" i="24"/>
  <c r="P25" i="24"/>
  <c r="J25" i="24"/>
  <c r="R24" i="24"/>
  <c r="P24" i="24"/>
  <c r="J24" i="24"/>
  <c r="R23" i="24"/>
  <c r="P23" i="24"/>
  <c r="J23" i="24"/>
  <c r="R22" i="24"/>
  <c r="P22" i="24"/>
  <c r="J22" i="24"/>
  <c r="R21" i="24"/>
  <c r="P21" i="24"/>
  <c r="J21" i="24"/>
  <c r="R20" i="24"/>
  <c r="P20" i="24"/>
  <c r="J20" i="24"/>
  <c r="R19" i="24"/>
  <c r="P19" i="24"/>
  <c r="J19" i="24"/>
  <c r="R18" i="24"/>
  <c r="P18" i="24"/>
  <c r="J18" i="24"/>
  <c r="R17" i="24"/>
  <c r="P17" i="24"/>
  <c r="J17" i="24"/>
  <c r="R16" i="24"/>
  <c r="P16" i="24"/>
  <c r="J16" i="24"/>
  <c r="R15" i="24"/>
  <c r="P15" i="24"/>
  <c r="J15" i="24"/>
  <c r="R14" i="24"/>
  <c r="P14" i="24"/>
  <c r="G31" i="24"/>
  <c r="E59" i="24" s="1"/>
  <c r="R13" i="24"/>
  <c r="P13" i="24"/>
  <c r="J13" i="24"/>
  <c r="R12" i="24"/>
  <c r="P12" i="24"/>
  <c r="J12" i="24"/>
  <c r="R11" i="24"/>
  <c r="P11" i="24"/>
  <c r="J11" i="24"/>
  <c r="S10" i="24"/>
  <c r="R10" i="24"/>
  <c r="P10" i="24"/>
  <c r="J10" i="24"/>
  <c r="K7" i="24"/>
  <c r="I65" i="1" l="1"/>
  <c r="I29" i="5"/>
  <c r="J31" i="24"/>
  <c r="E61" i="24" s="1"/>
  <c r="S11" i="24"/>
  <c r="J14" i="24"/>
  <c r="H31" i="24"/>
  <c r="E60" i="24" s="1"/>
  <c r="C42" i="24"/>
  <c r="G42" i="24" l="1"/>
  <c r="F42" i="24"/>
  <c r="E42" i="24"/>
  <c r="D42" i="24"/>
  <c r="K26" i="24"/>
  <c r="K16" i="24"/>
  <c r="K19" i="24"/>
  <c r="K17" i="24"/>
  <c r="K14" i="24"/>
  <c r="K30" i="24"/>
  <c r="E65" i="24"/>
  <c r="K12" i="24"/>
  <c r="K28" i="24"/>
  <c r="K27" i="24"/>
  <c r="K10" i="24"/>
  <c r="K31" i="24" s="1"/>
  <c r="K23" i="24"/>
  <c r="K13" i="24"/>
  <c r="K29" i="24"/>
  <c r="K25" i="24"/>
  <c r="K24" i="24"/>
  <c r="K15" i="24"/>
  <c r="K21" i="24"/>
  <c r="S12" i="24"/>
  <c r="C43" i="24"/>
  <c r="K11" i="24"/>
  <c r="K22" i="24"/>
  <c r="K18" i="24"/>
  <c r="K20" i="24"/>
  <c r="H65" i="24" l="1"/>
  <c r="H42" i="24"/>
  <c r="H43" i="24"/>
  <c r="G43" i="24"/>
  <c r="F43" i="24"/>
  <c r="E43" i="24"/>
  <c r="D43" i="24"/>
  <c r="S13" i="24"/>
  <c r="C45" i="24"/>
  <c r="C44" i="24"/>
  <c r="F45" i="24" l="1"/>
  <c r="E45" i="24"/>
  <c r="D45" i="24"/>
  <c r="G45" i="24"/>
  <c r="H45" i="24"/>
  <c r="S14" i="24"/>
  <c r="H44" i="24"/>
  <c r="G44" i="24"/>
  <c r="F44" i="24"/>
  <c r="E44" i="24"/>
  <c r="D44" i="24"/>
  <c r="S15" i="24" l="1"/>
  <c r="C46" i="24"/>
  <c r="C47" i="24"/>
  <c r="H46" i="24" l="1"/>
  <c r="G46" i="24"/>
  <c r="F46" i="24"/>
  <c r="E46" i="24"/>
  <c r="D46" i="24"/>
  <c r="H47" i="24"/>
  <c r="G47" i="24"/>
  <c r="F47" i="24"/>
  <c r="E47" i="24"/>
  <c r="D47" i="24"/>
  <c r="S16" i="24"/>
  <c r="S17" i="24" l="1"/>
  <c r="S18" i="24" s="1"/>
  <c r="S19" i="24" s="1"/>
  <c r="S20" i="24" s="1"/>
  <c r="S21" i="24" s="1"/>
  <c r="S22" i="24" s="1"/>
  <c r="S23" i="24" s="1"/>
  <c r="S24" i="24" s="1"/>
  <c r="S25" i="24" s="1"/>
  <c r="S26" i="24" s="1"/>
  <c r="S27" i="24" s="1"/>
  <c r="S28" i="24" s="1"/>
  <c r="S29" i="24" s="1"/>
  <c r="C52" i="24"/>
  <c r="C48" i="24"/>
  <c r="C49" i="24"/>
  <c r="C51" i="24"/>
  <c r="C50" i="24"/>
  <c r="H51" i="24" l="1"/>
  <c r="G51" i="24"/>
  <c r="F51" i="24"/>
  <c r="E51" i="24"/>
  <c r="D51" i="24"/>
  <c r="H49" i="24"/>
  <c r="G49" i="24"/>
  <c r="F49" i="24"/>
  <c r="E49" i="24"/>
  <c r="D49" i="24"/>
  <c r="D48" i="24"/>
  <c r="H48" i="24"/>
  <c r="G48" i="24"/>
  <c r="F48" i="24"/>
  <c r="E48" i="24"/>
  <c r="H52" i="24"/>
  <c r="G52" i="24"/>
  <c r="F52" i="24"/>
  <c r="E52" i="24"/>
  <c r="D52" i="24"/>
  <c r="G50" i="24"/>
  <c r="F50" i="24"/>
  <c r="E50" i="24"/>
  <c r="D50" i="24"/>
  <c r="H50" i="24"/>
  <c r="C53" i="24"/>
  <c r="E53" i="24" l="1"/>
  <c r="E54" i="24" s="1"/>
  <c r="D53" i="24"/>
  <c r="F53" i="24"/>
  <c r="F54" i="24" s="1"/>
  <c r="H53" i="24"/>
  <c r="H54" i="24" s="1"/>
  <c r="G53" i="24"/>
  <c r="G54" i="24" s="1"/>
  <c r="T160" i="1" l="1"/>
  <c r="T161" i="1"/>
  <c r="H62" i="22"/>
  <c r="E61" i="22"/>
  <c r="E60" i="22"/>
  <c r="E55" i="22"/>
  <c r="P30" i="22"/>
  <c r="J30" i="22"/>
  <c r="R29" i="22"/>
  <c r="P29" i="22"/>
  <c r="J29" i="22"/>
  <c r="R28" i="22"/>
  <c r="P28" i="22"/>
  <c r="J28" i="22"/>
  <c r="R27" i="22"/>
  <c r="P27" i="22"/>
  <c r="J27" i="22"/>
  <c r="R26" i="22"/>
  <c r="P26" i="22"/>
  <c r="J26" i="22"/>
  <c r="R25" i="22"/>
  <c r="P25" i="22"/>
  <c r="J25" i="22"/>
  <c r="R24" i="22"/>
  <c r="P24" i="22"/>
  <c r="J24" i="22"/>
  <c r="R23" i="22"/>
  <c r="P23" i="22"/>
  <c r="J23" i="22"/>
  <c r="R22" i="22"/>
  <c r="P22" i="22"/>
  <c r="J22" i="22"/>
  <c r="R21" i="22"/>
  <c r="P21" i="22"/>
  <c r="J21" i="22"/>
  <c r="R20" i="22"/>
  <c r="P20" i="22"/>
  <c r="J20" i="22"/>
  <c r="R19" i="22"/>
  <c r="P19" i="22"/>
  <c r="J19" i="22"/>
  <c r="R18" i="22"/>
  <c r="P18" i="22"/>
  <c r="J18" i="22"/>
  <c r="R17" i="22"/>
  <c r="P17" i="22"/>
  <c r="J17" i="22"/>
  <c r="R16" i="22"/>
  <c r="P16" i="22"/>
  <c r="J16" i="22"/>
  <c r="R15" i="22"/>
  <c r="P15" i="22"/>
  <c r="J15" i="22"/>
  <c r="R14" i="22"/>
  <c r="P14" i="22"/>
  <c r="J14" i="22"/>
  <c r="R13" i="22"/>
  <c r="P13" i="22"/>
  <c r="J13" i="22"/>
  <c r="R12" i="22"/>
  <c r="P12" i="22"/>
  <c r="J12" i="22"/>
  <c r="R11" i="22"/>
  <c r="P11" i="22"/>
  <c r="J11" i="22"/>
  <c r="R10" i="22"/>
  <c r="S10" i="22" s="1"/>
  <c r="P10" i="22"/>
  <c r="J10" i="22"/>
  <c r="J31" i="22" s="1"/>
  <c r="E58" i="22" s="1"/>
  <c r="H31" i="22"/>
  <c r="G31" i="22"/>
  <c r="E56" i="22" s="1"/>
  <c r="K7" i="22"/>
  <c r="K28" i="22" l="1"/>
  <c r="K20" i="22"/>
  <c r="K29" i="22"/>
  <c r="K24" i="22"/>
  <c r="K17" i="22"/>
  <c r="K25" i="22"/>
  <c r="K14" i="22"/>
  <c r="K18" i="22"/>
  <c r="K13" i="22"/>
  <c r="K21" i="22"/>
  <c r="C39" i="22"/>
  <c r="S11" i="22"/>
  <c r="S12" i="22" s="1"/>
  <c r="S13" i="22" s="1"/>
  <c r="S14" i="22" s="1"/>
  <c r="S15" i="22" s="1"/>
  <c r="S16" i="22" s="1"/>
  <c r="S17" i="22" s="1"/>
  <c r="S18" i="22" s="1"/>
  <c r="S19" i="22" s="1"/>
  <c r="S20" i="22" s="1"/>
  <c r="S21" i="22" s="1"/>
  <c r="S22" i="22" s="1"/>
  <c r="S23" i="22" s="1"/>
  <c r="S24" i="22" s="1"/>
  <c r="S25" i="22" s="1"/>
  <c r="S26" i="22" s="1"/>
  <c r="S27" i="22" s="1"/>
  <c r="S28" i="22" s="1"/>
  <c r="S29" i="22" s="1"/>
  <c r="C43" i="22"/>
  <c r="K22" i="22"/>
  <c r="K11" i="22"/>
  <c r="K26" i="22"/>
  <c r="K30" i="22"/>
  <c r="K15" i="22"/>
  <c r="K23" i="22"/>
  <c r="E57" i="22"/>
  <c r="E62" i="22" s="1"/>
  <c r="K19" i="22"/>
  <c r="K12" i="22"/>
  <c r="K27" i="22"/>
  <c r="K16" i="22"/>
  <c r="K10" i="22"/>
  <c r="K31" i="22" l="1"/>
  <c r="H39" i="22"/>
  <c r="G39" i="22"/>
  <c r="F39" i="22"/>
  <c r="E39" i="22"/>
  <c r="D39" i="22"/>
  <c r="C47" i="22"/>
  <c r="C42" i="22"/>
  <c r="C45" i="22"/>
  <c r="C40" i="22"/>
  <c r="C48" i="22"/>
  <c r="H43" i="22"/>
  <c r="G43" i="22"/>
  <c r="F43" i="22"/>
  <c r="E43" i="22"/>
  <c r="D43" i="22"/>
  <c r="C50" i="22"/>
  <c r="K42" i="22"/>
  <c r="C46" i="22"/>
  <c r="C41" i="22"/>
  <c r="C49" i="22"/>
  <c r="C44" i="22"/>
  <c r="H48" i="22" l="1"/>
  <c r="G48" i="22"/>
  <c r="F48" i="22"/>
  <c r="E48" i="22"/>
  <c r="D48" i="22"/>
  <c r="H40" i="22"/>
  <c r="G40" i="22"/>
  <c r="F40" i="22"/>
  <c r="E40" i="22"/>
  <c r="D40" i="22"/>
  <c r="H45" i="22"/>
  <c r="G45" i="22"/>
  <c r="F45" i="22"/>
  <c r="E45" i="22"/>
  <c r="D45" i="22"/>
  <c r="F42" i="22"/>
  <c r="E42" i="22"/>
  <c r="D42" i="22"/>
  <c r="H42" i="22"/>
  <c r="G42" i="22"/>
  <c r="E50" i="22"/>
  <c r="D50" i="22"/>
  <c r="H50" i="22"/>
  <c r="G50" i="22"/>
  <c r="F50" i="22"/>
  <c r="G47" i="22"/>
  <c r="F47" i="22"/>
  <c r="E47" i="22"/>
  <c r="D47" i="22"/>
  <c r="H47" i="22"/>
  <c r="H44" i="22"/>
  <c r="G44" i="22"/>
  <c r="F44" i="22"/>
  <c r="E44" i="22"/>
  <c r="D44" i="22"/>
  <c r="H49" i="22"/>
  <c r="G49" i="22"/>
  <c r="F49" i="22"/>
  <c r="E49" i="22"/>
  <c r="D49" i="22"/>
  <c r="H41" i="22"/>
  <c r="G41" i="22"/>
  <c r="F41" i="22"/>
  <c r="E41" i="22"/>
  <c r="D41" i="22"/>
  <c r="H46" i="22"/>
  <c r="G46" i="22"/>
  <c r="F46" i="22"/>
  <c r="E46" i="22"/>
  <c r="D46" i="22"/>
  <c r="H51" i="22" l="1"/>
  <c r="F51" i="22"/>
  <c r="G51" i="22"/>
  <c r="E51" i="22"/>
  <c r="R101" i="14" l="1"/>
  <c r="R94" i="14"/>
  <c r="R93" i="14"/>
  <c r="Q93" i="14"/>
  <c r="I28" i="5" l="1"/>
  <c r="I27" i="5"/>
  <c r="E6" i="5"/>
  <c r="E5" i="5"/>
  <c r="G65" i="1" l="1"/>
  <c r="E61" i="21" l="1"/>
  <c r="E60" i="21"/>
  <c r="E55" i="21"/>
  <c r="P30" i="21"/>
  <c r="R29" i="21"/>
  <c r="P29" i="21"/>
  <c r="J29" i="21"/>
  <c r="R28" i="21"/>
  <c r="P28" i="21"/>
  <c r="J28" i="21"/>
  <c r="R27" i="21"/>
  <c r="P27" i="21"/>
  <c r="J27" i="21"/>
  <c r="R26" i="21"/>
  <c r="P26" i="21"/>
  <c r="J26" i="21"/>
  <c r="R25" i="21"/>
  <c r="P25" i="21"/>
  <c r="J25" i="21"/>
  <c r="R24" i="21"/>
  <c r="P24" i="21"/>
  <c r="J24" i="21"/>
  <c r="R23" i="21"/>
  <c r="P23" i="21"/>
  <c r="J23" i="21"/>
  <c r="R22" i="21"/>
  <c r="P22" i="21"/>
  <c r="J22" i="21"/>
  <c r="R21" i="21"/>
  <c r="P21" i="21"/>
  <c r="J21" i="21"/>
  <c r="R20" i="21"/>
  <c r="P20" i="21"/>
  <c r="J20" i="21"/>
  <c r="R19" i="21"/>
  <c r="P19" i="21"/>
  <c r="J19" i="21"/>
  <c r="R18" i="21"/>
  <c r="P18" i="21"/>
  <c r="J18" i="21"/>
  <c r="R17" i="21"/>
  <c r="P17" i="21"/>
  <c r="J17" i="21"/>
  <c r="R16" i="21"/>
  <c r="P16" i="21"/>
  <c r="J16" i="21"/>
  <c r="R15" i="21"/>
  <c r="P15" i="21"/>
  <c r="R14" i="21"/>
  <c r="P14" i="21"/>
  <c r="R13" i="21"/>
  <c r="P13" i="21"/>
  <c r="J13" i="21"/>
  <c r="R12" i="21"/>
  <c r="P12" i="21"/>
  <c r="R11" i="21"/>
  <c r="P11" i="21"/>
  <c r="J11" i="21"/>
  <c r="R10" i="21"/>
  <c r="S10" i="21" s="1"/>
  <c r="P10" i="21"/>
  <c r="G31" i="21"/>
  <c r="E56" i="21" s="1"/>
  <c r="K7" i="21"/>
  <c r="J10" i="21" l="1"/>
  <c r="J14" i="21"/>
  <c r="J15" i="21"/>
  <c r="J30" i="21"/>
  <c r="J12" i="21"/>
  <c r="J31" i="21"/>
  <c r="E58" i="21" s="1"/>
  <c r="C42" i="21"/>
  <c r="C39" i="21"/>
  <c r="C44" i="21"/>
  <c r="S11" i="21"/>
  <c r="S12" i="21" s="1"/>
  <c r="S13" i="21" s="1"/>
  <c r="S14" i="21" s="1"/>
  <c r="S15" i="21" s="1"/>
  <c r="S16" i="21" s="1"/>
  <c r="S17" i="21" s="1"/>
  <c r="S18" i="21" s="1"/>
  <c r="S19" i="21" s="1"/>
  <c r="S20" i="21" s="1"/>
  <c r="S21" i="21" s="1"/>
  <c r="S22" i="21" s="1"/>
  <c r="S23" i="21" s="1"/>
  <c r="S24" i="21" s="1"/>
  <c r="S25" i="21" s="1"/>
  <c r="S26" i="21" s="1"/>
  <c r="S27" i="21" s="1"/>
  <c r="S28" i="21" s="1"/>
  <c r="S29" i="21" s="1"/>
  <c r="C43" i="21"/>
  <c r="C40" i="21"/>
  <c r="H31" i="21"/>
  <c r="K25" i="21" s="1"/>
  <c r="C47" i="21" l="1"/>
  <c r="C50" i="21"/>
  <c r="E50" i="21" s="1"/>
  <c r="C45" i="21"/>
  <c r="F45" i="21" s="1"/>
  <c r="G39" i="21"/>
  <c r="F39" i="21"/>
  <c r="E39" i="21"/>
  <c r="D39" i="21"/>
  <c r="D50" i="21"/>
  <c r="H50" i="21"/>
  <c r="G50" i="21"/>
  <c r="F50" i="21"/>
  <c r="G47" i="21"/>
  <c r="F47" i="21"/>
  <c r="E47" i="21"/>
  <c r="D47" i="21"/>
  <c r="H47" i="21"/>
  <c r="K23" i="21"/>
  <c r="K21" i="21"/>
  <c r="K10" i="21"/>
  <c r="K28" i="21"/>
  <c r="G40" i="21"/>
  <c r="F40" i="21"/>
  <c r="E40" i="21"/>
  <c r="D40" i="21"/>
  <c r="K26" i="21"/>
  <c r="G45" i="21"/>
  <c r="E45" i="21"/>
  <c r="D45" i="21"/>
  <c r="K13" i="21"/>
  <c r="H42" i="21" s="1"/>
  <c r="K15" i="21"/>
  <c r="H44" i="21" s="1"/>
  <c r="G43" i="21"/>
  <c r="F43" i="21"/>
  <c r="E43" i="21"/>
  <c r="D43" i="21"/>
  <c r="K29" i="21"/>
  <c r="G44" i="21"/>
  <c r="F44" i="21"/>
  <c r="E44" i="21"/>
  <c r="D44" i="21"/>
  <c r="K16" i="21"/>
  <c r="K12" i="21"/>
  <c r="K14" i="21"/>
  <c r="H43" i="21" s="1"/>
  <c r="K30" i="21"/>
  <c r="C46" i="21"/>
  <c r="E57" i="21"/>
  <c r="E59" i="21" s="1"/>
  <c r="E62" i="21" s="1"/>
  <c r="H62" i="21" s="1"/>
  <c r="K19" i="21"/>
  <c r="K20" i="21"/>
  <c r="C41" i="21"/>
  <c r="K11" i="21"/>
  <c r="H40" i="21" s="1"/>
  <c r="E42" i="21"/>
  <c r="D42" i="21"/>
  <c r="G42" i="21"/>
  <c r="F42" i="21"/>
  <c r="K27" i="21"/>
  <c r="K18" i="21"/>
  <c r="H45" i="21" s="1"/>
  <c r="C48" i="21"/>
  <c r="K24" i="21"/>
  <c r="K22" i="21"/>
  <c r="C49" i="21"/>
  <c r="K17" i="21"/>
  <c r="K31" i="21" l="1"/>
  <c r="H48" i="21"/>
  <c r="G48" i="21"/>
  <c r="F48" i="21"/>
  <c r="E48" i="21"/>
  <c r="D48" i="21"/>
  <c r="H41" i="21"/>
  <c r="G41" i="21"/>
  <c r="F41" i="21"/>
  <c r="E41" i="21"/>
  <c r="D41" i="21"/>
  <c r="H39" i="21"/>
  <c r="H49" i="21"/>
  <c r="G49" i="21"/>
  <c r="G51" i="21" s="1"/>
  <c r="F49" i="21"/>
  <c r="E49" i="21"/>
  <c r="D49" i="21"/>
  <c r="H46" i="21"/>
  <c r="G46" i="21"/>
  <c r="F46" i="21"/>
  <c r="E46" i="21"/>
  <c r="D46" i="21"/>
  <c r="E51" i="21" l="1"/>
  <c r="F51" i="21"/>
  <c r="H51" i="21"/>
  <c r="Q101" i="14" l="1"/>
  <c r="Q94" i="14"/>
  <c r="C105" i="1" l="1"/>
  <c r="D4" i="1" l="1"/>
  <c r="D14" i="1"/>
  <c r="M7" i="5"/>
  <c r="C9" i="5"/>
  <c r="D29" i="1"/>
  <c r="C120" i="1"/>
  <c r="C121" i="1" s="1"/>
  <c r="D61" i="20" l="1"/>
  <c r="D60" i="20"/>
  <c r="D55" i="20"/>
  <c r="Q29" i="20"/>
  <c r="O29" i="20"/>
  <c r="I29" i="20"/>
  <c r="Q28" i="20"/>
  <c r="O28" i="20"/>
  <c r="I28" i="20"/>
  <c r="Q27" i="20"/>
  <c r="O27" i="20"/>
  <c r="I27" i="20"/>
  <c r="Q26" i="20"/>
  <c r="O26" i="20"/>
  <c r="I26" i="20"/>
  <c r="Q25" i="20"/>
  <c r="O25" i="20"/>
  <c r="I25" i="20"/>
  <c r="Q24" i="20"/>
  <c r="O24" i="20"/>
  <c r="I24" i="20"/>
  <c r="Q23" i="20"/>
  <c r="O23" i="20"/>
  <c r="I23" i="20"/>
  <c r="Q22" i="20"/>
  <c r="O22" i="20"/>
  <c r="I22" i="20"/>
  <c r="Q21" i="20"/>
  <c r="O21" i="20"/>
  <c r="I21" i="20"/>
  <c r="Q20" i="20"/>
  <c r="O20" i="20"/>
  <c r="I20" i="20"/>
  <c r="Q19" i="20"/>
  <c r="O19" i="20"/>
  <c r="I19" i="20"/>
  <c r="Q18" i="20"/>
  <c r="O18" i="20"/>
  <c r="I18" i="20"/>
  <c r="Q17" i="20"/>
  <c r="O17" i="20"/>
  <c r="I17" i="20"/>
  <c r="Q16" i="20"/>
  <c r="O16" i="20"/>
  <c r="I16" i="20"/>
  <c r="Q15" i="20"/>
  <c r="O15" i="20"/>
  <c r="I15" i="20"/>
  <c r="Q14" i="20"/>
  <c r="O14" i="20"/>
  <c r="I14" i="20"/>
  <c r="Q13" i="20"/>
  <c r="O13" i="20"/>
  <c r="I13" i="20"/>
  <c r="Q12" i="20"/>
  <c r="O12" i="20"/>
  <c r="I12" i="20"/>
  <c r="Q11" i="20"/>
  <c r="O11" i="20"/>
  <c r="I11" i="20"/>
  <c r="Q10" i="20"/>
  <c r="R10" i="20" s="1"/>
  <c r="O10" i="20"/>
  <c r="G30" i="20"/>
  <c r="D57" i="20" s="1"/>
  <c r="F30" i="20"/>
  <c r="D56" i="20" s="1"/>
  <c r="J7" i="20"/>
  <c r="J24" i="20" l="1"/>
  <c r="J26" i="20"/>
  <c r="J20" i="20"/>
  <c r="J25" i="20"/>
  <c r="J27" i="20"/>
  <c r="J18" i="20"/>
  <c r="J17" i="20"/>
  <c r="J11" i="20"/>
  <c r="J21" i="20"/>
  <c r="J15" i="20"/>
  <c r="J19" i="20"/>
  <c r="J22" i="20"/>
  <c r="J28" i="20"/>
  <c r="B43" i="20"/>
  <c r="B48" i="20"/>
  <c r="B40" i="20"/>
  <c r="R11" i="20"/>
  <c r="R12" i="20" s="1"/>
  <c r="R13" i="20" s="1"/>
  <c r="R14" i="20" s="1"/>
  <c r="R15" i="20" s="1"/>
  <c r="R16" i="20" s="1"/>
  <c r="R17" i="20" s="1"/>
  <c r="R18" i="20" s="1"/>
  <c r="R19" i="20" s="1"/>
  <c r="R20" i="20" s="1"/>
  <c r="R21" i="20" s="1"/>
  <c r="R22" i="20" s="1"/>
  <c r="R23" i="20" s="1"/>
  <c r="R24" i="20" s="1"/>
  <c r="R25" i="20" s="1"/>
  <c r="R26" i="20" s="1"/>
  <c r="R27" i="20" s="1"/>
  <c r="R28" i="20" s="1"/>
  <c r="R29" i="20" s="1"/>
  <c r="B39" i="20"/>
  <c r="B44" i="20"/>
  <c r="B41" i="20"/>
  <c r="B49" i="20"/>
  <c r="B46" i="20"/>
  <c r="B38" i="20"/>
  <c r="J14" i="20"/>
  <c r="J12" i="20"/>
  <c r="J13" i="20"/>
  <c r="J16" i="20"/>
  <c r="J23" i="20"/>
  <c r="J29" i="20"/>
  <c r="I10" i="20"/>
  <c r="F38" i="20" l="1"/>
  <c r="E38" i="20"/>
  <c r="C38" i="20"/>
  <c r="D38" i="20"/>
  <c r="G43" i="20"/>
  <c r="E43" i="20"/>
  <c r="F43" i="20"/>
  <c r="D43" i="20"/>
  <c r="C43" i="20"/>
  <c r="G49" i="20"/>
  <c r="F49" i="20"/>
  <c r="E49" i="20"/>
  <c r="D49" i="20"/>
  <c r="C49" i="20"/>
  <c r="G41" i="20"/>
  <c r="F41" i="20"/>
  <c r="E41" i="20"/>
  <c r="D41" i="20"/>
  <c r="C41" i="20"/>
  <c r="D48" i="20"/>
  <c r="C48" i="20"/>
  <c r="G48" i="20"/>
  <c r="F48" i="20"/>
  <c r="E48" i="20"/>
  <c r="G39" i="20"/>
  <c r="F39" i="20"/>
  <c r="E39" i="20"/>
  <c r="D39" i="20"/>
  <c r="C39" i="20"/>
  <c r="G46" i="20"/>
  <c r="F46" i="20"/>
  <c r="E46" i="20"/>
  <c r="D46" i="20"/>
  <c r="C46" i="20"/>
  <c r="B47" i="20"/>
  <c r="G44" i="20"/>
  <c r="F44" i="20"/>
  <c r="E44" i="20"/>
  <c r="D44" i="20"/>
  <c r="C44" i="20"/>
  <c r="B42" i="20"/>
  <c r="B45" i="20"/>
  <c r="I30" i="20"/>
  <c r="D58" i="20" s="1"/>
  <c r="D59" i="20" s="1"/>
  <c r="J10" i="20"/>
  <c r="J30" i="20" s="1"/>
  <c r="D40" i="20"/>
  <c r="C40" i="20"/>
  <c r="G40" i="20"/>
  <c r="F40" i="20"/>
  <c r="E40" i="20"/>
  <c r="D62" i="20" l="1"/>
  <c r="G62" i="20" s="1"/>
  <c r="F45" i="20"/>
  <c r="E45" i="20"/>
  <c r="D45" i="20"/>
  <c r="C45" i="20"/>
  <c r="G45" i="20"/>
  <c r="G42" i="20"/>
  <c r="F42" i="20"/>
  <c r="E42" i="20"/>
  <c r="D42" i="20"/>
  <c r="C42" i="20"/>
  <c r="G47" i="20"/>
  <c r="F47" i="20"/>
  <c r="E47" i="20"/>
  <c r="D47" i="20"/>
  <c r="C47" i="20"/>
  <c r="G38" i="20"/>
  <c r="D50" i="20" l="1"/>
  <c r="F50" i="20"/>
  <c r="E50" i="20"/>
  <c r="G50" i="20"/>
  <c r="X65" i="1" l="1"/>
  <c r="K7" i="5"/>
  <c r="P101" i="14" l="1"/>
  <c r="P93" i="14"/>
  <c r="P94" i="14" s="1"/>
  <c r="K6" i="5" l="1"/>
  <c r="H7" i="5"/>
  <c r="H9" i="5" s="1"/>
  <c r="H8" i="5"/>
  <c r="C6" i="5"/>
  <c r="K5" i="5"/>
  <c r="K4" i="5"/>
  <c r="J2" i="5"/>
  <c r="D60" i="18"/>
  <c r="D59" i="18"/>
  <c r="G30" i="18"/>
  <c r="D56" i="18" s="1"/>
  <c r="Q29" i="18"/>
  <c r="O29" i="18"/>
  <c r="I29" i="18"/>
  <c r="Q28" i="18"/>
  <c r="O28" i="18"/>
  <c r="I28" i="18"/>
  <c r="Q27" i="18"/>
  <c r="O27" i="18"/>
  <c r="I27" i="18"/>
  <c r="Q26" i="18"/>
  <c r="O26" i="18"/>
  <c r="I26" i="18"/>
  <c r="Q25" i="18"/>
  <c r="O25" i="18"/>
  <c r="I25" i="18"/>
  <c r="Q24" i="18"/>
  <c r="O24" i="18"/>
  <c r="I24" i="18"/>
  <c r="Q23" i="18"/>
  <c r="O23" i="18"/>
  <c r="I23" i="18"/>
  <c r="Q22" i="18"/>
  <c r="O22" i="18"/>
  <c r="I22" i="18"/>
  <c r="Q21" i="18"/>
  <c r="O21" i="18"/>
  <c r="I21" i="18"/>
  <c r="Q20" i="18"/>
  <c r="O20" i="18"/>
  <c r="I20" i="18"/>
  <c r="Q19" i="18"/>
  <c r="O19" i="18"/>
  <c r="I19" i="18"/>
  <c r="Q18" i="18"/>
  <c r="O18" i="18"/>
  <c r="I18" i="18"/>
  <c r="Q17" i="18"/>
  <c r="O17" i="18"/>
  <c r="Q16" i="18"/>
  <c r="O16" i="18"/>
  <c r="H17" i="18"/>
  <c r="I17" i="18" s="1"/>
  <c r="I16" i="18"/>
  <c r="Q15" i="18"/>
  <c r="O15" i="18"/>
  <c r="I15" i="18"/>
  <c r="Q14" i="18"/>
  <c r="O14" i="18"/>
  <c r="I14" i="18"/>
  <c r="Q13" i="18"/>
  <c r="O13" i="18"/>
  <c r="I13" i="18"/>
  <c r="Q12" i="18"/>
  <c r="O12" i="18"/>
  <c r="I12" i="18"/>
  <c r="Q11" i="18"/>
  <c r="O11" i="18"/>
  <c r="I11" i="18"/>
  <c r="Q10" i="18"/>
  <c r="R10" i="18" s="1"/>
  <c r="O10" i="18"/>
  <c r="I10" i="18"/>
  <c r="J7" i="18"/>
  <c r="G23" i="5" l="1"/>
  <c r="J1" i="5"/>
  <c r="J23" i="18"/>
  <c r="J18" i="18"/>
  <c r="J13" i="18"/>
  <c r="J29" i="18"/>
  <c r="J24" i="18"/>
  <c r="J19" i="18"/>
  <c r="J14" i="18"/>
  <c r="J25" i="18"/>
  <c r="J20" i="18"/>
  <c r="J26" i="18"/>
  <c r="J16" i="18"/>
  <c r="J22" i="18"/>
  <c r="J15" i="18"/>
  <c r="J21" i="18"/>
  <c r="J11" i="18"/>
  <c r="J17" i="18"/>
  <c r="J27" i="18"/>
  <c r="J12" i="18"/>
  <c r="J28" i="18"/>
  <c r="R11" i="18"/>
  <c r="R12" i="18" s="1"/>
  <c r="R13" i="18" s="1"/>
  <c r="R14" i="18" s="1"/>
  <c r="R15" i="18" s="1"/>
  <c r="R16" i="18" s="1"/>
  <c r="R17" i="18" s="1"/>
  <c r="R18" i="18" s="1"/>
  <c r="R19" i="18" s="1"/>
  <c r="R20" i="18" s="1"/>
  <c r="R21" i="18" s="1"/>
  <c r="R22" i="18" s="1"/>
  <c r="R23" i="18" s="1"/>
  <c r="R24" i="18" s="1"/>
  <c r="R25" i="18" s="1"/>
  <c r="R26" i="18" s="1"/>
  <c r="R27" i="18" s="1"/>
  <c r="R28" i="18" s="1"/>
  <c r="R29" i="18" s="1"/>
  <c r="B38" i="18"/>
  <c r="B42" i="18"/>
  <c r="B47" i="18"/>
  <c r="B39" i="18"/>
  <c r="B40" i="18"/>
  <c r="I30" i="18"/>
  <c r="D57" i="18" s="1"/>
  <c r="D58" i="18" s="1"/>
  <c r="D61" i="18" s="1"/>
  <c r="J10" i="18"/>
  <c r="J30" i="18" s="1"/>
  <c r="F30" i="18"/>
  <c r="D55" i="18" s="1"/>
  <c r="B45" i="18" l="1"/>
  <c r="F40" i="18"/>
  <c r="D40" i="18"/>
  <c r="G40" i="18"/>
  <c r="E40" i="18"/>
  <c r="C40" i="18"/>
  <c r="G39" i="18"/>
  <c r="F39" i="18"/>
  <c r="E39" i="18"/>
  <c r="D39" i="18"/>
  <c r="C39" i="18"/>
  <c r="G45" i="18"/>
  <c r="F45" i="18"/>
  <c r="D45" i="18"/>
  <c r="C45" i="18"/>
  <c r="E45" i="18"/>
  <c r="G42" i="18"/>
  <c r="C42" i="18"/>
  <c r="F42" i="18"/>
  <c r="E42" i="18"/>
  <c r="D42" i="18"/>
  <c r="G38" i="18"/>
  <c r="F38" i="18"/>
  <c r="E38" i="18"/>
  <c r="D38" i="18"/>
  <c r="C38" i="18"/>
  <c r="B46" i="18"/>
  <c r="B41" i="18"/>
  <c r="G47" i="18"/>
  <c r="F47" i="18"/>
  <c r="E47" i="18"/>
  <c r="D47" i="18"/>
  <c r="C47" i="18"/>
  <c r="B49" i="18"/>
  <c r="B44" i="18"/>
  <c r="B48" i="18"/>
  <c r="B43" i="18"/>
  <c r="E41" i="18" l="1"/>
  <c r="D41" i="18"/>
  <c r="C41" i="18"/>
  <c r="G41" i="18"/>
  <c r="F41" i="18"/>
  <c r="G43" i="18"/>
  <c r="F43" i="18"/>
  <c r="E43" i="18"/>
  <c r="D43" i="18"/>
  <c r="C43" i="18"/>
  <c r="G46" i="18"/>
  <c r="F46" i="18"/>
  <c r="E46" i="18"/>
  <c r="D46" i="18"/>
  <c r="C46" i="18"/>
  <c r="D48" i="18"/>
  <c r="C48" i="18"/>
  <c r="G48" i="18"/>
  <c r="F48" i="18"/>
  <c r="E48" i="18"/>
  <c r="C44" i="18"/>
  <c r="G44" i="18"/>
  <c r="F44" i="18"/>
  <c r="E44" i="18"/>
  <c r="D44" i="18"/>
  <c r="E49" i="18"/>
  <c r="D49" i="18"/>
  <c r="C49" i="18"/>
  <c r="G49" i="18"/>
  <c r="F49" i="18"/>
  <c r="E50" i="18" l="1"/>
  <c r="F50" i="18"/>
  <c r="D50" i="18"/>
  <c r="G50" i="18"/>
  <c r="I84" i="14" l="1"/>
  <c r="I82" i="14"/>
  <c r="I81" i="14"/>
  <c r="G62" i="14"/>
  <c r="D81" i="14" l="1"/>
  <c r="N89" i="1" s="1"/>
  <c r="C4" i="5"/>
  <c r="E2" i="5"/>
  <c r="C2" i="5"/>
  <c r="D81" i="1" l="1"/>
  <c r="O89" i="1"/>
  <c r="X55" i="1" s="1"/>
  <c r="D65" i="1"/>
  <c r="D60" i="16"/>
  <c r="D59" i="16"/>
  <c r="G30" i="16"/>
  <c r="D56" i="16" s="1"/>
  <c r="F30" i="16"/>
  <c r="D55" i="16" s="1"/>
  <c r="Q29" i="16"/>
  <c r="O29" i="16"/>
  <c r="I29" i="16"/>
  <c r="Q28" i="16"/>
  <c r="O28" i="16"/>
  <c r="I28" i="16"/>
  <c r="Q27" i="16"/>
  <c r="O27" i="16"/>
  <c r="I27" i="16"/>
  <c r="Q26" i="16"/>
  <c r="O26" i="16"/>
  <c r="I26" i="16"/>
  <c r="Q25" i="16"/>
  <c r="O25" i="16"/>
  <c r="I25" i="16"/>
  <c r="Q24" i="16"/>
  <c r="O24" i="16"/>
  <c r="I24" i="16"/>
  <c r="Q23" i="16"/>
  <c r="O23" i="16"/>
  <c r="I23" i="16"/>
  <c r="Q22" i="16"/>
  <c r="O22" i="16"/>
  <c r="I22" i="16"/>
  <c r="Q21" i="16"/>
  <c r="O21" i="16"/>
  <c r="I21" i="16"/>
  <c r="Q20" i="16"/>
  <c r="O20" i="16"/>
  <c r="I20" i="16"/>
  <c r="Q19" i="16"/>
  <c r="O19" i="16"/>
  <c r="I19" i="16"/>
  <c r="Q18" i="16"/>
  <c r="O18" i="16"/>
  <c r="I18" i="16"/>
  <c r="Q17" i="16"/>
  <c r="O17" i="16"/>
  <c r="I17" i="16"/>
  <c r="Q16" i="16"/>
  <c r="O16" i="16"/>
  <c r="I16" i="16"/>
  <c r="Q15" i="16"/>
  <c r="O15" i="16"/>
  <c r="I15" i="16"/>
  <c r="Q14" i="16"/>
  <c r="O14" i="16"/>
  <c r="I14" i="16"/>
  <c r="Q13" i="16"/>
  <c r="O13" i="16"/>
  <c r="I13" i="16"/>
  <c r="Q12" i="16"/>
  <c r="O12" i="16"/>
  <c r="I12" i="16"/>
  <c r="Q11" i="16"/>
  <c r="O11" i="16"/>
  <c r="I11" i="16"/>
  <c r="Q10" i="16"/>
  <c r="R10" i="16" s="1"/>
  <c r="O10" i="16"/>
  <c r="I10" i="16"/>
  <c r="J7" i="16"/>
  <c r="O65" i="1" l="1"/>
  <c r="M65" i="1"/>
  <c r="L65" i="1"/>
  <c r="K65" i="1"/>
  <c r="P65" i="1"/>
  <c r="N65" i="1"/>
  <c r="J65" i="1"/>
  <c r="H65" i="1"/>
  <c r="W65" i="1"/>
  <c r="T164" i="1" s="1"/>
  <c r="F65" i="1"/>
  <c r="E65" i="1"/>
  <c r="R65" i="1"/>
  <c r="T65" i="1"/>
  <c r="Q65" i="1"/>
  <c r="V65" i="1"/>
  <c r="U65" i="1"/>
  <c r="S65" i="1"/>
  <c r="J23" i="16"/>
  <c r="J24" i="16"/>
  <c r="J17" i="16"/>
  <c r="J20" i="16"/>
  <c r="J14" i="16"/>
  <c r="J28" i="16"/>
  <c r="J11" i="16"/>
  <c r="J21" i="16"/>
  <c r="J25" i="16"/>
  <c r="J18" i="16"/>
  <c r="J12" i="16"/>
  <c r="J15" i="16"/>
  <c r="J29" i="16"/>
  <c r="J26" i="16"/>
  <c r="J19" i="16"/>
  <c r="J13" i="16"/>
  <c r="J16" i="16"/>
  <c r="J22" i="16"/>
  <c r="J27" i="16"/>
  <c r="R11" i="16"/>
  <c r="R12" i="16" s="1"/>
  <c r="R13" i="16" s="1"/>
  <c r="R14" i="16" s="1"/>
  <c r="R15" i="16" s="1"/>
  <c r="R16" i="16" s="1"/>
  <c r="R17" i="16" s="1"/>
  <c r="R18" i="16" s="1"/>
  <c r="R19" i="16" s="1"/>
  <c r="R20" i="16" s="1"/>
  <c r="R21" i="16" s="1"/>
  <c r="R22" i="16" s="1"/>
  <c r="R23" i="16" s="1"/>
  <c r="R24" i="16" s="1"/>
  <c r="R25" i="16" s="1"/>
  <c r="R26" i="16" s="1"/>
  <c r="R27" i="16" s="1"/>
  <c r="R28" i="16" s="1"/>
  <c r="R29" i="16" s="1"/>
  <c r="B38" i="16"/>
  <c r="B45" i="16"/>
  <c r="B42" i="16"/>
  <c r="B39" i="16"/>
  <c r="I30" i="16"/>
  <c r="D57" i="16" s="1"/>
  <c r="D58" i="16" s="1"/>
  <c r="D61" i="16" s="1"/>
  <c r="J10" i="16"/>
  <c r="J30" i="16" s="1"/>
  <c r="G39" i="16" l="1"/>
  <c r="C39" i="16"/>
  <c r="F39" i="16"/>
  <c r="E39" i="16"/>
  <c r="D39" i="16"/>
  <c r="B47" i="16"/>
  <c r="E45" i="16"/>
  <c r="G45" i="16"/>
  <c r="F45" i="16"/>
  <c r="D45" i="16"/>
  <c r="C45" i="16"/>
  <c r="B40" i="16"/>
  <c r="B48" i="16"/>
  <c r="B43" i="16"/>
  <c r="F38" i="16"/>
  <c r="E38" i="16"/>
  <c r="D38" i="16"/>
  <c r="C38" i="16"/>
  <c r="G38" i="16"/>
  <c r="B46" i="16"/>
  <c r="B41" i="16"/>
  <c r="G42" i="16"/>
  <c r="F42" i="16"/>
  <c r="E42" i="16"/>
  <c r="D42" i="16"/>
  <c r="C42" i="16"/>
  <c r="B49" i="16"/>
  <c r="B44" i="16"/>
  <c r="E44" i="16" l="1"/>
  <c r="G44" i="16"/>
  <c r="F44" i="16"/>
  <c r="D44" i="16"/>
  <c r="C44" i="16"/>
  <c r="C48" i="16"/>
  <c r="G48" i="16"/>
  <c r="F48" i="16"/>
  <c r="E48" i="16"/>
  <c r="D48" i="16"/>
  <c r="C40" i="16"/>
  <c r="G40" i="16"/>
  <c r="F40" i="16"/>
  <c r="E40" i="16"/>
  <c r="D40" i="16"/>
  <c r="G43" i="16"/>
  <c r="F43" i="16"/>
  <c r="E43" i="16"/>
  <c r="D43" i="16"/>
  <c r="C43" i="16"/>
  <c r="G47" i="16"/>
  <c r="C47" i="16"/>
  <c r="F47" i="16"/>
  <c r="E47" i="16"/>
  <c r="D47" i="16"/>
  <c r="D49" i="16"/>
  <c r="C49" i="16"/>
  <c r="G49" i="16"/>
  <c r="F49" i="16"/>
  <c r="E49" i="16"/>
  <c r="D41" i="16"/>
  <c r="C41" i="16"/>
  <c r="G41" i="16"/>
  <c r="F41" i="16"/>
  <c r="E41" i="16"/>
  <c r="F46" i="16"/>
  <c r="E46" i="16"/>
  <c r="D46" i="16"/>
  <c r="C46" i="16"/>
  <c r="G46" i="16"/>
  <c r="E50" i="16" l="1"/>
  <c r="G50" i="16"/>
  <c r="F50" i="16"/>
  <c r="D50" i="16"/>
  <c r="N88" i="1"/>
  <c r="D80" i="14"/>
  <c r="F75" i="15"/>
  <c r="E75" i="15"/>
  <c r="G67" i="15"/>
  <c r="F67" i="15"/>
  <c r="E67" i="15"/>
  <c r="D67" i="15"/>
  <c r="C67" i="15"/>
  <c r="G66" i="15"/>
  <c r="F66" i="15"/>
  <c r="E66" i="15"/>
  <c r="D66" i="15"/>
  <c r="C66" i="15"/>
  <c r="D46" i="15"/>
  <c r="C46" i="15"/>
  <c r="C40" i="15"/>
  <c r="D40" i="15" s="1"/>
  <c r="F36" i="15"/>
  <c r="E36" i="15"/>
  <c r="D36" i="15"/>
  <c r="G35" i="15"/>
  <c r="F35" i="15"/>
  <c r="E35" i="15"/>
  <c r="F34" i="15"/>
  <c r="E34" i="15"/>
  <c r="F33" i="15"/>
  <c r="E33" i="15"/>
  <c r="F32" i="15"/>
  <c r="E32" i="15"/>
  <c r="G31" i="15"/>
  <c r="F31" i="15"/>
  <c r="E31" i="15"/>
  <c r="F30" i="15"/>
  <c r="E30" i="15"/>
  <c r="F29" i="15"/>
  <c r="E29" i="15"/>
  <c r="F28" i="15"/>
  <c r="E28" i="15"/>
  <c r="F27" i="15"/>
  <c r="E27" i="15"/>
  <c r="C13" i="15"/>
  <c r="P7" i="15"/>
  <c r="M7" i="15"/>
  <c r="E99" i="14"/>
  <c r="C103" i="14"/>
  <c r="D102" i="14"/>
  <c r="C102" i="14"/>
  <c r="B102" i="14"/>
  <c r="D101" i="14"/>
  <c r="C101" i="14"/>
  <c r="B101" i="14"/>
  <c r="D100" i="14"/>
  <c r="C100" i="14"/>
  <c r="B100" i="14"/>
  <c r="D99" i="14"/>
  <c r="C99" i="14"/>
  <c r="B99" i="14"/>
  <c r="D98" i="14"/>
  <c r="C98" i="14"/>
  <c r="B98" i="14"/>
  <c r="D97" i="14"/>
  <c r="C97" i="14"/>
  <c r="B97" i="14"/>
  <c r="D95" i="14"/>
  <c r="C95" i="14"/>
  <c r="B95" i="14"/>
  <c r="D94" i="14"/>
  <c r="C94" i="14"/>
  <c r="B94" i="14"/>
  <c r="D93" i="14"/>
  <c r="C93" i="14"/>
  <c r="B93" i="14"/>
  <c r="D92" i="14"/>
  <c r="C92" i="14"/>
  <c r="D91" i="14"/>
  <c r="C91" i="14"/>
  <c r="E81" i="14"/>
  <c r="C81" i="14"/>
  <c r="E80" i="14"/>
  <c r="C80" i="14"/>
  <c r="E74" i="14"/>
  <c r="D74" i="14"/>
  <c r="E73" i="14" s="1"/>
  <c r="G73" i="14"/>
  <c r="H73" i="14" s="1"/>
  <c r="F73" i="14"/>
  <c r="G72" i="14"/>
  <c r="F72" i="14"/>
  <c r="E72" i="14"/>
  <c r="H71" i="14"/>
  <c r="G71" i="14"/>
  <c r="F71" i="14"/>
  <c r="G70" i="14"/>
  <c r="H70" i="14" s="1"/>
  <c r="F70" i="14"/>
  <c r="E70" i="14"/>
  <c r="G69" i="14"/>
  <c r="H69" i="14" s="1"/>
  <c r="F69" i="14"/>
  <c r="G68" i="14"/>
  <c r="H68" i="14" s="1"/>
  <c r="F68" i="14"/>
  <c r="E68" i="14"/>
  <c r="G67" i="14"/>
  <c r="H67" i="14" s="1"/>
  <c r="F67" i="14"/>
  <c r="D67" i="14"/>
  <c r="G66" i="14"/>
  <c r="F66" i="14"/>
  <c r="E66" i="14"/>
  <c r="D66" i="14"/>
  <c r="G65" i="14"/>
  <c r="F65" i="14"/>
  <c r="G64" i="14"/>
  <c r="F64" i="14"/>
  <c r="E64" i="14"/>
  <c r="G63" i="14"/>
  <c r="F63" i="14"/>
  <c r="H62" i="14"/>
  <c r="E62" i="14"/>
  <c r="F45" i="14"/>
  <c r="E45" i="14"/>
  <c r="F44" i="14"/>
  <c r="E44" i="14"/>
  <c r="F43" i="14"/>
  <c r="E43" i="14"/>
  <c r="F42" i="14"/>
  <c r="E42" i="14"/>
  <c r="F41" i="14"/>
  <c r="F40" i="14"/>
  <c r="E40" i="14"/>
  <c r="F39" i="14"/>
  <c r="E39" i="14"/>
  <c r="F38" i="14"/>
  <c r="F51" i="14" s="1"/>
  <c r="F52" i="14" s="1"/>
  <c r="E38" i="14"/>
  <c r="F37" i="14"/>
  <c r="E37" i="14"/>
  <c r="H19" i="14"/>
  <c r="F6" i="14"/>
  <c r="F5" i="14"/>
  <c r="E4" i="14"/>
  <c r="C4" i="14"/>
  <c r="C8" i="5"/>
  <c r="E4" i="5"/>
  <c r="E7" i="5" s="1"/>
  <c r="U190" i="1"/>
  <c r="T190" i="1"/>
  <c r="T183" i="1"/>
  <c r="R176" i="1"/>
  <c r="P176" i="1"/>
  <c r="Z176" i="1"/>
  <c r="Y176" i="1"/>
  <c r="T153" i="1"/>
  <c r="D139" i="1"/>
  <c r="D131" i="1"/>
  <c r="H89" i="1"/>
  <c r="H88" i="1"/>
  <c r="H90" i="1" s="1"/>
  <c r="X73" i="1"/>
  <c r="W73" i="1"/>
  <c r="V73" i="1"/>
  <c r="S190" i="1" s="1"/>
  <c r="U73" i="1"/>
  <c r="R190" i="1" s="1"/>
  <c r="T73" i="1"/>
  <c r="W183" i="1" s="1"/>
  <c r="S73" i="1"/>
  <c r="V183" i="1" s="1"/>
  <c r="R73" i="1"/>
  <c r="U183" i="1" s="1"/>
  <c r="Q73" i="1"/>
  <c r="P73" i="1"/>
  <c r="S183" i="1" s="1"/>
  <c r="O73" i="1"/>
  <c r="R183" i="1" s="1"/>
  <c r="N73" i="1"/>
  <c r="W176" i="1" s="1"/>
  <c r="M73" i="1"/>
  <c r="V176" i="1" s="1"/>
  <c r="L73" i="1"/>
  <c r="U176" i="1" s="1"/>
  <c r="K73" i="1"/>
  <c r="T176" i="1" s="1"/>
  <c r="J73" i="1"/>
  <c r="S176" i="1" s="1"/>
  <c r="I73" i="1"/>
  <c r="H73" i="1"/>
  <c r="Q176" i="1" s="1"/>
  <c r="G73" i="1"/>
  <c r="F73" i="1"/>
  <c r="E73" i="1"/>
  <c r="D73" i="1"/>
  <c r="E72" i="1"/>
  <c r="U164" i="1"/>
  <c r="S164" i="1"/>
  <c r="R164" i="1"/>
  <c r="T157" i="1"/>
  <c r="S157" i="1"/>
  <c r="R157" i="1"/>
  <c r="W150" i="1"/>
  <c r="V150" i="1"/>
  <c r="U150" i="1"/>
  <c r="P150" i="1"/>
  <c r="X61" i="1"/>
  <c r="U160" i="1" s="1"/>
  <c r="W61" i="1"/>
  <c r="V61" i="1"/>
  <c r="S160" i="1" s="1"/>
  <c r="U61" i="1"/>
  <c r="R160" i="1" s="1"/>
  <c r="T61" i="1"/>
  <c r="W153" i="1" s="1"/>
  <c r="S61" i="1"/>
  <c r="V153" i="1" s="1"/>
  <c r="R61" i="1"/>
  <c r="U153" i="1" s="1"/>
  <c r="Q61" i="1"/>
  <c r="P61" i="1"/>
  <c r="S153" i="1" s="1"/>
  <c r="O61" i="1"/>
  <c r="R153" i="1" s="1"/>
  <c r="N61" i="1"/>
  <c r="W146" i="1" s="1"/>
  <c r="M61" i="1"/>
  <c r="V146" i="1" s="1"/>
  <c r="L61" i="1"/>
  <c r="U146" i="1" s="1"/>
  <c r="K61" i="1"/>
  <c r="T146" i="1" s="1"/>
  <c r="J61" i="1"/>
  <c r="S146" i="1" s="1"/>
  <c r="I61" i="1"/>
  <c r="R146" i="1" s="1"/>
  <c r="H61" i="1"/>
  <c r="Q146" i="1" s="1"/>
  <c r="G61" i="1"/>
  <c r="P146" i="1" s="1"/>
  <c r="F61" i="1"/>
  <c r="O134" i="1" s="1"/>
  <c r="E61" i="1"/>
  <c r="N134" i="1" s="1"/>
  <c r="D61" i="1"/>
  <c r="E60" i="1"/>
  <c r="I64" i="1" s="1"/>
  <c r="I66" i="1" s="1"/>
  <c r="X51" i="1"/>
  <c r="W51" i="1"/>
  <c r="V51" i="1"/>
  <c r="U51" i="1"/>
  <c r="T51" i="1"/>
  <c r="S51" i="1"/>
  <c r="R51" i="1"/>
  <c r="Q51" i="1"/>
  <c r="P51" i="1"/>
  <c r="O51" i="1"/>
  <c r="N51" i="1"/>
  <c r="M51" i="1"/>
  <c r="L51" i="1"/>
  <c r="K51" i="1"/>
  <c r="J51" i="1"/>
  <c r="I51" i="1"/>
  <c r="H51" i="1"/>
  <c r="G51" i="1"/>
  <c r="F51" i="1"/>
  <c r="E51" i="1"/>
  <c r="D51" i="1"/>
  <c r="X43" i="1"/>
  <c r="W43" i="1"/>
  <c r="V43" i="1"/>
  <c r="U43" i="1"/>
  <c r="T43" i="1"/>
  <c r="S43" i="1"/>
  <c r="R43" i="1"/>
  <c r="Q43" i="1"/>
  <c r="P43" i="1"/>
  <c r="O43" i="1"/>
  <c r="N43" i="1"/>
  <c r="M43" i="1"/>
  <c r="L43" i="1"/>
  <c r="K43" i="1"/>
  <c r="J43" i="1"/>
  <c r="I43" i="1"/>
  <c r="H43" i="1"/>
  <c r="G43" i="1"/>
  <c r="F43" i="1"/>
  <c r="E43" i="1"/>
  <c r="D43" i="1"/>
  <c r="C127" i="1"/>
  <c r="AE29" i="1"/>
  <c r="H72" i="14" l="1"/>
  <c r="F46" i="14"/>
  <c r="J49" i="14"/>
  <c r="J48" i="14"/>
  <c r="G74" i="14"/>
  <c r="D69" i="1"/>
  <c r="P170" i="1" s="1"/>
  <c r="N91" i="1"/>
  <c r="O88" i="1"/>
  <c r="X47" i="1" s="1"/>
  <c r="F74" i="14"/>
  <c r="E46" i="14"/>
  <c r="E100" i="14"/>
  <c r="E95" i="14"/>
  <c r="E101" i="14"/>
  <c r="E97" i="14"/>
  <c r="E92" i="14"/>
  <c r="E104" i="14" s="1"/>
  <c r="K64" i="1"/>
  <c r="X64" i="1"/>
  <c r="X66" i="1" s="1"/>
  <c r="L64" i="1"/>
  <c r="E76" i="1"/>
  <c r="E79" i="1" s="1"/>
  <c r="X76" i="1"/>
  <c r="O64" i="1"/>
  <c r="N64" i="1"/>
  <c r="M64" i="1"/>
  <c r="J64" i="1"/>
  <c r="W64" i="1"/>
  <c r="T163" i="1" s="1"/>
  <c r="E64" i="1"/>
  <c r="E67" i="1" s="1"/>
  <c r="V64" i="1"/>
  <c r="Q64" i="1"/>
  <c r="U64" i="1"/>
  <c r="P175" i="1"/>
  <c r="I76" i="1"/>
  <c r="T64" i="1"/>
  <c r="S64" i="1"/>
  <c r="R64" i="1"/>
  <c r="R66" i="1" s="1"/>
  <c r="P64" i="1"/>
  <c r="L7" i="15"/>
  <c r="D82" i="14"/>
  <c r="E82" i="14"/>
  <c r="H66" i="14"/>
  <c r="H74" i="14" s="1"/>
  <c r="E67" i="14"/>
  <c r="E71" i="14"/>
  <c r="E63" i="14"/>
  <c r="E93" i="14"/>
  <c r="E98" i="14"/>
  <c r="E102" i="14"/>
  <c r="E94" i="14"/>
  <c r="E65" i="14"/>
  <c r="E69" i="14"/>
  <c r="C132" i="1"/>
  <c r="U157" i="1"/>
  <c r="V157" i="1"/>
  <c r="W157" i="1"/>
  <c r="P200" i="1"/>
  <c r="N138" i="1"/>
  <c r="T150" i="1"/>
  <c r="AD34" i="1"/>
  <c r="P145" i="1"/>
  <c r="O138" i="1"/>
  <c r="Q150" i="1"/>
  <c r="R150" i="1"/>
  <c r="S150" i="1"/>
  <c r="C7" i="5" l="1"/>
  <c r="J77" i="1" l="1"/>
  <c r="E77" i="1"/>
  <c r="I77" i="1"/>
  <c r="N77" i="1"/>
  <c r="W180" i="1" s="1"/>
  <c r="X77" i="1"/>
  <c r="H77" i="1"/>
  <c r="Q180" i="1" s="1"/>
  <c r="F77" i="1"/>
  <c r="W77" i="1"/>
  <c r="T194" i="1" s="1"/>
  <c r="G77" i="1"/>
  <c r="P180" i="1" s="1"/>
  <c r="V77" i="1"/>
  <c r="S194" i="1" s="1"/>
  <c r="K77" i="1"/>
  <c r="T180" i="1" s="1"/>
  <c r="U77" i="1"/>
  <c r="R194" i="1" s="1"/>
  <c r="Q77" i="1"/>
  <c r="T187" i="1" s="1"/>
  <c r="O77" i="1"/>
  <c r="R187" i="1" s="1"/>
  <c r="T77" i="1"/>
  <c r="W187" i="1" s="1"/>
  <c r="P77" i="1"/>
  <c r="S187" i="1" s="1"/>
  <c r="M77" i="1"/>
  <c r="V180" i="1" s="1"/>
  <c r="S77" i="1"/>
  <c r="V187" i="1" s="1"/>
  <c r="R77" i="1"/>
  <c r="U187" i="1" s="1"/>
  <c r="L77" i="1"/>
  <c r="U180" i="1" s="1"/>
  <c r="S180" i="1" l="1"/>
  <c r="J78" i="1"/>
  <c r="U194" i="1"/>
  <c r="X78" i="1"/>
  <c r="Z180" i="1"/>
  <c r="Y180" i="1"/>
  <c r="E78" i="1"/>
  <c r="R180" i="1"/>
  <c r="I78" i="1"/>
  <c r="Q44" i="1" l="1"/>
  <c r="Q52" i="1" s="1"/>
  <c r="Q62" i="1" s="1"/>
  <c r="U44" i="1"/>
  <c r="U52" i="1" s="1"/>
  <c r="U62" i="1" s="1"/>
  <c r="R44" i="1"/>
  <c r="R52" i="1" s="1"/>
  <c r="R62" i="1" s="1"/>
  <c r="I44" i="1"/>
  <c r="I52" i="1" s="1"/>
  <c r="I62" i="1" s="1"/>
  <c r="L44" i="1"/>
  <c r="L52" i="1" s="1"/>
  <c r="L62" i="1" s="1"/>
  <c r="W44" i="1"/>
  <c r="W52" i="1" s="1"/>
  <c r="W62" i="1" s="1"/>
  <c r="J44" i="1"/>
  <c r="J52" i="1" s="1"/>
  <c r="J62" i="1" s="1"/>
  <c r="H44" i="1"/>
  <c r="H52" i="1" s="1"/>
  <c r="H62" i="1" s="1"/>
  <c r="H64" i="1" s="1"/>
  <c r="T44" i="1"/>
  <c r="T52" i="1" s="1"/>
  <c r="T62" i="1" s="1"/>
  <c r="X44" i="1"/>
  <c r="X52" i="1" s="1"/>
  <c r="X62" i="1" s="1"/>
  <c r="V44" i="1"/>
  <c r="V52" i="1" s="1"/>
  <c r="V62" i="1" s="1"/>
  <c r="D44" i="1"/>
  <c r="D52" i="1" s="1"/>
  <c r="D62" i="1" s="1"/>
  <c r="O44" i="1"/>
  <c r="O52" i="1" s="1"/>
  <c r="O62" i="1" s="1"/>
  <c r="S44" i="1"/>
  <c r="S52" i="1" s="1"/>
  <c r="S62" i="1" s="1"/>
  <c r="P44" i="1"/>
  <c r="P52" i="1" s="1"/>
  <c r="P62" i="1" s="1"/>
  <c r="N44" i="1"/>
  <c r="N52" i="1" s="1"/>
  <c r="N62" i="1" s="1"/>
  <c r="G44" i="1"/>
  <c r="G52" i="1" s="1"/>
  <c r="G62" i="1" s="1"/>
  <c r="G64" i="1" s="1"/>
  <c r="M44" i="1"/>
  <c r="M52" i="1" s="1"/>
  <c r="M62" i="1" s="1"/>
  <c r="K44" i="1"/>
  <c r="K52" i="1" s="1"/>
  <c r="K62" i="1" s="1"/>
  <c r="F44" i="1"/>
  <c r="F52" i="1" s="1"/>
  <c r="F62" i="1" s="1"/>
  <c r="F64" i="1" s="1"/>
  <c r="P149" i="1" l="1"/>
  <c r="G66" i="1"/>
  <c r="F66" i="1"/>
  <c r="F67" i="1"/>
  <c r="P74" i="1"/>
  <c r="S154" i="1"/>
  <c r="Q147" i="1"/>
  <c r="H129" i="1"/>
  <c r="H74" i="1"/>
  <c r="E44" i="1"/>
  <c r="E52" i="1" s="1"/>
  <c r="E62" i="1" s="1"/>
  <c r="D140" i="1"/>
  <c r="S147" i="1"/>
  <c r="J129" i="1"/>
  <c r="J74" i="1"/>
  <c r="F74" i="1"/>
  <c r="F76" i="1" s="1"/>
  <c r="O135" i="1"/>
  <c r="F129" i="1"/>
  <c r="O74" i="1"/>
  <c r="R154" i="1"/>
  <c r="L129" i="1"/>
  <c r="L74" i="1"/>
  <c r="U147" i="1"/>
  <c r="K129" i="1"/>
  <c r="T147" i="1"/>
  <c r="K74" i="1"/>
  <c r="D64" i="1"/>
  <c r="D66" i="1" s="1"/>
  <c r="D74" i="1"/>
  <c r="D129" i="1"/>
  <c r="R147" i="1"/>
  <c r="I129" i="1"/>
  <c r="I74" i="1"/>
  <c r="M74" i="1"/>
  <c r="M129" i="1"/>
  <c r="V147" i="1"/>
  <c r="V74" i="1"/>
  <c r="S161" i="1"/>
  <c r="R74" i="1"/>
  <c r="U154" i="1"/>
  <c r="G74" i="1"/>
  <c r="P147" i="1"/>
  <c r="G129" i="1"/>
  <c r="U161" i="1"/>
  <c r="X74" i="1"/>
  <c r="U74" i="1"/>
  <c r="R161" i="1"/>
  <c r="S74" i="1"/>
  <c r="V154" i="1"/>
  <c r="W74" i="1"/>
  <c r="N129" i="1"/>
  <c r="W147" i="1"/>
  <c r="N74" i="1"/>
  <c r="T74" i="1"/>
  <c r="W154" i="1"/>
  <c r="Q74" i="1"/>
  <c r="T154" i="1"/>
  <c r="F79" i="1" l="1"/>
  <c r="F78" i="1"/>
  <c r="V156" i="1"/>
  <c r="S66" i="1"/>
  <c r="S163" i="1"/>
  <c r="V66" i="1"/>
  <c r="K76" i="1"/>
  <c r="T177" i="1"/>
  <c r="S177" i="1"/>
  <c r="T191" i="1"/>
  <c r="W76" i="1"/>
  <c r="U184" i="1"/>
  <c r="R76" i="1"/>
  <c r="Z177" i="1"/>
  <c r="S149" i="1"/>
  <c r="J66" i="1"/>
  <c r="V184" i="1"/>
  <c r="S76" i="1"/>
  <c r="S191" i="1"/>
  <c r="V76" i="1"/>
  <c r="T149" i="1"/>
  <c r="K66" i="1"/>
  <c r="Q66" i="1"/>
  <c r="T156" i="1"/>
  <c r="R163" i="1"/>
  <c r="U66" i="1"/>
  <c r="V149" i="1"/>
  <c r="M66" i="1"/>
  <c r="T184" i="1"/>
  <c r="Q76" i="1"/>
  <c r="U76" i="1"/>
  <c r="R191" i="1"/>
  <c r="L66" i="1"/>
  <c r="U149" i="1"/>
  <c r="E74" i="1"/>
  <c r="E129" i="1"/>
  <c r="N135" i="1"/>
  <c r="M76" i="1"/>
  <c r="V177" i="1"/>
  <c r="L76" i="1"/>
  <c r="U177" i="1"/>
  <c r="W184" i="1"/>
  <c r="T76" i="1"/>
  <c r="Q177" i="1"/>
  <c r="H76" i="1"/>
  <c r="U163" i="1"/>
  <c r="U191" i="1"/>
  <c r="W149" i="1"/>
  <c r="N66" i="1"/>
  <c r="R177" i="1"/>
  <c r="R156" i="1"/>
  <c r="O66" i="1"/>
  <c r="Q149" i="1"/>
  <c r="H66" i="1"/>
  <c r="N76" i="1"/>
  <c r="W177" i="1"/>
  <c r="R149" i="1"/>
  <c r="W156" i="1"/>
  <c r="T66" i="1"/>
  <c r="O76" i="1"/>
  <c r="R184" i="1"/>
  <c r="P177" i="1"/>
  <c r="G76" i="1"/>
  <c r="O137" i="1"/>
  <c r="O139" i="1"/>
  <c r="S156" i="1"/>
  <c r="P66" i="1"/>
  <c r="W66" i="1"/>
  <c r="T165" i="1" s="1"/>
  <c r="U156" i="1"/>
  <c r="S184" i="1"/>
  <c r="P76" i="1"/>
  <c r="W158" i="1" l="1"/>
  <c r="U158" i="1"/>
  <c r="R165" i="1"/>
  <c r="R151" i="1"/>
  <c r="S151" i="1"/>
  <c r="R158" i="1"/>
  <c r="P151" i="1"/>
  <c r="U165" i="1"/>
  <c r="Q151" i="1"/>
  <c r="S158" i="1"/>
  <c r="W151" i="1"/>
  <c r="U151" i="1"/>
  <c r="V151" i="1"/>
  <c r="T158" i="1"/>
  <c r="T151" i="1"/>
  <c r="S165" i="1"/>
  <c r="V158" i="1"/>
  <c r="Q179" i="1"/>
  <c r="H78" i="1"/>
  <c r="T186" i="1"/>
  <c r="Q78" i="1"/>
  <c r="Z179" i="1"/>
  <c r="Z181" i="1"/>
  <c r="W179" i="1"/>
  <c r="N78" i="1"/>
  <c r="R193" i="1"/>
  <c r="U78" i="1"/>
  <c r="W186" i="1"/>
  <c r="T78" i="1"/>
  <c r="R78" i="1"/>
  <c r="U186" i="1"/>
  <c r="T193" i="1"/>
  <c r="W78" i="1"/>
  <c r="U179" i="1"/>
  <c r="L78" i="1"/>
  <c r="V179" i="1"/>
  <c r="M78" i="1"/>
  <c r="S179" i="1"/>
  <c r="P179" i="1"/>
  <c r="G78" i="1"/>
  <c r="N137" i="1"/>
  <c r="E66" i="1"/>
  <c r="N139" i="1" s="1"/>
  <c r="S193" i="1"/>
  <c r="V78" i="1"/>
  <c r="K78" i="1"/>
  <c r="T179" i="1"/>
  <c r="S186" i="1"/>
  <c r="P78" i="1"/>
  <c r="R186" i="1"/>
  <c r="O78" i="1"/>
  <c r="Y177" i="1"/>
  <c r="R179" i="1"/>
  <c r="R181" i="1"/>
  <c r="U193" i="1"/>
  <c r="V186" i="1"/>
  <c r="S78" i="1"/>
  <c r="V188" i="1" l="1"/>
  <c r="W188" i="1"/>
  <c r="S181" i="1"/>
  <c r="V181" i="1"/>
  <c r="S195" i="1"/>
  <c r="U195" i="1"/>
  <c r="Q181" i="1"/>
  <c r="R188" i="1"/>
  <c r="R195" i="1"/>
  <c r="W181" i="1"/>
  <c r="T188" i="1"/>
  <c r="S188" i="1"/>
  <c r="P181" i="1"/>
  <c r="U181" i="1"/>
  <c r="T195" i="1"/>
  <c r="T181" i="1"/>
  <c r="U188" i="1"/>
  <c r="Y179" i="1"/>
  <c r="Y181" i="1"/>
  <c r="Y182" i="1" l="1"/>
  <c r="N140" i="1" l="1"/>
  <c r="S5" i="1" l="1"/>
  <c r="G5" i="1"/>
  <c r="O5" i="1"/>
  <c r="J5" i="1"/>
  <c r="R5" i="1"/>
  <c r="W5" i="1"/>
  <c r="P5" i="1"/>
  <c r="F5" i="1"/>
  <c r="D5" i="1"/>
  <c r="U5" i="1"/>
  <c r="N5" i="1"/>
  <c r="L5" i="1"/>
  <c r="E5" i="1"/>
  <c r="X5" i="1"/>
  <c r="I5" i="1"/>
  <c r="M5" i="1"/>
  <c r="V5" i="1"/>
  <c r="T5" i="1"/>
  <c r="K5" i="1"/>
  <c r="Q5" i="1"/>
  <c r="Z182" i="1" l="1"/>
  <c r="O140" i="1" l="1"/>
  <c r="E14" i="1" l="1"/>
  <c r="D147" i="1" s="1"/>
  <c r="F14" i="1"/>
  <c r="G14" i="1"/>
  <c r="F147" i="1" s="1"/>
  <c r="H14" i="1"/>
  <c r="G147" i="1" s="1"/>
  <c r="H147" i="1"/>
  <c r="I147" i="1"/>
  <c r="J147" i="1"/>
  <c r="K147" i="1"/>
  <c r="L147" i="1"/>
  <c r="F163" i="1"/>
  <c r="H163" i="1"/>
  <c r="I163" i="1"/>
  <c r="J163" i="1"/>
  <c r="F178" i="1"/>
  <c r="G178" i="1"/>
  <c r="H178" i="1"/>
  <c r="I178" i="1"/>
  <c r="J178" i="1"/>
  <c r="Y14" i="1" l="1"/>
  <c r="G163" i="1"/>
  <c r="K163" i="1"/>
  <c r="G79" i="1" l="1"/>
  <c r="P182" i="1" s="1"/>
  <c r="G67" i="1" l="1"/>
  <c r="P152" i="1" s="1"/>
  <c r="H79" i="1" l="1"/>
  <c r="Q182" i="1" s="1"/>
  <c r="H67" i="1" l="1"/>
  <c r="I79" i="1"/>
  <c r="R182" i="1" l="1"/>
  <c r="Q152" i="1"/>
  <c r="I67" i="1" l="1"/>
  <c r="R152" i="1" l="1"/>
  <c r="D36" i="1" l="1"/>
  <c r="O67" i="17" l="1"/>
  <c r="O65" i="17"/>
  <c r="H19" i="17"/>
  <c r="K8" i="17"/>
  <c r="O53" i="17"/>
  <c r="O8" i="17"/>
  <c r="H10" i="17"/>
  <c r="O66" i="17"/>
  <c r="O61" i="17"/>
  <c r="O63" i="17"/>
  <c r="L8" i="17"/>
  <c r="U40" i="17"/>
  <c r="U27" i="17" s="1"/>
  <c r="U15" i="17" s="1"/>
  <c r="N39" i="17"/>
  <c r="N40" i="17" s="1"/>
  <c r="N27" i="17" s="1"/>
  <c r="N15" i="17" s="1"/>
  <c r="Q8" i="17"/>
  <c r="T8" i="17"/>
  <c r="K39" i="17"/>
  <c r="K40" i="17" s="1"/>
  <c r="K27" i="17" s="1"/>
  <c r="K15" i="17" s="1"/>
  <c r="H12" i="17"/>
  <c r="Q39" i="17"/>
  <c r="Q40" i="17" s="1"/>
  <c r="Q27" i="17" s="1"/>
  <c r="Q15" i="17" s="1"/>
  <c r="H38" i="17"/>
  <c r="T39" i="17"/>
  <c r="T40" i="17" s="1"/>
  <c r="T27" i="17" s="1"/>
  <c r="T15" i="17" s="1"/>
  <c r="T30" i="17" s="1"/>
  <c r="M39" i="17"/>
  <c r="M40" i="17"/>
  <c r="M27" i="17"/>
  <c r="M15" i="17" s="1"/>
  <c r="U8" i="17"/>
  <c r="U30" i="17" s="1"/>
  <c r="P8" i="17"/>
  <c r="J39" i="17"/>
  <c r="S39" i="17"/>
  <c r="S40" i="17"/>
  <c r="S27" i="17" s="1"/>
  <c r="O39" i="17"/>
  <c r="O40" i="17" s="1"/>
  <c r="O27" i="17" s="1"/>
  <c r="O15" i="17" s="1"/>
  <c r="R8" i="17"/>
  <c r="H11" i="17"/>
  <c r="N8" i="17"/>
  <c r="S15" i="17"/>
  <c r="S8" i="17"/>
  <c r="U39" i="17"/>
  <c r="P39" i="17"/>
  <c r="P40" i="17" s="1"/>
  <c r="P27" i="17" s="1"/>
  <c r="P15" i="17" s="1"/>
  <c r="P30" i="17" s="1"/>
  <c r="M8" i="17"/>
  <c r="M30" i="17" s="1"/>
  <c r="R39" i="17"/>
  <c r="R40" i="17"/>
  <c r="R27" i="17" s="1"/>
  <c r="R15" i="17" s="1"/>
  <c r="R30" i="17" s="1"/>
  <c r="L39" i="17"/>
  <c r="L40" i="17" s="1"/>
  <c r="L27" i="17" s="1"/>
  <c r="L15" i="17" s="1"/>
  <c r="L30" i="17" s="1"/>
  <c r="J8" i="17"/>
  <c r="H8" i="17" s="1"/>
  <c r="O50" i="17"/>
  <c r="H39" i="17" l="1"/>
  <c r="J40" i="17"/>
  <c r="Q30" i="17"/>
  <c r="N30" i="17"/>
  <c r="K30" i="17"/>
  <c r="U46" i="17"/>
  <c r="S30" i="17"/>
  <c r="O30" i="17"/>
  <c r="D30" i="1"/>
  <c r="Q61" i="17"/>
  <c r="Q62" i="17" s="1"/>
  <c r="O70" i="17"/>
  <c r="O72" i="17" s="1"/>
  <c r="O54" i="17" s="1"/>
  <c r="O64" i="17"/>
  <c r="D32" i="1" l="1"/>
  <c r="O55" i="17"/>
  <c r="H40" i="17"/>
  <c r="J27" i="17"/>
  <c r="J15" i="17" l="1"/>
  <c r="H27" i="17"/>
  <c r="U47" i="17"/>
  <c r="U48" i="17"/>
  <c r="H15" i="17" l="1"/>
  <c r="H30" i="17"/>
  <c r="G50" i="17" s="1"/>
  <c r="G53" i="17" s="1"/>
  <c r="AH28" i="19" l="1"/>
  <c r="AE47" i="19"/>
  <c r="AC102" i="19"/>
  <c r="AL16" i="19"/>
  <c r="AL22" i="19"/>
  <c r="AL25" i="19"/>
  <c r="AE20" i="19"/>
  <c r="AE16" i="19"/>
  <c r="AE12" i="19"/>
  <c r="AJ28" i="19"/>
  <c r="AL23" i="19"/>
  <c r="AH23" i="19"/>
  <c r="AL21" i="19"/>
  <c r="AH21" i="19"/>
  <c r="AE13" i="19"/>
  <c r="AE18" i="19"/>
  <c r="AE11" i="19"/>
  <c r="AE26" i="19"/>
  <c r="AL20" i="19"/>
  <c r="AH16" i="19"/>
  <c r="AL19" i="19"/>
  <c r="AH20" i="19"/>
  <c r="AE17" i="19"/>
  <c r="R84" i="19"/>
  <c r="H70" i="19"/>
  <c r="AC103" i="19" s="1"/>
  <c r="AE45" i="19"/>
  <c r="AE23" i="19"/>
  <c r="AE24" i="19"/>
  <c r="AE21" i="19"/>
  <c r="AL13" i="19"/>
  <c r="AE19" i="19"/>
  <c r="AD29" i="19"/>
  <c r="AE31" i="19" s="1"/>
  <c r="AE30" i="19"/>
  <c r="AD46" i="19"/>
  <c r="AE46" i="19" s="1"/>
  <c r="AD49" i="19"/>
  <c r="AE49" i="19" s="1"/>
  <c r="AL28" i="19"/>
  <c r="AK27" i="19"/>
  <c r="AK29" i="19" s="1"/>
  <c r="AL31" i="19" s="1"/>
  <c r="AL11" i="19"/>
  <c r="AL14" i="19"/>
  <c r="AL18" i="19"/>
  <c r="AH14" i="19"/>
  <c r="AH19" i="19"/>
  <c r="AH18" i="19"/>
  <c r="AE22" i="19"/>
  <c r="AL26" i="19"/>
  <c r="AH17" i="19"/>
  <c r="AE14" i="19"/>
  <c r="AL24" i="19"/>
  <c r="AH13" i="19"/>
  <c r="AL17" i="19"/>
  <c r="AE25" i="19"/>
  <c r="AE15" i="19"/>
  <c r="AL15" i="19"/>
  <c r="AH22" i="19"/>
  <c r="AH12" i="19"/>
  <c r="AH25" i="19"/>
  <c r="AH15" i="19"/>
  <c r="AI27" i="19"/>
  <c r="AJ30" i="19" s="1"/>
  <c r="AL12" i="19"/>
  <c r="AH26" i="19"/>
  <c r="AG27" i="19"/>
  <c r="AH11" i="19"/>
  <c r="AH24" i="19"/>
  <c r="AH27" i="19" l="1"/>
  <c r="AH30" i="19"/>
  <c r="AG29" i="19"/>
  <c r="AH31" i="19" s="1"/>
  <c r="AJ27" i="19"/>
  <c r="AI29" i="19"/>
  <c r="AJ31" i="19" s="1"/>
  <c r="H69" i="19"/>
  <c r="AL27" i="19"/>
  <c r="AL30" i="19"/>
  <c r="G127" i="19"/>
  <c r="AD41" i="19"/>
  <c r="AE41" i="19" s="1"/>
  <c r="H57" i="19" l="1"/>
  <c r="H58" i="19"/>
  <c r="Z47" i="2"/>
  <c r="V128" i="2"/>
  <c r="AB128" i="2"/>
  <c r="U47" i="2"/>
  <c r="AB47" i="2"/>
  <c r="P128" i="2"/>
  <c r="L162" i="2"/>
  <c r="L164" i="2" s="1"/>
  <c r="AB162" i="2"/>
  <c r="AB164" i="2" s="1"/>
  <c r="Q168" i="2"/>
  <c r="H126" i="2"/>
  <c r="R128" i="2"/>
  <c r="K168" i="2"/>
  <c r="H161" i="2"/>
  <c r="Q128" i="2"/>
  <c r="J128" i="2"/>
  <c r="Z128" i="2"/>
  <c r="AC47" i="2"/>
  <c r="D12" i="1"/>
  <c r="Y128" i="2"/>
  <c r="H145" i="1"/>
  <c r="O47" i="2"/>
  <c r="Y47" i="2"/>
  <c r="Z162" i="2"/>
  <c r="Z164" i="2" s="1"/>
  <c r="H127" i="2"/>
  <c r="H149" i="2"/>
  <c r="T128" i="2"/>
  <c r="S47" i="2"/>
  <c r="Y150" i="2"/>
  <c r="Y155" i="2"/>
  <c r="AA47" i="2"/>
  <c r="U51" i="2"/>
  <c r="T169" i="2"/>
  <c r="V47" i="2"/>
  <c r="X162" i="2"/>
  <c r="X164" i="2" s="1"/>
  <c r="N150" i="2"/>
  <c r="N155" i="2" s="1"/>
  <c r="L47" i="2"/>
  <c r="F12" i="1"/>
  <c r="AC128" i="2"/>
  <c r="L128" i="2"/>
  <c r="L168" i="2"/>
  <c r="U128" i="2"/>
  <c r="U168" i="2"/>
  <c r="AA150" i="2"/>
  <c r="AA155" i="2"/>
  <c r="O168" i="2"/>
  <c r="AA168" i="2"/>
  <c r="K150" i="2"/>
  <c r="K155" i="2" s="1"/>
  <c r="H160" i="2"/>
  <c r="H162" i="2" s="1"/>
  <c r="H164" i="2" s="1"/>
  <c r="P176" i="2"/>
  <c r="P169" i="2"/>
  <c r="X169" i="2"/>
  <c r="T168" i="2"/>
  <c r="T170" i="2" s="1"/>
  <c r="S168" i="2"/>
  <c r="AE128" i="2"/>
  <c r="W128" i="2"/>
  <c r="N51" i="2"/>
  <c r="X47" i="2"/>
  <c r="N47" i="2"/>
  <c r="AD168" i="2"/>
  <c r="V168" i="2"/>
  <c r="M128" i="2"/>
  <c r="K51" i="2"/>
  <c r="R51" i="2"/>
  <c r="Q169" i="2"/>
  <c r="R47" i="2"/>
  <c r="T47" i="2"/>
  <c r="F161" i="1"/>
  <c r="J51" i="2"/>
  <c r="H15" i="2"/>
  <c r="Z168" i="2"/>
  <c r="AA128" i="2"/>
  <c r="V162" i="2"/>
  <c r="V164" i="2" s="1"/>
  <c r="K145" i="1"/>
  <c r="P184" i="2"/>
  <c r="Q47" i="2"/>
  <c r="Q183" i="2" s="1"/>
  <c r="J168" i="2"/>
  <c r="O169" i="2"/>
  <c r="O170" i="2" s="1"/>
  <c r="AD150" i="2"/>
  <c r="AD155" i="2"/>
  <c r="L145" i="1"/>
  <c r="AC162" i="2"/>
  <c r="AC164" i="2" s="1"/>
  <c r="Q150" i="2"/>
  <c r="Q155" i="2" s="1"/>
  <c r="V150" i="2"/>
  <c r="V155" i="2"/>
  <c r="P168" i="2"/>
  <c r="P170" i="2" s="1"/>
  <c r="N128" i="2"/>
  <c r="K162" i="2"/>
  <c r="K164" i="2" s="1"/>
  <c r="R169" i="2"/>
  <c r="Y168" i="2"/>
  <c r="Y162" i="2"/>
  <c r="Y164" i="2" s="1"/>
  <c r="AB150" i="2"/>
  <c r="AB155" i="2" s="1"/>
  <c r="AB168" i="2"/>
  <c r="S128" i="2"/>
  <c r="H57" i="2"/>
  <c r="AD128" i="2"/>
  <c r="AC51" i="2"/>
  <c r="X168" i="2"/>
  <c r="X170" i="2"/>
  <c r="W168" i="2"/>
  <c r="G161" i="1"/>
  <c r="AC168" i="2"/>
  <c r="O51" i="2"/>
  <c r="J150" i="2"/>
  <c r="J155" i="2" s="1"/>
  <c r="O128" i="2"/>
  <c r="K47" i="2"/>
  <c r="M169" i="2"/>
  <c r="AD47" i="2"/>
  <c r="Z169" i="2"/>
  <c r="T162" i="2"/>
  <c r="T164" i="2" s="1"/>
  <c r="Z150" i="2"/>
  <c r="Z155" i="2"/>
  <c r="H63" i="2"/>
  <c r="J161" i="1"/>
  <c r="H12" i="2"/>
  <c r="O164" i="2"/>
  <c r="AD162" i="2"/>
  <c r="AD164" i="2" s="1"/>
  <c r="H43" i="2"/>
  <c r="O150" i="2"/>
  <c r="O155" i="2" s="1"/>
  <c r="K128" i="2"/>
  <c r="J162" i="2"/>
  <c r="J164" i="2" s="1"/>
  <c r="AA169" i="2"/>
  <c r="J47" i="2"/>
  <c r="X150" i="2"/>
  <c r="X155" i="2" s="1"/>
  <c r="V51" i="2"/>
  <c r="J169" i="2"/>
  <c r="W162" i="2"/>
  <c r="W164" i="2"/>
  <c r="T150" i="2"/>
  <c r="T155" i="2"/>
  <c r="H27" i="2"/>
  <c r="L150" i="2"/>
  <c r="L155" i="2" s="1"/>
  <c r="P47" i="2"/>
  <c r="P183" i="2" s="1"/>
  <c r="S162" i="2"/>
  <c r="S164" i="2" s="1"/>
  <c r="Y169" i="2"/>
  <c r="Y170" i="2" s="1"/>
  <c r="M47" i="2"/>
  <c r="H12" i="1"/>
  <c r="G145" i="1"/>
  <c r="K169" i="2"/>
  <c r="K170" i="2" s="1"/>
  <c r="R150" i="2"/>
  <c r="R155" i="2" s="1"/>
  <c r="I145" i="1"/>
  <c r="G12" i="1"/>
  <c r="F145" i="1" s="1"/>
  <c r="G176" i="1"/>
  <c r="Q162" i="2"/>
  <c r="Q164" i="2" s="1"/>
  <c r="H176" i="1"/>
  <c r="J145" i="1"/>
  <c r="M51" i="2"/>
  <c r="Q51" i="2"/>
  <c r="Q184" i="2" s="1"/>
  <c r="U169" i="2"/>
  <c r="U170" i="2" s="1"/>
  <c r="L169" i="2"/>
  <c r="K161" i="1"/>
  <c r="N168" i="2"/>
  <c r="W47" i="2"/>
  <c r="R162" i="2"/>
  <c r="R164" i="2" s="1"/>
  <c r="O9" i="1"/>
  <c r="G158" i="1" s="1"/>
  <c r="AB169" i="2"/>
  <c r="Y51" i="2"/>
  <c r="N169" i="2"/>
  <c r="I161" i="1"/>
  <c r="I176" i="1"/>
  <c r="H42" i="2"/>
  <c r="U150" i="2"/>
  <c r="U155" i="2" s="1"/>
  <c r="H35" i="2"/>
  <c r="U17" i="2"/>
  <c r="H49" i="2"/>
  <c r="F176" i="1"/>
  <c r="N162" i="2"/>
  <c r="N164" i="2"/>
  <c r="H161" i="1"/>
  <c r="H13" i="2"/>
  <c r="AC150" i="2"/>
  <c r="AC155" i="2" s="1"/>
  <c r="S169" i="2"/>
  <c r="P150" i="2"/>
  <c r="P155" i="2" s="1"/>
  <c r="W169" i="2"/>
  <c r="V9" i="1"/>
  <c r="H173" i="1" s="1"/>
  <c r="U162" i="2"/>
  <c r="U164" i="2" s="1"/>
  <c r="H11" i="2"/>
  <c r="AA162" i="2"/>
  <c r="AA164" i="2" s="1"/>
  <c r="H41" i="2"/>
  <c r="AD51" i="2"/>
  <c r="W150" i="2"/>
  <c r="W155" i="2" s="1"/>
  <c r="AB17" i="2"/>
  <c r="J176" i="1"/>
  <c r="R168" i="2"/>
  <c r="R170" i="2" s="1"/>
  <c r="T51" i="2"/>
  <c r="S150" i="2"/>
  <c r="S155" i="2" s="1"/>
  <c r="X51" i="2"/>
  <c r="W17" i="2"/>
  <c r="AA51" i="2"/>
  <c r="O17" i="2"/>
  <c r="T17" i="2"/>
  <c r="AE150" i="2"/>
  <c r="AE155" i="2" s="1"/>
  <c r="E12" i="1"/>
  <c r="D145" i="1"/>
  <c r="Z51" i="2"/>
  <c r="P17" i="2"/>
  <c r="J9" i="1" s="1"/>
  <c r="I142" i="1" s="1"/>
  <c r="V169" i="2"/>
  <c r="N9" i="2"/>
  <c r="AC9" i="2"/>
  <c r="AD169" i="2"/>
  <c r="AD170" i="2" s="1"/>
  <c r="AD17" i="2"/>
  <c r="S17" i="2"/>
  <c r="M9" i="1" s="1"/>
  <c r="L142" i="1" s="1"/>
  <c r="P162" i="2"/>
  <c r="P164" i="2" s="1"/>
  <c r="H141" i="1"/>
  <c r="E8" i="1"/>
  <c r="D141" i="1" s="1"/>
  <c r="E10" i="1"/>
  <c r="L17" i="2"/>
  <c r="F9" i="1" s="1"/>
  <c r="N17" i="2"/>
  <c r="H9" i="1"/>
  <c r="G142" i="1" s="1"/>
  <c r="AB51" i="2"/>
  <c r="M17" i="2"/>
  <c r="G9" i="1"/>
  <c r="F142" i="1" s="1"/>
  <c r="K17" i="2"/>
  <c r="E9" i="1"/>
  <c r="D142" i="1" s="1"/>
  <c r="AC169" i="2"/>
  <c r="AB9" i="2"/>
  <c r="V8" i="1"/>
  <c r="H172" i="1" s="1"/>
  <c r="M168" i="2"/>
  <c r="M170" i="2" s="1"/>
  <c r="K45" i="2"/>
  <c r="AA17" i="2"/>
  <c r="U9" i="1"/>
  <c r="G173" i="1"/>
  <c r="M162" i="2"/>
  <c r="M164" i="2" s="1"/>
  <c r="K9" i="2"/>
  <c r="L51" i="2"/>
  <c r="Q17" i="2"/>
  <c r="K9" i="1"/>
  <c r="J142" i="1" s="1"/>
  <c r="Q176" i="2"/>
  <c r="O9" i="2"/>
  <c r="L8" i="1"/>
  <c r="W9" i="2"/>
  <c r="W45" i="2" s="1"/>
  <c r="Q8" i="1"/>
  <c r="I157" i="1" s="1"/>
  <c r="X128" i="2"/>
  <c r="W51" i="2"/>
  <c r="S51" i="2"/>
  <c r="V17" i="2"/>
  <c r="R9" i="2"/>
  <c r="AA9" i="2"/>
  <c r="AA45" i="2" s="1"/>
  <c r="L9" i="2"/>
  <c r="L45" i="2" s="1"/>
  <c r="AC17" i="2"/>
  <c r="W9" i="1"/>
  <c r="I173" i="1" s="1"/>
  <c r="Q9" i="2"/>
  <c r="J17" i="2"/>
  <c r="Z17" i="2"/>
  <c r="T9" i="1" s="1"/>
  <c r="F173" i="1" s="1"/>
  <c r="X17" i="2"/>
  <c r="V9" i="2"/>
  <c r="M9" i="2"/>
  <c r="M45" i="2"/>
  <c r="M150" i="2"/>
  <c r="M155" i="2" s="1"/>
  <c r="U9" i="2"/>
  <c r="Y17" i="2"/>
  <c r="S9" i="2"/>
  <c r="AD9" i="2"/>
  <c r="Z9" i="2"/>
  <c r="T9" i="2"/>
  <c r="R17" i="2"/>
  <c r="P9" i="2"/>
  <c r="X9" i="2"/>
  <c r="Y9" i="2"/>
  <c r="J9" i="2"/>
  <c r="P185" i="2" l="1"/>
  <c r="H9" i="2"/>
  <c r="D8" i="1"/>
  <c r="J45" i="2"/>
  <c r="Y45" i="2"/>
  <c r="S8" i="1"/>
  <c r="G175" i="1"/>
  <c r="AA61" i="2"/>
  <c r="T45" i="2"/>
  <c r="N8" i="1"/>
  <c r="D143" i="1"/>
  <c r="G11" i="1"/>
  <c r="F144" i="1" s="1"/>
  <c r="M61" i="2"/>
  <c r="F11" i="1"/>
  <c r="L61" i="2"/>
  <c r="S9" i="1"/>
  <c r="K158" i="1" s="1"/>
  <c r="G8" i="1"/>
  <c r="X45" i="2"/>
  <c r="R8" i="1"/>
  <c r="U8" i="1"/>
  <c r="H142" i="1"/>
  <c r="P174" i="2"/>
  <c r="J8" i="1"/>
  <c r="P45" i="2"/>
  <c r="X8" i="1"/>
  <c r="U45" i="2"/>
  <c r="O8" i="1"/>
  <c r="Z45" i="2"/>
  <c r="T8" i="1"/>
  <c r="L9" i="1"/>
  <c r="K142" i="1" s="1"/>
  <c r="R45" i="2"/>
  <c r="M8" i="1"/>
  <c r="S45" i="2"/>
  <c r="P175" i="2"/>
  <c r="H17" i="2"/>
  <c r="E11" i="1"/>
  <c r="D144" i="1" s="1"/>
  <c r="K61" i="2"/>
  <c r="H155" i="2"/>
  <c r="I160" i="1"/>
  <c r="W61" i="2"/>
  <c r="AC45" i="2"/>
  <c r="AC170" i="2"/>
  <c r="V45" i="2"/>
  <c r="D9" i="1"/>
  <c r="F8" i="1"/>
  <c r="F10" i="1" s="1"/>
  <c r="K141" i="1"/>
  <c r="O45" i="2"/>
  <c r="Q175" i="2"/>
  <c r="Q179" i="2" s="1"/>
  <c r="V10" i="1"/>
  <c r="H8" i="1"/>
  <c r="AB45" i="2"/>
  <c r="Y10" i="1"/>
  <c r="X9" i="1"/>
  <c r="J173" i="1" s="1"/>
  <c r="K8" i="1"/>
  <c r="N45" i="2"/>
  <c r="P9" i="1"/>
  <c r="H158" i="1" s="1"/>
  <c r="P8" i="1"/>
  <c r="R9" i="1"/>
  <c r="J158" i="1" s="1"/>
  <c r="Q174" i="2"/>
  <c r="Q45" i="2"/>
  <c r="V170" i="2"/>
  <c r="W8" i="1"/>
  <c r="Q9" i="1"/>
  <c r="N9" i="1"/>
  <c r="F158" i="1" s="1"/>
  <c r="H47" i="2"/>
  <c r="AB170" i="2"/>
  <c r="L170" i="2"/>
  <c r="Q170" i="2"/>
  <c r="H51" i="2"/>
  <c r="N170" i="2"/>
  <c r="P179" i="2"/>
  <c r="J170" i="2"/>
  <c r="H168" i="2"/>
  <c r="S170" i="2"/>
  <c r="AA170" i="2"/>
  <c r="Q185" i="2"/>
  <c r="H150" i="2"/>
  <c r="W170" i="2"/>
  <c r="H169" i="2"/>
  <c r="Z170" i="2"/>
  <c r="H128" i="2"/>
  <c r="AD61" i="2" l="1"/>
  <c r="M65" i="2"/>
  <c r="M72" i="2"/>
  <c r="M85" i="2" s="1"/>
  <c r="L144" i="1"/>
  <c r="S61" i="2"/>
  <c r="X10" i="1"/>
  <c r="J172" i="1"/>
  <c r="S10" i="1"/>
  <c r="K157" i="1"/>
  <c r="O61" i="2"/>
  <c r="H144" i="1"/>
  <c r="K144" i="1"/>
  <c r="R61" i="2"/>
  <c r="J157" i="1"/>
  <c r="R10" i="1"/>
  <c r="Y61" i="2"/>
  <c r="K160" i="1"/>
  <c r="Q178" i="2"/>
  <c r="Q61" i="2"/>
  <c r="J144" i="1"/>
  <c r="K65" i="2"/>
  <c r="K72" i="2"/>
  <c r="K85" i="2" s="1"/>
  <c r="P178" i="2"/>
  <c r="I144" i="1"/>
  <c r="P61" i="2"/>
  <c r="X61" i="2"/>
  <c r="J160" i="1"/>
  <c r="I172" i="1"/>
  <c r="W10" i="1"/>
  <c r="F13" i="1"/>
  <c r="F15" i="1" s="1"/>
  <c r="I141" i="1"/>
  <c r="F141" i="1"/>
  <c r="G10" i="1"/>
  <c r="E13" i="1"/>
  <c r="L141" i="1"/>
  <c r="M10" i="1"/>
  <c r="P180" i="2"/>
  <c r="G172" i="1"/>
  <c r="U10" i="1"/>
  <c r="H174" i="1"/>
  <c r="H143" i="1"/>
  <c r="G141" i="1"/>
  <c r="H10" i="1"/>
  <c r="N61" i="2"/>
  <c r="H11" i="1"/>
  <c r="G144" i="1" s="1"/>
  <c r="H157" i="1"/>
  <c r="P10" i="1"/>
  <c r="AB61" i="2"/>
  <c r="H175" i="1"/>
  <c r="H160" i="1"/>
  <c r="V61" i="2"/>
  <c r="F172" i="1"/>
  <c r="T10" i="1"/>
  <c r="F157" i="1"/>
  <c r="N10" i="1"/>
  <c r="D11" i="1"/>
  <c r="H45" i="2"/>
  <c r="J61" i="2"/>
  <c r="I158" i="1"/>
  <c r="Q10" i="1"/>
  <c r="H170" i="2"/>
  <c r="F175" i="1"/>
  <c r="Z61" i="2"/>
  <c r="J141" i="1"/>
  <c r="I175" i="1"/>
  <c r="AC61" i="2"/>
  <c r="G157" i="1"/>
  <c r="O10" i="1"/>
  <c r="L10" i="1"/>
  <c r="F160" i="1"/>
  <c r="T61" i="2"/>
  <c r="D10" i="1"/>
  <c r="D13" i="1" s="1"/>
  <c r="D15" i="1" s="1"/>
  <c r="D16" i="1" s="1"/>
  <c r="W65" i="2"/>
  <c r="W72" i="2"/>
  <c r="W85" i="2" s="1"/>
  <c r="U61" i="2"/>
  <c r="G160" i="1"/>
  <c r="L65" i="2"/>
  <c r="L72" i="2"/>
  <c r="L85" i="2" s="1"/>
  <c r="AA65" i="2"/>
  <c r="AA72" i="2"/>
  <c r="AA85" i="2" s="1"/>
  <c r="R65" i="2" l="1"/>
  <c r="R72" i="2"/>
  <c r="R85" i="2" s="1"/>
  <c r="X65" i="2"/>
  <c r="X72" i="2"/>
  <c r="X85" i="2" s="1"/>
  <c r="J174" i="1"/>
  <c r="X13" i="1"/>
  <c r="H61" i="2"/>
  <c r="J65" i="2"/>
  <c r="J72" i="2"/>
  <c r="L143" i="1"/>
  <c r="M13" i="1"/>
  <c r="Y65" i="2"/>
  <c r="Y72" i="2"/>
  <c r="Y85" i="2" s="1"/>
  <c r="AD72" i="2"/>
  <c r="AD85" i="2" s="1"/>
  <c r="K159" i="1"/>
  <c r="S13" i="1"/>
  <c r="H13" i="1"/>
  <c r="G143" i="1"/>
  <c r="D146" i="1"/>
  <c r="E15" i="1"/>
  <c r="P65" i="2"/>
  <c r="P188" i="2" s="1"/>
  <c r="P72" i="2"/>
  <c r="P85" i="2" s="1"/>
  <c r="J175" i="1"/>
  <c r="K143" i="1"/>
  <c r="L13" i="1"/>
  <c r="F143" i="1"/>
  <c r="G13" i="1"/>
  <c r="S65" i="2"/>
  <c r="S72" i="2"/>
  <c r="S85" i="2" s="1"/>
  <c r="R13" i="1"/>
  <c r="J159" i="1"/>
  <c r="T65" i="2"/>
  <c r="T72" i="2"/>
  <c r="T85" i="2" s="1"/>
  <c r="Z65" i="2"/>
  <c r="Z72" i="2"/>
  <c r="Z85" i="2" s="1"/>
  <c r="I143" i="1"/>
  <c r="J13" i="1"/>
  <c r="K13" i="1"/>
  <c r="J143" i="1"/>
  <c r="N65" i="2"/>
  <c r="N72" i="2"/>
  <c r="N85" i="2" s="1"/>
  <c r="V72" i="2"/>
  <c r="V85" i="2" s="1"/>
  <c r="V65" i="2"/>
  <c r="H146" i="1"/>
  <c r="P189" i="2"/>
  <c r="O65" i="2"/>
  <c r="O72" i="2"/>
  <c r="O85" i="2" s="1"/>
  <c r="G159" i="1"/>
  <c r="O13" i="1"/>
  <c r="U65" i="2"/>
  <c r="U72" i="2"/>
  <c r="U85" i="2" s="1"/>
  <c r="V13" i="1"/>
  <c r="F159" i="1"/>
  <c r="N13" i="1"/>
  <c r="Q180" i="2"/>
  <c r="AB65" i="2"/>
  <c r="AB72" i="2"/>
  <c r="AB85" i="2" s="1"/>
  <c r="W13" i="1"/>
  <c r="I174" i="1"/>
  <c r="P13" i="1"/>
  <c r="H159" i="1"/>
  <c r="T13" i="1"/>
  <c r="F174" i="1"/>
  <c r="AC65" i="2"/>
  <c r="AC72" i="2"/>
  <c r="AC85" i="2" s="1"/>
  <c r="I159" i="1"/>
  <c r="Q13" i="1"/>
  <c r="U13" i="1"/>
  <c r="G174" i="1"/>
  <c r="Q65" i="2"/>
  <c r="Q188" i="2" s="1"/>
  <c r="Q189" i="2" s="1"/>
  <c r="Q72" i="2"/>
  <c r="Q85" i="2" s="1"/>
  <c r="Y15" i="1" l="1"/>
  <c r="H148" i="1"/>
  <c r="P15" i="1"/>
  <c r="H162" i="1"/>
  <c r="U15" i="1"/>
  <c r="G177" i="1"/>
  <c r="Q15" i="1"/>
  <c r="I162" i="1"/>
  <c r="R15" i="1"/>
  <c r="J162" i="1"/>
  <c r="L146" i="1"/>
  <c r="M15" i="1"/>
  <c r="D148" i="1"/>
  <c r="H72" i="2"/>
  <c r="J85" i="2"/>
  <c r="W15" i="1"/>
  <c r="I177" i="1"/>
  <c r="N15" i="1"/>
  <c r="F162" i="1"/>
  <c r="H65" i="2"/>
  <c r="H177" i="1"/>
  <c r="V15" i="1"/>
  <c r="G162" i="1"/>
  <c r="O15" i="1"/>
  <c r="J146" i="1"/>
  <c r="K15" i="1"/>
  <c r="G146" i="1"/>
  <c r="H15" i="1"/>
  <c r="I146" i="1"/>
  <c r="T15" i="1"/>
  <c r="F177" i="1"/>
  <c r="F146" i="1"/>
  <c r="G15" i="1"/>
  <c r="S15" i="1"/>
  <c r="K162" i="1"/>
  <c r="J177" i="1"/>
  <c r="X15" i="1"/>
  <c r="L15" i="1"/>
  <c r="K146" i="1"/>
  <c r="G164" i="1" l="1"/>
  <c r="F179" i="1"/>
  <c r="L148" i="1"/>
  <c r="H179" i="1"/>
  <c r="H164" i="1"/>
  <c r="I148" i="1"/>
  <c r="J164" i="1"/>
  <c r="I164" i="1"/>
  <c r="K148" i="1"/>
  <c r="G179" i="1"/>
  <c r="J179" i="1"/>
  <c r="F164" i="1"/>
  <c r="I179" i="1"/>
  <c r="G148" i="1"/>
  <c r="H85" i="2"/>
  <c r="K112" i="2"/>
  <c r="K102" i="2"/>
  <c r="K105" i="2"/>
  <c r="K94" i="2"/>
  <c r="K101" i="2"/>
  <c r="K114" i="2"/>
  <c r="K104" i="2"/>
  <c r="K90" i="2"/>
  <c r="K118" i="2"/>
  <c r="K108" i="2"/>
  <c r="K96" i="2"/>
  <c r="K115" i="2"/>
  <c r="K93" i="2"/>
  <c r="K116" i="2"/>
  <c r="K106" i="2"/>
  <c r="K97" i="2"/>
  <c r="K111" i="2"/>
  <c r="K119" i="2"/>
  <c r="K99" i="2"/>
  <c r="K113" i="2"/>
  <c r="J123" i="2"/>
  <c r="K110" i="2"/>
  <c r="K98" i="2"/>
  <c r="K91" i="2"/>
  <c r="K107" i="2"/>
  <c r="K95" i="2"/>
  <c r="K92" i="2"/>
  <c r="K100" i="2"/>
  <c r="K103" i="2"/>
  <c r="K109" i="2"/>
  <c r="K117" i="2"/>
  <c r="K164" i="1"/>
  <c r="F148" i="1"/>
  <c r="J148" i="1"/>
  <c r="K121" i="2" l="1"/>
  <c r="L114" i="2"/>
  <c r="L101" i="2"/>
  <c r="L107" i="2"/>
  <c r="L111" i="2"/>
  <c r="L103" i="2"/>
  <c r="L93" i="2"/>
  <c r="L110" i="2"/>
  <c r="L108" i="2"/>
  <c r="L113" i="2"/>
  <c r="L91" i="2"/>
  <c r="L106" i="2"/>
  <c r="L119" i="2"/>
  <c r="L94" i="2"/>
  <c r="L96" i="2"/>
  <c r="L102" i="2"/>
  <c r="L104" i="2"/>
  <c r="L105" i="2"/>
  <c r="L97" i="2"/>
  <c r="L99" i="2"/>
  <c r="L90" i="2"/>
  <c r="L98" i="2"/>
  <c r="L116" i="2"/>
  <c r="L115" i="2"/>
  <c r="L109" i="2"/>
  <c r="L92" i="2"/>
  <c r="L117" i="2"/>
  <c r="L112" i="2"/>
  <c r="L95" i="2"/>
  <c r="L118" i="2"/>
  <c r="L100" i="2"/>
  <c r="J129" i="2"/>
  <c r="K142" i="2" s="1"/>
  <c r="K141" i="2"/>
  <c r="K135" i="2"/>
  <c r="K134" i="2"/>
  <c r="J147" i="2"/>
  <c r="K137" i="2"/>
  <c r="K138" i="2"/>
  <c r="K133" i="2"/>
  <c r="K139" i="2"/>
  <c r="K140" i="2"/>
  <c r="K136" i="2"/>
  <c r="L121" i="2" l="1"/>
  <c r="L123" i="2" s="1"/>
  <c r="M98" i="2"/>
  <c r="M114" i="2"/>
  <c r="M92" i="2"/>
  <c r="M117" i="2"/>
  <c r="M94" i="2"/>
  <c r="M109" i="2"/>
  <c r="M112" i="2"/>
  <c r="M100" i="2"/>
  <c r="M119" i="2"/>
  <c r="M96" i="2"/>
  <c r="M101" i="2"/>
  <c r="M102" i="2"/>
  <c r="M99" i="2"/>
  <c r="M105" i="2"/>
  <c r="M107" i="2"/>
  <c r="M91" i="2"/>
  <c r="M93" i="2"/>
  <c r="M95" i="2"/>
  <c r="M106" i="2"/>
  <c r="M116" i="2"/>
  <c r="M118" i="2"/>
  <c r="M111" i="2"/>
  <c r="M103" i="2"/>
  <c r="M113" i="2"/>
  <c r="M104" i="2"/>
  <c r="M90" i="2"/>
  <c r="M97" i="2"/>
  <c r="M110" i="2"/>
  <c r="M115" i="2"/>
  <c r="M108" i="2"/>
  <c r="K123" i="2"/>
  <c r="K144" i="2"/>
  <c r="E16" i="1"/>
  <c r="J148" i="2"/>
  <c r="M121" i="2" l="1"/>
  <c r="N97" i="2"/>
  <c r="N98" i="2"/>
  <c r="N115" i="2"/>
  <c r="N106" i="2"/>
  <c r="N109" i="2"/>
  <c r="N116" i="2"/>
  <c r="N118" i="2"/>
  <c r="N108" i="2"/>
  <c r="N90" i="2"/>
  <c r="N99" i="2"/>
  <c r="N110" i="2"/>
  <c r="N105" i="2"/>
  <c r="N114" i="2"/>
  <c r="N119" i="2"/>
  <c r="N117" i="2"/>
  <c r="N112" i="2"/>
  <c r="N93" i="2"/>
  <c r="N113" i="2"/>
  <c r="N102" i="2"/>
  <c r="N107" i="2"/>
  <c r="N94" i="2"/>
  <c r="N96" i="2"/>
  <c r="N100" i="2"/>
  <c r="N104" i="2"/>
  <c r="N92" i="2"/>
  <c r="N91" i="2"/>
  <c r="N101" i="2"/>
  <c r="N95" i="2"/>
  <c r="N103" i="2"/>
  <c r="N111" i="2"/>
  <c r="L135" i="2"/>
  <c r="L137" i="2"/>
  <c r="L139" i="2"/>
  <c r="L141" i="2"/>
  <c r="K129" i="2"/>
  <c r="L136" i="2"/>
  <c r="L138" i="2"/>
  <c r="L140" i="2"/>
  <c r="K147" i="2"/>
  <c r="L142" i="2"/>
  <c r="L133" i="2"/>
  <c r="L134" i="2"/>
  <c r="M139" i="2" l="1"/>
  <c r="L144" i="2"/>
  <c r="M135" i="2"/>
  <c r="M137" i="2"/>
  <c r="M134" i="2"/>
  <c r="M140" i="2"/>
  <c r="N121" i="2"/>
  <c r="N123" i="2" s="1"/>
  <c r="O103" i="2"/>
  <c r="O93" i="2"/>
  <c r="O92" i="2"/>
  <c r="O105" i="2"/>
  <c r="O97" i="2"/>
  <c r="O112" i="2"/>
  <c r="O116" i="2"/>
  <c r="O100" i="2"/>
  <c r="O109" i="2"/>
  <c r="O98" i="2"/>
  <c r="O117" i="2"/>
  <c r="O114" i="2"/>
  <c r="O110" i="2"/>
  <c r="O113" i="2"/>
  <c r="O106" i="2"/>
  <c r="O94" i="2"/>
  <c r="O91" i="2"/>
  <c r="O101" i="2"/>
  <c r="O119" i="2"/>
  <c r="O104" i="2"/>
  <c r="O96" i="2"/>
  <c r="O107" i="2"/>
  <c r="O90" i="2"/>
  <c r="O115" i="2"/>
  <c r="O99" i="2"/>
  <c r="O108" i="2"/>
  <c r="O118" i="2"/>
  <c r="O102" i="2"/>
  <c r="O111" i="2"/>
  <c r="O95" i="2"/>
  <c r="M123" i="2"/>
  <c r="M141" i="2"/>
  <c r="K148" i="2"/>
  <c r="M138" i="2"/>
  <c r="M133" i="2"/>
  <c r="M136" i="2"/>
  <c r="F16" i="1"/>
  <c r="G16" i="1" l="1"/>
  <c r="L129" i="2"/>
  <c r="L147" i="2"/>
  <c r="O121" i="2"/>
  <c r="O123" i="2" s="1"/>
  <c r="P112" i="2"/>
  <c r="P114" i="2"/>
  <c r="P117" i="2"/>
  <c r="P100" i="2"/>
  <c r="P97" i="2"/>
  <c r="P102" i="2"/>
  <c r="P119" i="2"/>
  <c r="P90" i="2"/>
  <c r="P111" i="2"/>
  <c r="P105" i="2"/>
  <c r="P108" i="2"/>
  <c r="P116" i="2"/>
  <c r="P91" i="2"/>
  <c r="P96" i="2"/>
  <c r="P109" i="2"/>
  <c r="P106" i="2"/>
  <c r="P107" i="2"/>
  <c r="P118" i="2"/>
  <c r="P93" i="2"/>
  <c r="P115" i="2"/>
  <c r="P110" i="2"/>
  <c r="P113" i="2"/>
  <c r="P95" i="2"/>
  <c r="P101" i="2"/>
  <c r="P99" i="2"/>
  <c r="P98" i="2"/>
  <c r="P92" i="2"/>
  <c r="P103" i="2"/>
  <c r="P104" i="2"/>
  <c r="P94" i="2"/>
  <c r="N135" i="2"/>
  <c r="N137" i="2"/>
  <c r="N136" i="2"/>
  <c r="N139" i="2"/>
  <c r="N133" i="2"/>
  <c r="N140" i="2"/>
  <c r="N138" i="2"/>
  <c r="N134" i="2"/>
  <c r="O133" i="2" s="1"/>
  <c r="O134" i="2" l="1"/>
  <c r="I16" i="1" s="1"/>
  <c r="P133" i="2"/>
  <c r="O135" i="2"/>
  <c r="P134" i="2" s="1"/>
  <c r="P121" i="2"/>
  <c r="P123" i="2" s="1"/>
  <c r="Q113" i="2"/>
  <c r="Q106" i="2"/>
  <c r="Q91" i="2"/>
  <c r="Q92" i="2"/>
  <c r="Q93" i="2"/>
  <c r="Q107" i="2"/>
  <c r="Q110" i="2"/>
  <c r="Q103" i="2"/>
  <c r="Q98" i="2"/>
  <c r="Q108" i="2"/>
  <c r="Q115" i="2"/>
  <c r="Q114" i="2"/>
  <c r="Q109" i="2"/>
  <c r="Q94" i="2"/>
  <c r="Q117" i="2"/>
  <c r="Q99" i="2"/>
  <c r="Q104" i="2"/>
  <c r="Q101" i="2"/>
  <c r="Q96" i="2"/>
  <c r="Q119" i="2"/>
  <c r="Q111" i="2"/>
  <c r="Q95" i="2"/>
  <c r="Q116" i="2"/>
  <c r="Q105" i="2"/>
  <c r="Q112" i="2"/>
  <c r="Q97" i="2"/>
  <c r="Q118" i="2"/>
  <c r="Q102" i="2"/>
  <c r="Q100" i="2"/>
  <c r="Q90" i="2"/>
  <c r="O137" i="2"/>
  <c r="H16" i="1"/>
  <c r="O138" i="2"/>
  <c r="M142" i="2"/>
  <c r="O136" i="2"/>
  <c r="P135" i="2" s="1"/>
  <c r="O139" i="2"/>
  <c r="L148" i="2"/>
  <c r="P136" i="2" l="1"/>
  <c r="N141" i="2"/>
  <c r="M144" i="2"/>
  <c r="P137" i="2"/>
  <c r="Q136" i="2" s="1"/>
  <c r="Q134" i="2"/>
  <c r="Q135" i="2"/>
  <c r="Q133" i="2"/>
  <c r="Q121" i="2"/>
  <c r="R111" i="2"/>
  <c r="R105" i="2"/>
  <c r="R117" i="2"/>
  <c r="R119" i="2"/>
  <c r="R108" i="2"/>
  <c r="R112" i="2"/>
  <c r="R92" i="2"/>
  <c r="R96" i="2"/>
  <c r="R110" i="2"/>
  <c r="R115" i="2"/>
  <c r="R102" i="2"/>
  <c r="R107" i="2"/>
  <c r="R95" i="2"/>
  <c r="R109" i="2"/>
  <c r="R103" i="2"/>
  <c r="R118" i="2"/>
  <c r="R93" i="2"/>
  <c r="R94" i="2"/>
  <c r="R91" i="2"/>
  <c r="R90" i="2"/>
  <c r="R113" i="2"/>
  <c r="R104" i="2"/>
  <c r="R114" i="2"/>
  <c r="R97" i="2"/>
  <c r="R106" i="2"/>
  <c r="R99" i="2"/>
  <c r="R98" i="2"/>
  <c r="R116" i="2"/>
  <c r="R100" i="2"/>
  <c r="R101" i="2"/>
  <c r="P138" i="2"/>
  <c r="Q137" i="2" s="1"/>
  <c r="Q123" i="2" l="1"/>
  <c r="M129" i="2"/>
  <c r="N142" i="2" s="1"/>
  <c r="M147" i="2"/>
  <c r="N144" i="2"/>
  <c r="O141" i="2"/>
  <c r="O140" i="2"/>
  <c r="R121" i="2"/>
  <c r="R123" i="2" s="1"/>
  <c r="S108" i="2"/>
  <c r="S119" i="2"/>
  <c r="S97" i="2"/>
  <c r="S105" i="2"/>
  <c r="S101" i="2"/>
  <c r="S116" i="2"/>
  <c r="S117" i="2"/>
  <c r="S98" i="2"/>
  <c r="S102" i="2"/>
  <c r="S94" i="2"/>
  <c r="S113" i="2"/>
  <c r="S109" i="2"/>
  <c r="S103" i="2"/>
  <c r="S99" i="2"/>
  <c r="S111" i="2"/>
  <c r="S110" i="2"/>
  <c r="S107" i="2"/>
  <c r="S106" i="2"/>
  <c r="S92" i="2"/>
  <c r="S96" i="2"/>
  <c r="S118" i="2"/>
  <c r="S114" i="2"/>
  <c r="S112" i="2"/>
  <c r="S91" i="2"/>
  <c r="S104" i="2"/>
  <c r="S90" i="2"/>
  <c r="S100" i="2"/>
  <c r="S93" i="2"/>
  <c r="S115" i="2"/>
  <c r="S95" i="2"/>
  <c r="N129" i="2" l="1"/>
  <c r="O142" i="2" s="1"/>
  <c r="N147" i="2"/>
  <c r="N148" i="2" s="1"/>
  <c r="P140" i="2"/>
  <c r="P141" i="2"/>
  <c r="P139" i="2"/>
  <c r="O144" i="2"/>
  <c r="S121" i="2"/>
  <c r="S123" i="2" s="1"/>
  <c r="T112" i="2"/>
  <c r="T99" i="2"/>
  <c r="T106" i="2"/>
  <c r="T94" i="2"/>
  <c r="T119" i="2"/>
  <c r="T91" i="2"/>
  <c r="T96" i="2"/>
  <c r="T104" i="2"/>
  <c r="T98" i="2"/>
  <c r="T90" i="2"/>
  <c r="T110" i="2"/>
  <c r="T118" i="2"/>
  <c r="T100" i="2"/>
  <c r="T95" i="2"/>
  <c r="T107" i="2"/>
  <c r="T116" i="2"/>
  <c r="T97" i="2"/>
  <c r="T109" i="2"/>
  <c r="T105" i="2"/>
  <c r="T115" i="2"/>
  <c r="T113" i="2"/>
  <c r="T108" i="2"/>
  <c r="T114" i="2"/>
  <c r="T101" i="2"/>
  <c r="T92" i="2"/>
  <c r="T117" i="2"/>
  <c r="T93" i="2"/>
  <c r="T102" i="2"/>
  <c r="T111" i="2"/>
  <c r="T103" i="2"/>
  <c r="M148" i="2"/>
  <c r="R136" i="2"/>
  <c r="R135" i="2"/>
  <c r="R134" i="2"/>
  <c r="R133" i="2"/>
  <c r="S135" i="2" l="1"/>
  <c r="O147" i="2"/>
  <c r="O129" i="2"/>
  <c r="P142" i="2" s="1"/>
  <c r="Q141" i="2" s="1"/>
  <c r="S133" i="2"/>
  <c r="Q139" i="2"/>
  <c r="Q140" i="2"/>
  <c r="Q138" i="2"/>
  <c r="S134" i="2"/>
  <c r="T121" i="2"/>
  <c r="T123" i="2" s="1"/>
  <c r="U90" i="2"/>
  <c r="U113" i="2"/>
  <c r="U91" i="2"/>
  <c r="U115" i="2"/>
  <c r="U98" i="2"/>
  <c r="U110" i="2"/>
  <c r="U103" i="2"/>
  <c r="U111" i="2"/>
  <c r="U92" i="2"/>
  <c r="U100" i="2"/>
  <c r="U105" i="2"/>
  <c r="U109" i="2"/>
  <c r="U104" i="2"/>
  <c r="U95" i="2"/>
  <c r="U114" i="2"/>
  <c r="U116" i="2"/>
  <c r="U97" i="2"/>
  <c r="U108" i="2"/>
  <c r="U94" i="2"/>
  <c r="U118" i="2"/>
  <c r="U102" i="2"/>
  <c r="U119" i="2"/>
  <c r="U112" i="2"/>
  <c r="U101" i="2"/>
  <c r="U106" i="2"/>
  <c r="U96" i="2"/>
  <c r="U99" i="2"/>
  <c r="U107" i="2"/>
  <c r="U117" i="2"/>
  <c r="U93" i="2"/>
  <c r="P144" i="2" l="1"/>
  <c r="T133" i="2"/>
  <c r="P147" i="2"/>
  <c r="P148" i="2" s="1"/>
  <c r="P129" i="2"/>
  <c r="Q142" i="2" s="1"/>
  <c r="Q144" i="2" s="1"/>
  <c r="R137" i="2"/>
  <c r="R139" i="2"/>
  <c r="R138" i="2"/>
  <c r="R140" i="2"/>
  <c r="O148" i="2"/>
  <c r="T134" i="2"/>
  <c r="U133" i="2" s="1"/>
  <c r="M4" i="1"/>
  <c r="U121" i="2"/>
  <c r="U123" i="2" s="1"/>
  <c r="V90" i="2"/>
  <c r="V92" i="2"/>
  <c r="V97" i="2"/>
  <c r="V119" i="2"/>
  <c r="V93" i="2"/>
  <c r="V95" i="2"/>
  <c r="V107" i="2"/>
  <c r="V112" i="2"/>
  <c r="V118" i="2"/>
  <c r="V105" i="2"/>
  <c r="V94" i="2"/>
  <c r="V98" i="2"/>
  <c r="V91" i="2"/>
  <c r="V101" i="2"/>
  <c r="V111" i="2"/>
  <c r="V109" i="2"/>
  <c r="V113" i="2"/>
  <c r="V115" i="2"/>
  <c r="V96" i="2"/>
  <c r="V102" i="2"/>
  <c r="V117" i="2"/>
  <c r="V104" i="2"/>
  <c r="V99" i="2"/>
  <c r="V100" i="2"/>
  <c r="V108" i="2"/>
  <c r="V110" i="2"/>
  <c r="V114" i="2"/>
  <c r="V106" i="2"/>
  <c r="V103" i="2"/>
  <c r="V116" i="2"/>
  <c r="R141" i="2" l="1"/>
  <c r="V121" i="2"/>
  <c r="V123" i="2" s="1"/>
  <c r="W103" i="2"/>
  <c r="W95" i="2"/>
  <c r="W104" i="2"/>
  <c r="W97" i="2"/>
  <c r="W114" i="2"/>
  <c r="W115" i="2"/>
  <c r="W108" i="2"/>
  <c r="W117" i="2"/>
  <c r="W101" i="2"/>
  <c r="W119" i="2"/>
  <c r="W94" i="2"/>
  <c r="W98" i="2"/>
  <c r="W102" i="2"/>
  <c r="W109" i="2"/>
  <c r="W99" i="2"/>
  <c r="W92" i="2"/>
  <c r="W111" i="2"/>
  <c r="W100" i="2"/>
  <c r="W105" i="2"/>
  <c r="W112" i="2"/>
  <c r="W96" i="2"/>
  <c r="W110" i="2"/>
  <c r="W91" i="2"/>
  <c r="W107" i="2"/>
  <c r="W118" i="2"/>
  <c r="W113" i="2"/>
  <c r="W106" i="2"/>
  <c r="W90" i="2"/>
  <c r="W116" i="2"/>
  <c r="W93" i="2"/>
  <c r="S139" i="2"/>
  <c r="S136" i="2"/>
  <c r="S140" i="2"/>
  <c r="S138" i="2"/>
  <c r="S137" i="2"/>
  <c r="Q147" i="2"/>
  <c r="Q148" i="2" s="1"/>
  <c r="Q129" i="2"/>
  <c r="R142" i="2" s="1"/>
  <c r="S141" i="2" l="1"/>
  <c r="R144" i="2"/>
  <c r="T137" i="2"/>
  <c r="T138" i="2"/>
  <c r="T139" i="2"/>
  <c r="T136" i="2"/>
  <c r="T140" i="2"/>
  <c r="T135" i="2"/>
  <c r="W121" i="2"/>
  <c r="W123" i="2" s="1"/>
  <c r="X92" i="2"/>
  <c r="X102" i="2"/>
  <c r="X100" i="2"/>
  <c r="X98" i="2"/>
  <c r="X111" i="2"/>
  <c r="X115" i="2"/>
  <c r="X113" i="2"/>
  <c r="X93" i="2"/>
  <c r="X90" i="2"/>
  <c r="X107" i="2"/>
  <c r="X109" i="2"/>
  <c r="X97" i="2"/>
  <c r="X95" i="2"/>
  <c r="X118" i="2"/>
  <c r="X106" i="2"/>
  <c r="X114" i="2"/>
  <c r="X108" i="2"/>
  <c r="X91" i="2"/>
  <c r="X104" i="2"/>
  <c r="X110" i="2"/>
  <c r="X99" i="2"/>
  <c r="X112" i="2"/>
  <c r="X101" i="2"/>
  <c r="X94" i="2"/>
  <c r="X117" i="2"/>
  <c r="X103" i="2"/>
  <c r="X105" i="2"/>
  <c r="X96" i="2"/>
  <c r="X119" i="2"/>
  <c r="X116" i="2"/>
  <c r="U137" i="2" l="1"/>
  <c r="U136" i="2"/>
  <c r="U134" i="2"/>
  <c r="U139" i="2"/>
  <c r="U135" i="2"/>
  <c r="U138" i="2"/>
  <c r="R147" i="2"/>
  <c r="R148" i="2" s="1"/>
  <c r="R129" i="2"/>
  <c r="S142" i="2" s="1"/>
  <c r="X121" i="2"/>
  <c r="X123" i="2" s="1"/>
  <c r="Y108" i="2"/>
  <c r="Y115" i="2"/>
  <c r="Y92" i="2"/>
  <c r="Y118" i="2"/>
  <c r="Y101" i="2"/>
  <c r="Y112" i="2"/>
  <c r="Y91" i="2"/>
  <c r="Y104" i="2"/>
  <c r="Y111" i="2"/>
  <c r="Y109" i="2"/>
  <c r="Y98" i="2"/>
  <c r="Y116" i="2"/>
  <c r="Y107" i="2"/>
  <c r="Y95" i="2"/>
  <c r="Y97" i="2"/>
  <c r="Y102" i="2"/>
  <c r="Y96" i="2"/>
  <c r="Y93" i="2"/>
  <c r="Y119" i="2"/>
  <c r="Y106" i="2"/>
  <c r="Y94" i="2"/>
  <c r="Y99" i="2"/>
  <c r="Y117" i="2"/>
  <c r="Y90" i="2"/>
  <c r="Y113" i="2"/>
  <c r="Y103" i="2"/>
  <c r="Y110" i="2"/>
  <c r="Y100" i="2"/>
  <c r="Y114" i="2"/>
  <c r="Y105" i="2"/>
  <c r="V133" i="2" l="1"/>
  <c r="V135" i="2"/>
  <c r="V134" i="2"/>
  <c r="V136" i="2"/>
  <c r="V138" i="2"/>
  <c r="V137" i="2"/>
  <c r="S144" i="2"/>
  <c r="T141" i="2"/>
  <c r="Y121" i="2"/>
  <c r="Y123" i="2" s="1"/>
  <c r="Z106" i="2"/>
  <c r="Z111" i="2"/>
  <c r="Z112" i="2"/>
  <c r="Z114" i="2"/>
  <c r="Z117" i="2"/>
  <c r="Z90" i="2"/>
  <c r="Z104" i="2"/>
  <c r="Z94" i="2"/>
  <c r="Z110" i="2"/>
  <c r="Z119" i="2"/>
  <c r="Z96" i="2"/>
  <c r="Z98" i="2"/>
  <c r="Z92" i="2"/>
  <c r="Z105" i="2"/>
  <c r="Z91" i="2"/>
  <c r="Z115" i="2"/>
  <c r="Z100" i="2"/>
  <c r="Z107" i="2"/>
  <c r="Z102" i="2"/>
  <c r="Z116" i="2"/>
  <c r="Z108" i="2"/>
  <c r="Z113" i="2"/>
  <c r="Z118" i="2"/>
  <c r="Z93" i="2"/>
  <c r="Z109" i="2"/>
  <c r="Z103" i="2"/>
  <c r="Z99" i="2"/>
  <c r="Z101" i="2"/>
  <c r="Z95" i="2"/>
  <c r="Z97" i="2"/>
  <c r="U140" i="2" l="1"/>
  <c r="W137" i="2"/>
  <c r="W134" i="2"/>
  <c r="W133" i="2"/>
  <c r="W136" i="2"/>
  <c r="W135" i="2"/>
  <c r="Z121" i="2"/>
  <c r="Z123" i="2" s="1"/>
  <c r="AA99" i="2"/>
  <c r="AA118" i="2"/>
  <c r="AA107" i="2"/>
  <c r="AA116" i="2"/>
  <c r="AA117" i="2"/>
  <c r="AA93" i="2"/>
  <c r="AA113" i="2"/>
  <c r="AA100" i="2"/>
  <c r="AA98" i="2"/>
  <c r="AA110" i="2"/>
  <c r="AA96" i="2"/>
  <c r="AA90" i="2"/>
  <c r="AA108" i="2"/>
  <c r="AA102" i="2"/>
  <c r="AA105" i="2"/>
  <c r="AA97" i="2"/>
  <c r="AA91" i="2"/>
  <c r="AA114" i="2"/>
  <c r="AA92" i="2"/>
  <c r="AA106" i="2"/>
  <c r="AA115" i="2"/>
  <c r="AA94" i="2"/>
  <c r="AA119" i="2"/>
  <c r="AA101" i="2"/>
  <c r="AA109" i="2"/>
  <c r="AA104" i="2"/>
  <c r="AA111" i="2"/>
  <c r="AA95" i="2"/>
  <c r="AA103" i="2"/>
  <c r="AA112" i="2"/>
  <c r="S129" i="2"/>
  <c r="T142" i="2" s="1"/>
  <c r="T144" i="2" s="1"/>
  <c r="S147" i="2"/>
  <c r="S148" i="2" s="1"/>
  <c r="T129" i="2" l="1"/>
  <c r="T147" i="2"/>
  <c r="T148" i="2" s="1"/>
  <c r="X134" i="2"/>
  <c r="X136" i="2"/>
  <c r="X133" i="2"/>
  <c r="X135" i="2"/>
  <c r="AA121" i="2"/>
  <c r="AA123" i="2" s="1"/>
  <c r="AB92" i="2"/>
  <c r="AB119" i="2"/>
  <c r="AB103" i="2"/>
  <c r="AB91" i="2"/>
  <c r="AB111" i="2"/>
  <c r="AB95" i="2"/>
  <c r="AB104" i="2"/>
  <c r="AB112" i="2"/>
  <c r="AB98" i="2"/>
  <c r="AB90" i="2"/>
  <c r="AB114" i="2"/>
  <c r="AB107" i="2"/>
  <c r="AB99" i="2"/>
  <c r="AB113" i="2"/>
  <c r="AB116" i="2"/>
  <c r="AB108" i="2"/>
  <c r="AB94" i="2"/>
  <c r="AB118" i="2"/>
  <c r="AB115" i="2"/>
  <c r="AB93" i="2"/>
  <c r="AB105" i="2"/>
  <c r="AB96" i="2"/>
  <c r="AB100" i="2"/>
  <c r="AB102" i="2"/>
  <c r="AB117" i="2"/>
  <c r="AB106" i="2"/>
  <c r="AB97" i="2"/>
  <c r="AB110" i="2"/>
  <c r="AB101" i="2"/>
  <c r="AB109" i="2"/>
  <c r="U141" i="2"/>
  <c r="U142" i="2"/>
  <c r="V139" i="2"/>
  <c r="V141" i="2" l="1"/>
  <c r="Y133" i="2"/>
  <c r="Y134" i="2"/>
  <c r="Y135" i="2"/>
  <c r="AB121" i="2"/>
  <c r="AB123" i="2" s="1"/>
  <c r="AC107" i="2"/>
  <c r="AC109" i="2"/>
  <c r="AC101" i="2"/>
  <c r="AC119" i="2"/>
  <c r="AC92" i="2"/>
  <c r="AC99" i="2"/>
  <c r="AC91" i="2"/>
  <c r="AC114" i="2"/>
  <c r="AC111" i="2"/>
  <c r="AC93" i="2"/>
  <c r="AC97" i="2"/>
  <c r="AC100" i="2"/>
  <c r="AC110" i="2"/>
  <c r="AC105" i="2"/>
  <c r="AC102" i="2"/>
  <c r="AC106" i="2"/>
  <c r="AC118" i="2"/>
  <c r="AC116" i="2"/>
  <c r="AC103" i="2"/>
  <c r="AC108" i="2"/>
  <c r="AC113" i="2"/>
  <c r="AC104" i="2"/>
  <c r="AC112" i="2"/>
  <c r="AC94" i="2"/>
  <c r="AC95" i="2"/>
  <c r="AC115" i="2"/>
  <c r="AC98" i="2"/>
  <c r="AC96" i="2"/>
  <c r="AC90" i="2"/>
  <c r="AC117" i="2"/>
  <c r="R22" i="1"/>
  <c r="W138" i="2"/>
  <c r="V140" i="2"/>
  <c r="U144" i="2"/>
  <c r="S22" i="1" l="1"/>
  <c r="AC121" i="2"/>
  <c r="AC123" i="2" s="1"/>
  <c r="AD98" i="2"/>
  <c r="AD107" i="2"/>
  <c r="AD104" i="2"/>
  <c r="AD118" i="2"/>
  <c r="AD99" i="2"/>
  <c r="AD94" i="2"/>
  <c r="AD96" i="2"/>
  <c r="AD119" i="2"/>
  <c r="AD102" i="2"/>
  <c r="AD108" i="2"/>
  <c r="AD117" i="2"/>
  <c r="AD95" i="2"/>
  <c r="AD92" i="2"/>
  <c r="AD105" i="2"/>
  <c r="AD111" i="2"/>
  <c r="AD97" i="2"/>
  <c r="AD113" i="2"/>
  <c r="AD106" i="2"/>
  <c r="AD114" i="2"/>
  <c r="AD100" i="2"/>
  <c r="AD109" i="2"/>
  <c r="AD91" i="2"/>
  <c r="AD116" i="2"/>
  <c r="AD115" i="2"/>
  <c r="AD101" i="2"/>
  <c r="AD103" i="2"/>
  <c r="AD93" i="2"/>
  <c r="AD90" i="2"/>
  <c r="AD112" i="2"/>
  <c r="AD110" i="2"/>
  <c r="W139" i="2"/>
  <c r="Z134" i="2"/>
  <c r="Z133" i="2"/>
  <c r="W140" i="2"/>
  <c r="U147" i="2"/>
  <c r="U148" i="2" s="1"/>
  <c r="U129" i="2"/>
  <c r="V142" i="2" s="1"/>
  <c r="W141" i="2" s="1"/>
  <c r="X137" i="2"/>
  <c r="X138" i="2"/>
  <c r="V144" i="2" l="1"/>
  <c r="V147" i="2"/>
  <c r="V148" i="2" s="1"/>
  <c r="V129" i="2"/>
  <c r="W142" i="2" s="1"/>
  <c r="AD121" i="2"/>
  <c r="AD123" i="2" s="1"/>
  <c r="AE105" i="2"/>
  <c r="H105" i="2" s="1"/>
  <c r="AE108" i="2"/>
  <c r="H108" i="2" s="1"/>
  <c r="AE119" i="2"/>
  <c r="H119" i="2" s="1"/>
  <c r="AE98" i="2"/>
  <c r="H98" i="2" s="1"/>
  <c r="AE91" i="2"/>
  <c r="H91" i="2" s="1"/>
  <c r="AE104" i="2"/>
  <c r="H104" i="2" s="1"/>
  <c r="AE95" i="2"/>
  <c r="H95" i="2" s="1"/>
  <c r="AE116" i="2"/>
  <c r="H116" i="2" s="1"/>
  <c r="AE103" i="2"/>
  <c r="H103" i="2" s="1"/>
  <c r="AE92" i="2"/>
  <c r="H92" i="2" s="1"/>
  <c r="AE99" i="2"/>
  <c r="H99" i="2" s="1"/>
  <c r="AE96" i="2"/>
  <c r="H96" i="2" s="1"/>
  <c r="AE115" i="2"/>
  <c r="H115" i="2" s="1"/>
  <c r="AE102" i="2"/>
  <c r="H102" i="2" s="1"/>
  <c r="AE100" i="2"/>
  <c r="H100" i="2" s="1"/>
  <c r="AE117" i="2"/>
  <c r="H117" i="2" s="1"/>
  <c r="AE90" i="2"/>
  <c r="AE111" i="2"/>
  <c r="H111" i="2" s="1"/>
  <c r="AE93" i="2"/>
  <c r="H93" i="2" s="1"/>
  <c r="AE94" i="2"/>
  <c r="H94" i="2" s="1"/>
  <c r="AE112" i="2"/>
  <c r="H112" i="2" s="1"/>
  <c r="AE114" i="2"/>
  <c r="H114" i="2" s="1"/>
  <c r="AE113" i="2"/>
  <c r="H113" i="2" s="1"/>
  <c r="AE97" i="2"/>
  <c r="H97" i="2" s="1"/>
  <c r="AE110" i="2"/>
  <c r="H110" i="2" s="1"/>
  <c r="AE118" i="2"/>
  <c r="H118" i="2" s="1"/>
  <c r="AE106" i="2"/>
  <c r="H106" i="2" s="1"/>
  <c r="AE109" i="2"/>
  <c r="H109" i="2" s="1"/>
  <c r="AE101" i="2"/>
  <c r="H101" i="2" s="1"/>
  <c r="AE107" i="2"/>
  <c r="H107" i="2" s="1"/>
  <c r="X140" i="2"/>
  <c r="X139" i="2"/>
  <c r="T22" i="1"/>
  <c r="AA133" i="2"/>
  <c r="Y138" i="2"/>
  <c r="Y136" i="2"/>
  <c r="Y137" i="2"/>
  <c r="W144" i="2" l="1"/>
  <c r="X141" i="2"/>
  <c r="AE121" i="2"/>
  <c r="H90" i="2"/>
  <c r="Y139" i="2"/>
  <c r="Z138" i="2" s="1"/>
  <c r="Z137" i="2"/>
  <c r="Z135" i="2"/>
  <c r="Z136" i="2"/>
  <c r="AE123" i="2" l="1"/>
  <c r="H121" i="2"/>
  <c r="AA135" i="2"/>
  <c r="AA134" i="2"/>
  <c r="AA136" i="2"/>
  <c r="AA137" i="2"/>
  <c r="Y140" i="2"/>
  <c r="Z139" i="2" s="1"/>
  <c r="W129" i="2"/>
  <c r="X142" i="2" s="1"/>
  <c r="W147" i="2"/>
  <c r="W148" i="2" s="1"/>
  <c r="AA138" i="2" l="1"/>
  <c r="U22" i="1"/>
  <c r="AB134" i="2"/>
  <c r="AB136" i="2"/>
  <c r="AB133" i="2"/>
  <c r="AB135" i="2"/>
  <c r="H123" i="2"/>
  <c r="Y141" i="2"/>
  <c r="Z140" i="2" s="1"/>
  <c r="X144" i="2"/>
  <c r="AC133" i="2" l="1"/>
  <c r="AC135" i="2"/>
  <c r="AC134" i="2"/>
  <c r="X129" i="2"/>
  <c r="Y142" i="2" s="1"/>
  <c r="Y144" i="2" s="1"/>
  <c r="X147" i="2"/>
  <c r="X148" i="2" s="1"/>
  <c r="AA139" i="2"/>
  <c r="AB137" i="2"/>
  <c r="AC136" i="2" s="1"/>
  <c r="V22" i="1"/>
  <c r="Z141" i="2" l="1"/>
  <c r="AA140" i="2" s="1"/>
  <c r="Y147" i="2"/>
  <c r="Y148" i="2" s="1"/>
  <c r="Y129" i="2"/>
  <c r="W4" i="1"/>
  <c r="W22" i="1"/>
  <c r="AB138" i="2"/>
  <c r="AB139" i="2"/>
  <c r="AD134" i="2"/>
  <c r="AD133" i="2"/>
  <c r="AD135" i="2"/>
  <c r="Z142" i="2"/>
  <c r="Z144" i="2" l="1"/>
  <c r="AA141" i="2"/>
  <c r="AC138" i="2"/>
  <c r="AC137" i="2"/>
  <c r="AE133" i="2"/>
  <c r="AE134" i="2"/>
  <c r="H134" i="2" s="1"/>
  <c r="Y16" i="1"/>
  <c r="X4" i="1"/>
  <c r="H133" i="2" l="1"/>
  <c r="AD136" i="2"/>
  <c r="AD137" i="2"/>
  <c r="AB140" i="2"/>
  <c r="Z129" i="2"/>
  <c r="AA142" i="2" s="1"/>
  <c r="AA144" i="2" s="1"/>
  <c r="Z147" i="2"/>
  <c r="Z148" i="2" s="1"/>
  <c r="AA129" i="2" l="1"/>
  <c r="AA147" i="2"/>
  <c r="AA148" i="2" s="1"/>
  <c r="AB141" i="2"/>
  <c r="AC140" i="2" s="1"/>
  <c r="AC139" i="2"/>
  <c r="AB142" i="2"/>
  <c r="AC141" i="2" s="1"/>
  <c r="AE135" i="2"/>
  <c r="AE136" i="2"/>
  <c r="H136" i="2" s="1"/>
  <c r="AB144" i="2" l="1"/>
  <c r="H135" i="2"/>
  <c r="AD139" i="2"/>
  <c r="AD140" i="2"/>
  <c r="AD138" i="2"/>
  <c r="AE137" i="2" l="1"/>
  <c r="AE138" i="2"/>
  <c r="H138" i="2" s="1"/>
  <c r="AE139" i="2"/>
  <c r="H139" i="2" s="1"/>
  <c r="AB129" i="2"/>
  <c r="AC142" i="2" s="1"/>
  <c r="AB147" i="2"/>
  <c r="AB148" i="2" s="1"/>
  <c r="AD141" i="2" l="1"/>
  <c r="AC144" i="2"/>
  <c r="H137" i="2"/>
  <c r="AC129" i="2" l="1"/>
  <c r="AD142" i="2" s="1"/>
  <c r="AC147" i="2"/>
  <c r="AC148" i="2" s="1"/>
  <c r="AE141" i="2"/>
  <c r="H141" i="2" s="1"/>
  <c r="AD144" i="2"/>
  <c r="AE140" i="2"/>
  <c r="H140" i="2" l="1"/>
  <c r="AD147" i="2"/>
  <c r="AD148" i="2" s="1"/>
  <c r="AD129" i="2"/>
  <c r="AE142" i="2" s="1"/>
  <c r="H142" i="2" s="1"/>
  <c r="AE144" i="2" l="1"/>
  <c r="H144" i="2" l="1"/>
  <c r="AE129" i="2"/>
  <c r="H129" i="2" s="1"/>
  <c r="AE147" i="2"/>
  <c r="AE148" i="2" l="1"/>
  <c r="H148" i="2" s="1"/>
  <c r="H147" i="2"/>
  <c r="Q51" i="12"/>
  <c r="AF51" i="12"/>
  <c r="BU47" i="12"/>
  <c r="DN47" i="12"/>
  <c r="CT47" i="12"/>
  <c r="BR51" i="12"/>
  <c r="DF68" i="12"/>
  <c r="AC68" i="12"/>
  <c r="AC70" i="12" s="1"/>
  <c r="CZ68" i="12"/>
  <c r="CY61" i="12"/>
  <c r="CY65" i="12" s="1"/>
  <c r="V68" i="12"/>
  <c r="V70" i="12" s="1"/>
  <c r="BA68" i="12"/>
  <c r="DL68" i="12"/>
  <c r="DL70" i="12" s="1"/>
  <c r="BO68" i="12"/>
  <c r="CS68" i="12"/>
  <c r="CS70" i="12" s="1"/>
  <c r="AP68" i="12"/>
  <c r="EI47" i="12"/>
  <c r="BE47" i="12"/>
  <c r="AT51" i="12"/>
  <c r="DW68" i="12"/>
  <c r="DW70" i="12" s="1"/>
  <c r="CY47" i="12"/>
  <c r="DH68" i="12"/>
  <c r="DH70" i="12"/>
  <c r="BX51" i="12"/>
  <c r="DG68" i="12"/>
  <c r="DG70" i="12" s="1"/>
  <c r="BW51" i="12"/>
  <c r="BQ47" i="12"/>
  <c r="DR51" i="12"/>
  <c r="CP68" i="12"/>
  <c r="CP70" i="12" s="1"/>
  <c r="M68" i="12"/>
  <c r="M70" i="12" s="1"/>
  <c r="W68" i="12"/>
  <c r="W70" i="12" s="1"/>
  <c r="DJ68" i="12"/>
  <c r="DS47" i="12"/>
  <c r="P51" i="12"/>
  <c r="AO47" i="12"/>
  <c r="EG68" i="12"/>
  <c r="EG70" i="12" s="1"/>
  <c r="CX47" i="12"/>
  <c r="DQ68" i="12"/>
  <c r="DQ70" i="12" s="1"/>
  <c r="CD47" i="12"/>
  <c r="EE51" i="12"/>
  <c r="BZ68" i="12"/>
  <c r="CJ68" i="12"/>
  <c r="CJ70" i="12" s="1"/>
  <c r="ED68" i="12"/>
  <c r="AK68" i="12"/>
  <c r="CV68" i="12"/>
  <c r="CV70" i="12"/>
  <c r="AY68" i="12"/>
  <c r="H57" i="12"/>
  <c r="K51" i="12"/>
  <c r="CC68" i="12"/>
  <c r="H11" i="12"/>
  <c r="AU9" i="12"/>
  <c r="AU45" i="12" s="1"/>
  <c r="AU61" i="12" s="1"/>
  <c r="AU65" i="12" s="1"/>
  <c r="DC47" i="12"/>
  <c r="AE9" i="12"/>
  <c r="AE45" i="12" s="1"/>
  <c r="AE61" i="12" s="1"/>
  <c r="AE65" i="12" s="1"/>
  <c r="Y47" i="12"/>
  <c r="AD51" i="12"/>
  <c r="CI47" i="12"/>
  <c r="BH51" i="12"/>
  <c r="DV68" i="12"/>
  <c r="DV70" i="12" s="1"/>
  <c r="BG51" i="12"/>
  <c r="BA47" i="12"/>
  <c r="Z68" i="12"/>
  <c r="Z70" i="12" s="1"/>
  <c r="DB51" i="12"/>
  <c r="T47" i="12"/>
  <c r="S47" i="12"/>
  <c r="CC47" i="12"/>
  <c r="BJ68" i="12"/>
  <c r="K68" i="12"/>
  <c r="CK70" i="12"/>
  <c r="EE68" i="12"/>
  <c r="CT68" i="12"/>
  <c r="DI51" i="12"/>
  <c r="CM47" i="12"/>
  <c r="DX51" i="12"/>
  <c r="AT68" i="12"/>
  <c r="AT70" i="12" s="1"/>
  <c r="DD9" i="12"/>
  <c r="BQ81" i="12"/>
  <c r="BT68" i="12"/>
  <c r="DN68" i="12"/>
  <c r="DN70" i="12" s="1"/>
  <c r="U68" i="12"/>
  <c r="U70" i="12"/>
  <c r="CF68" i="12"/>
  <c r="CF70" i="12" s="1"/>
  <c r="AI68" i="12"/>
  <c r="BM68" i="12"/>
  <c r="BW47" i="12"/>
  <c r="AT9" i="12"/>
  <c r="AT45" i="12" s="1"/>
  <c r="AT61" i="12" s="1"/>
  <c r="AT65" i="12" s="1"/>
  <c r="EL51" i="12"/>
  <c r="N51" i="12"/>
  <c r="BS47" i="12"/>
  <c r="AR51" i="12"/>
  <c r="AQ51" i="12"/>
  <c r="AK47" i="12"/>
  <c r="CL51" i="12"/>
  <c r="EB47" i="12"/>
  <c r="EA47" i="12"/>
  <c r="BM47" i="12"/>
  <c r="AD68" i="12"/>
  <c r="AD70" i="12" s="1"/>
  <c r="CN9" i="12"/>
  <c r="CN45" i="12" s="1"/>
  <c r="CN61" i="12" s="1"/>
  <c r="CN65" i="12" s="1"/>
  <c r="BF68" i="12"/>
  <c r="BF70" i="12" s="1"/>
  <c r="BQ76" i="12"/>
  <c r="DO68" i="12"/>
  <c r="DO70" i="12" s="1"/>
  <c r="CD68" i="12"/>
  <c r="AW76" i="12"/>
  <c r="CS51" i="12"/>
  <c r="BG47" i="12"/>
  <c r="AF68" i="12"/>
  <c r="AF70" i="12" s="1"/>
  <c r="DH51" i="12"/>
  <c r="EH47" i="12"/>
  <c r="O9" i="12"/>
  <c r="O45" i="12" s="1"/>
  <c r="O61" i="12" s="1"/>
  <c r="O65" i="12" s="1"/>
  <c r="BR47" i="12"/>
  <c r="CR68" i="12"/>
  <c r="BO76" i="12"/>
  <c r="N68" i="12"/>
  <c r="BX9" i="12"/>
  <c r="BX45" i="12" s="1"/>
  <c r="BX61" i="12" s="1"/>
  <c r="BX65" i="12" s="1"/>
  <c r="BF76" i="12"/>
  <c r="BE68" i="12"/>
  <c r="BD68" i="12"/>
  <c r="BD70" i="12" s="1"/>
  <c r="CY9" i="12"/>
  <c r="CY45" i="12" s="1"/>
  <c r="CX68" i="12"/>
  <c r="EC68" i="12"/>
  <c r="EC70" i="12" s="1"/>
  <c r="BP68" i="12"/>
  <c r="BP70" i="12"/>
  <c r="S68" i="12"/>
  <c r="S70" i="12" s="1"/>
  <c r="AW68" i="12"/>
  <c r="EJ47" i="12"/>
  <c r="AQ47" i="12"/>
  <c r="AF9" i="12"/>
  <c r="AF45" i="12" s="1"/>
  <c r="AF61" i="12" s="1"/>
  <c r="AF65" i="12" s="1"/>
  <c r="DR47" i="12"/>
  <c r="O68" i="12"/>
  <c r="O70" i="12"/>
  <c r="DV51" i="12"/>
  <c r="BC47" i="12"/>
  <c r="EG9" i="12"/>
  <c r="EG45" i="12" s="1"/>
  <c r="EG61" i="12" s="1"/>
  <c r="EG65" i="12" s="1"/>
  <c r="AB51" i="12"/>
  <c r="AA51" i="12"/>
  <c r="U47" i="12"/>
  <c r="BV51" i="12"/>
  <c r="DL47" i="12"/>
  <c r="DK47" i="12"/>
  <c r="AM68" i="12"/>
  <c r="AM70" i="12" s="1"/>
  <c r="AW47" i="12"/>
  <c r="EK9" i="12"/>
  <c r="EK45" i="12" s="1"/>
  <c r="EK61" i="12" s="1"/>
  <c r="EK65" i="12" s="1"/>
  <c r="BH9" i="12"/>
  <c r="DT68" i="12"/>
  <c r="DC68" i="12"/>
  <c r="DC70" i="12" s="1"/>
  <c r="CY68" i="12"/>
  <c r="BN68" i="12"/>
  <c r="DT47" i="12"/>
  <c r="CC51" i="12"/>
  <c r="AA47" i="12"/>
  <c r="CR51" i="12"/>
  <c r="DB47" i="12"/>
  <c r="EF47" i="12"/>
  <c r="BB47" i="12"/>
  <c r="AH47" i="12"/>
  <c r="ED51" i="12"/>
  <c r="AY76" i="12"/>
  <c r="DU9" i="12"/>
  <c r="DU45" i="12" s="1"/>
  <c r="DU61" i="12" s="1"/>
  <c r="DU65" i="12" s="1"/>
  <c r="DD68" i="12"/>
  <c r="CM68" i="12"/>
  <c r="CM70" i="12" s="1"/>
  <c r="AY81" i="12"/>
  <c r="AY83" i="12" s="1"/>
  <c r="Y68" i="12"/>
  <c r="Y70" i="12" s="1"/>
  <c r="AN68" i="12"/>
  <c r="AN70" i="12" s="1"/>
  <c r="AM9" i="12"/>
  <c r="AM45" i="12" s="1"/>
  <c r="CI9" i="12"/>
  <c r="CI45" i="12" s="1"/>
  <c r="CI61" i="12" s="1"/>
  <c r="CI65" i="12" s="1"/>
  <c r="CH68" i="12"/>
  <c r="DM68" i="12"/>
  <c r="DM70" i="12" s="1"/>
  <c r="AZ68" i="12"/>
  <c r="AZ70" i="12" s="1"/>
  <c r="EA68" i="12"/>
  <c r="EA70" i="12" s="1"/>
  <c r="AG68" i="12"/>
  <c r="DD47" i="12"/>
  <c r="BM9" i="12"/>
  <c r="BM45" i="12" s="1"/>
  <c r="BM61" i="12" s="1"/>
  <c r="BM65" i="12" s="1"/>
  <c r="H49" i="12"/>
  <c r="P9" i="12"/>
  <c r="CL47" i="12"/>
  <c r="DF51" i="12"/>
  <c r="DP47" i="12"/>
  <c r="AM47" i="12"/>
  <c r="AR9" i="12"/>
  <c r="EJ51" i="12"/>
  <c r="L51" i="12"/>
  <c r="EI51" i="12"/>
  <c r="EC47" i="12"/>
  <c r="EH9" i="12"/>
  <c r="EH45" i="12"/>
  <c r="EH61" i="12" s="1"/>
  <c r="EH65" i="12" s="1"/>
  <c r="BF51" i="12"/>
  <c r="CV47" i="12"/>
  <c r="CU47" i="12"/>
  <c r="EK68" i="12"/>
  <c r="CN68" i="12"/>
  <c r="CN70" i="12" s="1"/>
  <c r="BW68" i="12"/>
  <c r="BW70" i="12" s="1"/>
  <c r="EH68" i="12"/>
  <c r="BE9" i="12"/>
  <c r="BE45" i="12" s="1"/>
  <c r="BE61" i="12" s="1"/>
  <c r="BE65" i="12" s="1"/>
  <c r="CI68" i="12"/>
  <c r="CI70" i="12" s="1"/>
  <c r="CH9" i="12"/>
  <c r="CH45" i="12" s="1"/>
  <c r="DE9" i="12"/>
  <c r="DE45" i="12" s="1"/>
  <c r="AX68" i="12"/>
  <c r="DY9" i="12"/>
  <c r="DY45" i="12" s="1"/>
  <c r="DY61" i="12" s="1"/>
  <c r="DY65" i="12" s="1"/>
  <c r="BF9" i="12"/>
  <c r="BF45" i="12" s="1"/>
  <c r="BF61" i="12" s="1"/>
  <c r="BF65" i="12" s="1"/>
  <c r="CN47" i="12"/>
  <c r="BM51" i="12"/>
  <c r="CB51" i="12"/>
  <c r="BV47" i="12"/>
  <c r="AD9" i="12"/>
  <c r="AD45" i="12" s="1"/>
  <c r="H27" i="12"/>
  <c r="K69" i="12"/>
  <c r="CZ47" i="12"/>
  <c r="BI76" i="12"/>
  <c r="N9" i="12"/>
  <c r="AL47" i="12"/>
  <c r="AO68" i="12"/>
  <c r="AO70" i="12" s="1"/>
  <c r="CO9" i="12"/>
  <c r="CO45" i="12" s="1"/>
  <c r="CO61" i="12" s="1"/>
  <c r="CO65" i="12" s="1"/>
  <c r="DU68" i="12"/>
  <c r="BX68" i="12"/>
  <c r="BX70" i="12" s="1"/>
  <c r="DR68" i="12"/>
  <c r="DR70" i="12" s="1"/>
  <c r="X68" i="12"/>
  <c r="BR68" i="12"/>
  <c r="BR70" i="12" s="1"/>
  <c r="CW68" i="12"/>
  <c r="AJ68" i="12"/>
  <c r="DK68" i="12"/>
  <c r="DK70" i="12" s="1"/>
  <c r="DC9" i="12"/>
  <c r="Q68" i="12"/>
  <c r="AP9" i="12"/>
  <c r="AP45" i="12" s="1"/>
  <c r="AP61" i="12" s="1"/>
  <c r="AP65" i="12" s="1"/>
  <c r="BX47" i="12"/>
  <c r="AW9" i="12"/>
  <c r="AW45" i="12" s="1"/>
  <c r="AW61" i="12" s="1"/>
  <c r="AW65" i="12" s="1"/>
  <c r="DX9" i="12"/>
  <c r="DX45" i="12" s="1"/>
  <c r="DX61" i="12" s="1"/>
  <c r="DX65" i="12" s="1"/>
  <c r="BF47" i="12"/>
  <c r="CP51" i="12"/>
  <c r="CJ47" i="12"/>
  <c r="W47" i="12"/>
  <c r="AB9" i="12"/>
  <c r="AB45" i="12" s="1"/>
  <c r="AB61" i="12" s="1"/>
  <c r="AB65" i="12" s="1"/>
  <c r="DT51" i="12"/>
  <c r="BY9" i="12"/>
  <c r="DE68" i="12"/>
  <c r="DE70" i="12" s="1"/>
  <c r="BH68" i="12"/>
  <c r="BH70" i="12" s="1"/>
  <c r="BG68" i="12"/>
  <c r="DB68" i="12"/>
  <c r="DB70" i="12" s="1"/>
  <c r="EF9" i="12"/>
  <c r="EF45" i="12" s="1"/>
  <c r="EF61" i="12" s="1"/>
  <c r="EF65" i="12" s="1"/>
  <c r="BS68" i="12"/>
  <c r="BR9" i="12"/>
  <c r="BR45" i="12" s="1"/>
  <c r="BR61" i="12" s="1"/>
  <c r="BR65" i="12" s="1"/>
  <c r="BB76" i="12"/>
  <c r="AZ76" i="12"/>
  <c r="BN76" i="12"/>
  <c r="AH68" i="12"/>
  <c r="AH70" i="12" s="1"/>
  <c r="DI9" i="12"/>
  <c r="DI45" i="12" s="1"/>
  <c r="DI61" i="12" s="1"/>
  <c r="DI65" i="12" s="1"/>
  <c r="EI68" i="12"/>
  <c r="EI70" i="12" s="1"/>
  <c r="CB9" i="12"/>
  <c r="CB45" i="12" s="1"/>
  <c r="BH47" i="12"/>
  <c r="AW51" i="12"/>
  <c r="BL51" i="12"/>
  <c r="AP47" i="12"/>
  <c r="EG47" i="12"/>
  <c r="BT47" i="12"/>
  <c r="AS68" i="12"/>
  <c r="EJ68" i="12"/>
  <c r="EJ70" i="12" s="1"/>
  <c r="V47" i="12"/>
  <c r="AA9" i="12"/>
  <c r="AA45" i="12" s="1"/>
  <c r="AA61" i="12" s="1"/>
  <c r="AA65" i="12" s="1"/>
  <c r="DB9" i="12"/>
  <c r="DZ47" i="12"/>
  <c r="CX51" i="12"/>
  <c r="BL47" i="12"/>
  <c r="BI9" i="12"/>
  <c r="BI45" i="12" s="1"/>
  <c r="CO68" i="12"/>
  <c r="CO70" i="12" s="1"/>
  <c r="AR68" i="12"/>
  <c r="AR70" i="12" s="1"/>
  <c r="AQ68" i="12"/>
  <c r="CL68" i="12"/>
  <c r="CL70" i="12" s="1"/>
  <c r="EF68" i="12"/>
  <c r="EE9" i="12"/>
  <c r="EE45" i="12" s="1"/>
  <c r="EE61" i="12" s="1"/>
  <c r="EE65" i="12" s="1"/>
  <c r="BH76" i="12"/>
  <c r="BB68" i="12"/>
  <c r="CG68" i="12"/>
  <c r="T68" i="12"/>
  <c r="T70" i="12" s="1"/>
  <c r="CU68" i="12"/>
  <c r="CU70" i="12" s="1"/>
  <c r="BW9" i="12"/>
  <c r="DY68" i="12"/>
  <c r="DY70" i="12" s="1"/>
  <c r="DS68" i="12"/>
  <c r="DS70" i="12" s="1"/>
  <c r="DS9" i="12"/>
  <c r="DS45" i="12" s="1"/>
  <c r="DS61" i="12" s="1"/>
  <c r="DS65" i="12" s="1"/>
  <c r="AR47" i="12"/>
  <c r="AG9" i="12"/>
  <c r="DH9" i="12"/>
  <c r="Z47" i="12"/>
  <c r="DQ47" i="12"/>
  <c r="DX68" i="12"/>
  <c r="BZ51" i="12"/>
  <c r="BD47" i="12"/>
  <c r="EE47" i="12"/>
  <c r="EJ9" i="12"/>
  <c r="EJ45" i="12" s="1"/>
  <c r="EJ61" i="12" s="1"/>
  <c r="EJ65" i="12" s="1"/>
  <c r="L9" i="12"/>
  <c r="DD51" i="12"/>
  <c r="K9" i="12"/>
  <c r="DC51" i="12"/>
  <c r="CW47" i="12"/>
  <c r="CL9" i="12"/>
  <c r="CL45" i="12" s="1"/>
  <c r="CL61" i="12" s="1"/>
  <c r="CL65" i="12" s="1"/>
  <c r="DQ9" i="12"/>
  <c r="DQ45" i="12" s="1"/>
  <c r="DQ61" i="12" s="1"/>
  <c r="DQ65" i="12" s="1"/>
  <c r="Z51" i="12"/>
  <c r="BP47" i="12"/>
  <c r="Y9" i="12"/>
  <c r="Y45" i="12" s="1"/>
  <c r="CQ68" i="12"/>
  <c r="BO47" i="12"/>
  <c r="X9" i="12"/>
  <c r="X45" i="12" s="1"/>
  <c r="DY47" i="12"/>
  <c r="ED9" i="12"/>
  <c r="ED45" i="12" s="1"/>
  <c r="ED61" i="12" s="1"/>
  <c r="ED65" i="12" s="1"/>
  <c r="BL68" i="12"/>
  <c r="BB9" i="12"/>
  <c r="BB45" i="12" s="1"/>
  <c r="BB61" i="12" s="1"/>
  <c r="BB65" i="12" s="1"/>
  <c r="BG9" i="12"/>
  <c r="AG51" i="12"/>
  <c r="CN51" i="12"/>
  <c r="AX47" i="12"/>
  <c r="P47" i="12"/>
  <c r="U9" i="12"/>
  <c r="BL76" i="12"/>
  <c r="CF51" i="12"/>
  <c r="AT47" i="12"/>
  <c r="AY9" i="12"/>
  <c r="AY45" i="12" s="1"/>
  <c r="AY61" i="12" s="1"/>
  <c r="AY65" i="12" s="1"/>
  <c r="AI51" i="12"/>
  <c r="AE47" i="12"/>
  <c r="DW47" i="12"/>
  <c r="DK51" i="12"/>
  <c r="EL68" i="12"/>
  <c r="EL70" i="12" s="1"/>
  <c r="AQ9" i="12"/>
  <c r="AQ45" i="12" s="1"/>
  <c r="AQ61" i="12" s="1"/>
  <c r="AQ65" i="12" s="1"/>
  <c r="DM47" i="12"/>
  <c r="AP51" i="12"/>
  <c r="DA68" i="12"/>
  <c r="DA70" i="12" s="1"/>
  <c r="DA9" i="12"/>
  <c r="DA45" i="12" s="1"/>
  <c r="DA61" i="12" s="1"/>
  <c r="DA65" i="12" s="1"/>
  <c r="CA68" i="12"/>
  <c r="CA70" i="12"/>
  <c r="DN51" i="12"/>
  <c r="S51" i="12"/>
  <c r="DU69" i="12"/>
  <c r="DU70" i="12" s="1"/>
  <c r="DU17" i="12"/>
  <c r="AS69" i="12"/>
  <c r="AS17" i="12"/>
  <c r="DG47" i="12"/>
  <c r="AS9" i="12"/>
  <c r="AS45" i="12"/>
  <c r="AS61" i="12" s="1"/>
  <c r="AS65" i="12" s="1"/>
  <c r="BR76" i="12"/>
  <c r="EL9" i="12"/>
  <c r="EL45" i="12" s="1"/>
  <c r="EL61" i="12" s="1"/>
  <c r="EL65" i="12" s="1"/>
  <c r="ED47" i="12"/>
  <c r="R47" i="12"/>
  <c r="CK68" i="12"/>
  <c r="AG47" i="12"/>
  <c r="EC9" i="12"/>
  <c r="EC45" i="12" s="1"/>
  <c r="EC61" i="12" s="1"/>
  <c r="EC65" i="12" s="1"/>
  <c r="AV68" i="12"/>
  <c r="AV70" i="12" s="1"/>
  <c r="BP51" i="12"/>
  <c r="AD47" i="12"/>
  <c r="AI9" i="12"/>
  <c r="AJ9" i="12"/>
  <c r="AJ45" i="12" s="1"/>
  <c r="AJ61" i="12" s="1"/>
  <c r="AJ65" i="12" s="1"/>
  <c r="EC51" i="12"/>
  <c r="DE17" i="12"/>
  <c r="DE69" i="12"/>
  <c r="AC17" i="12"/>
  <c r="AC69" i="12"/>
  <c r="EK47" i="12"/>
  <c r="EB9" i="12"/>
  <c r="EB45" i="12" s="1"/>
  <c r="EB61" i="12" s="1"/>
  <c r="EB65" i="12" s="1"/>
  <c r="DE47" i="12"/>
  <c r="M9" i="12"/>
  <c r="M45" i="12" s="1"/>
  <c r="M61" i="12" s="1"/>
  <c r="M65" i="12" s="1"/>
  <c r="DI68" i="12"/>
  <c r="DI70" i="12" s="1"/>
  <c r="CR9" i="12"/>
  <c r="CR45" i="12" s="1"/>
  <c r="CR61" i="12" s="1"/>
  <c r="CR65" i="12" s="1"/>
  <c r="CG47" i="12"/>
  <c r="DF9" i="12"/>
  <c r="DF45" i="12" s="1"/>
  <c r="DF61" i="12" s="1"/>
  <c r="DF65" i="12" s="1"/>
  <c r="CH51" i="12"/>
  <c r="DX47" i="12"/>
  <c r="AS47" i="12"/>
  <c r="DU47" i="12"/>
  <c r="DL9" i="12"/>
  <c r="DL45" i="12" s="1"/>
  <c r="DL61" i="12" s="1"/>
  <c r="DL65" i="12" s="1"/>
  <c r="BY68" i="12"/>
  <c r="BY70" i="12" s="1"/>
  <c r="BE76" i="12"/>
  <c r="DO47" i="12"/>
  <c r="CH47" i="12"/>
  <c r="CP9" i="12"/>
  <c r="CP45" i="12" s="1"/>
  <c r="CP61" i="12" s="1"/>
  <c r="CP65" i="12" s="1"/>
  <c r="Q47" i="12"/>
  <c r="DM9" i="12"/>
  <c r="DM45" i="12" s="1"/>
  <c r="DM61" i="12" s="1"/>
  <c r="DM65" i="12" s="1"/>
  <c r="AZ51" i="12"/>
  <c r="EL47" i="12"/>
  <c r="N47" i="12"/>
  <c r="S9" i="12"/>
  <c r="S45" i="12" s="1"/>
  <c r="S61" i="12" s="1"/>
  <c r="S65" i="12" s="1"/>
  <c r="AC47" i="12"/>
  <c r="M47" i="12"/>
  <c r="DZ68" i="12"/>
  <c r="DZ70" i="12" s="1"/>
  <c r="H13" i="12"/>
  <c r="DJ9" i="12"/>
  <c r="DJ45" i="12" s="1"/>
  <c r="DJ61" i="12" s="1"/>
  <c r="DJ65" i="12" s="1"/>
  <c r="BI68" i="12"/>
  <c r="BI70" i="12" s="1"/>
  <c r="AL68" i="12"/>
  <c r="AL70" i="12" s="1"/>
  <c r="CE68" i="12"/>
  <c r="DR9" i="12"/>
  <c r="DR45" i="12" s="1"/>
  <c r="DR61" i="12" s="1"/>
  <c r="DR65" i="12" s="1"/>
  <c r="CF47" i="12"/>
  <c r="DH47" i="12"/>
  <c r="BZ9" i="12"/>
  <c r="AX9" i="12"/>
  <c r="AX45" i="12" s="1"/>
  <c r="AX61" i="12" s="1"/>
  <c r="AX65" i="12" s="1"/>
  <c r="O47" i="12"/>
  <c r="CO17" i="12"/>
  <c r="CO69" i="12"/>
  <c r="M17" i="12"/>
  <c r="M69" i="12"/>
  <c r="DZ9" i="12"/>
  <c r="AU83" i="12"/>
  <c r="BL9" i="12"/>
  <c r="BL45" i="12" s="1"/>
  <c r="BL61" i="12"/>
  <c r="BL65" i="12" s="1"/>
  <c r="P68" i="12"/>
  <c r="P70" i="12" s="1"/>
  <c r="EI9" i="12"/>
  <c r="CE47" i="12"/>
  <c r="CB68" i="12"/>
  <c r="CZ9" i="12"/>
  <c r="DN9" i="12"/>
  <c r="DN45" i="12" s="1"/>
  <c r="DN61" i="12" s="1"/>
  <c r="DN65" i="12" s="1"/>
  <c r="BB51" i="12"/>
  <c r="CW9" i="12"/>
  <c r="CW45" i="12" s="1"/>
  <c r="CW61" i="12" s="1"/>
  <c r="CW65" i="12" s="1"/>
  <c r="BK9" i="12"/>
  <c r="AJ51" i="12"/>
  <c r="DV47" i="12"/>
  <c r="EA9" i="12"/>
  <c r="EA45" i="12" s="1"/>
  <c r="EA61" i="12" s="1"/>
  <c r="EA65" i="12" s="1"/>
  <c r="R9" i="12"/>
  <c r="R45" i="12" s="1"/>
  <c r="BD9" i="12"/>
  <c r="AV9" i="12"/>
  <c r="AV45" i="12" s="1"/>
  <c r="AV61" i="12" s="1"/>
  <c r="AV65" i="12" s="1"/>
  <c r="DT9" i="12"/>
  <c r="DT45" i="12" s="1"/>
  <c r="DT61" i="12" s="1"/>
  <c r="DT65" i="12" s="1"/>
  <c r="AZ47" i="12"/>
  <c r="BS9" i="12"/>
  <c r="BS45" i="12" s="1"/>
  <c r="BS61" i="12" s="1"/>
  <c r="BS65" i="12" s="1"/>
  <c r="CX9" i="12"/>
  <c r="CX45" i="12" s="1"/>
  <c r="CX61" i="12" s="1"/>
  <c r="CX65" i="12" s="1"/>
  <c r="CR47" i="12"/>
  <c r="AK51" i="12"/>
  <c r="T9" i="12"/>
  <c r="AB68" i="12"/>
  <c r="AB70" i="12" s="1"/>
  <c r="DP9" i="12"/>
  <c r="AV76" i="12"/>
  <c r="AV51" i="12"/>
  <c r="BJ51" i="12"/>
  <c r="CM9" i="12"/>
  <c r="CM45" i="12" s="1"/>
  <c r="CM61" i="12" s="1"/>
  <c r="CM65" i="12" s="1"/>
  <c r="Z9" i="12"/>
  <c r="Z45" i="12"/>
  <c r="Z61" i="12" s="1"/>
  <c r="Z65" i="12" s="1"/>
  <c r="AJ47" i="12"/>
  <c r="AY47" i="12"/>
  <c r="CQ9" i="12"/>
  <c r="CQ45" i="12" s="1"/>
  <c r="CQ61" i="12" s="1"/>
  <c r="CQ65" i="12" s="1"/>
  <c r="BC9" i="12"/>
  <c r="BC45" i="12" s="1"/>
  <c r="BC61" i="12" s="1"/>
  <c r="BC65" i="12" s="1"/>
  <c r="BV68" i="12"/>
  <c r="BV9" i="12"/>
  <c r="BV45" i="12" s="1"/>
  <c r="BV61" i="12" s="1"/>
  <c r="BV65" i="12" s="1"/>
  <c r="AL51" i="12"/>
  <c r="CG9" i="12"/>
  <c r="CG45" i="12" s="1"/>
  <c r="CG61" i="12" s="1"/>
  <c r="CG65" i="12" s="1"/>
  <c r="T51" i="12"/>
  <c r="DF47" i="12"/>
  <c r="DK9" i="12"/>
  <c r="DK45" i="12" s="1"/>
  <c r="DK61" i="12" s="1"/>
  <c r="DK65" i="12" s="1"/>
  <c r="BY17" i="12"/>
  <c r="BY45" i="12" s="1"/>
  <c r="BY61" i="12" s="1"/>
  <c r="BY65" i="12" s="1"/>
  <c r="BY69" i="12"/>
  <c r="L68" i="12"/>
  <c r="L70" i="12" s="1"/>
  <c r="DP68" i="12"/>
  <c r="DP70" i="12" s="1"/>
  <c r="BQ68" i="12"/>
  <c r="BQ70" i="12" s="1"/>
  <c r="AH9" i="12"/>
  <c r="AH45" i="12" s="1"/>
  <c r="AH61" i="12" s="1"/>
  <c r="AH65" i="12" s="1"/>
  <c r="AI47" i="12"/>
  <c r="CB47" i="12"/>
  <c r="BC76" i="12"/>
  <c r="AB47" i="12"/>
  <c r="AN47" i="12"/>
  <c r="AO9" i="12"/>
  <c r="AO45" i="12" s="1"/>
  <c r="AO61" i="12" s="1"/>
  <c r="AO65" i="12" s="1"/>
  <c r="W9" i="12"/>
  <c r="V51" i="12"/>
  <c r="BQ9" i="12"/>
  <c r="BQ45" i="12" s="1"/>
  <c r="BQ61" i="12" s="1"/>
  <c r="BQ65" i="12" s="1"/>
  <c r="EB51" i="12"/>
  <c r="CP47" i="12"/>
  <c r="CU9" i="12"/>
  <c r="CU45" i="12" s="1"/>
  <c r="CU61" i="12" s="1"/>
  <c r="CU65" i="12" s="1"/>
  <c r="AU47" i="12"/>
  <c r="K17" i="12"/>
  <c r="K45" i="12" s="1"/>
  <c r="DO9" i="12"/>
  <c r="DO45" i="12" s="1"/>
  <c r="DO61" i="12" s="1"/>
  <c r="DO65" i="12" s="1"/>
  <c r="L47" i="12"/>
  <c r="K47" i="12"/>
  <c r="X47" i="12"/>
  <c r="AL9" i="12"/>
  <c r="AL45" i="12" s="1"/>
  <c r="AL61" i="12" s="1"/>
  <c r="AL65" i="12" s="1"/>
  <c r="BI17" i="12"/>
  <c r="BI69" i="12"/>
  <c r="BI80" i="12"/>
  <c r="BI81" i="12" s="1"/>
  <c r="AA68" i="12"/>
  <c r="AA70" i="12" s="1"/>
  <c r="R68" i="12"/>
  <c r="R70" i="12" s="1"/>
  <c r="DV9" i="12"/>
  <c r="DV45" i="12" s="1"/>
  <c r="DV61" i="12" s="1"/>
  <c r="DV65" i="12" s="1"/>
  <c r="DJ47" i="12"/>
  <c r="CA9" i="12"/>
  <c r="CA45" i="12" s="1"/>
  <c r="AV47" i="12"/>
  <c r="BA9" i="12"/>
  <c r="BA45" i="12" s="1"/>
  <c r="BA61" i="12" s="1"/>
  <c r="BA65" i="12" s="1"/>
  <c r="DL51" i="12"/>
  <c r="BZ47" i="12"/>
  <c r="CE9" i="12"/>
  <c r="CE45" i="12" s="1"/>
  <c r="CE61" i="12" s="1"/>
  <c r="CE65" i="12" s="1"/>
  <c r="AZ9" i="12"/>
  <c r="EK17" i="12"/>
  <c r="EK69" i="12"/>
  <c r="EK70" i="12" s="1"/>
  <c r="EB68" i="12"/>
  <c r="Q9" i="12"/>
  <c r="Q45" i="12" s="1"/>
  <c r="Q61" i="12" s="1"/>
  <c r="Q65" i="12" s="1"/>
  <c r="H35" i="12"/>
  <c r="DS51" i="12"/>
  <c r="DG9" i="12"/>
  <c r="DG45" i="12" s="1"/>
  <c r="DG61" i="12" s="1"/>
  <c r="DG65" i="12" s="1"/>
  <c r="AN9" i="12"/>
  <c r="AN45" i="12" s="1"/>
  <c r="AN61" i="12" s="1"/>
  <c r="AN65" i="12" s="1"/>
  <c r="DI47" i="12"/>
  <c r="V9" i="12"/>
  <c r="V45" i="12" s="1"/>
  <c r="V61" i="12" s="1"/>
  <c r="V65" i="12" s="1"/>
  <c r="U51" i="12"/>
  <c r="BT9" i="12"/>
  <c r="BT45" i="12" s="1"/>
  <c r="BT61" i="12" s="1"/>
  <c r="BT65" i="12" s="1"/>
  <c r="DM51" i="12"/>
  <c r="BC68" i="12"/>
  <c r="CS9" i="12"/>
  <c r="CS45" i="12" s="1"/>
  <c r="CS61" i="12" s="1"/>
  <c r="CS65" i="12" s="1"/>
  <c r="AE68" i="12"/>
  <c r="DA47" i="12"/>
  <c r="AC9" i="12"/>
  <c r="AC45" i="12" s="1"/>
  <c r="AC61" i="12" s="1"/>
  <c r="AC65" i="12" s="1"/>
  <c r="DW9" i="12"/>
  <c r="CS47" i="12"/>
  <c r="AF47" i="12"/>
  <c r="AK9" i="12"/>
  <c r="AK45" i="12" s="1"/>
  <c r="AK61" i="12" s="1"/>
  <c r="AK65" i="12" s="1"/>
  <c r="CV51" i="12"/>
  <c r="BJ47" i="12"/>
  <c r="BO9" i="12"/>
  <c r="BO45" i="12" s="1"/>
  <c r="BO61" i="12" s="1"/>
  <c r="BO65" i="12" s="1"/>
  <c r="BJ9" i="12"/>
  <c r="BJ45" i="12" s="1"/>
  <c r="CW51" i="12"/>
  <c r="CK9" i="12"/>
  <c r="BU68" i="12"/>
  <c r="BU70" i="12" s="1"/>
  <c r="BU9" i="12"/>
  <c r="BU45" i="12" s="1"/>
  <c r="BU61" i="12" s="1"/>
  <c r="BU65" i="12" s="1"/>
  <c r="CA47" i="12"/>
  <c r="BA51" i="12"/>
  <c r="CE17" i="12"/>
  <c r="CE69" i="12"/>
  <c r="CE70" i="12" s="1"/>
  <c r="S69" i="12"/>
  <c r="S17" i="12"/>
  <c r="AJ17" i="12"/>
  <c r="AJ69" i="12"/>
  <c r="AJ70" i="12" s="1"/>
  <c r="AA69" i="12"/>
  <c r="AA17" i="12"/>
  <c r="AU80" i="12"/>
  <c r="AU81" i="12" s="1"/>
  <c r="AU69" i="12"/>
  <c r="AU17" i="12"/>
  <c r="BE80" i="12"/>
  <c r="BE81" i="12" s="1"/>
  <c r="BE69" i="12"/>
  <c r="BE70" i="12" s="1"/>
  <c r="BE17" i="12"/>
  <c r="DP17" i="12"/>
  <c r="DP69" i="12"/>
  <c r="DA69" i="12"/>
  <c r="DA17" i="12"/>
  <c r="AX17" i="12"/>
  <c r="AX69" i="12"/>
  <c r="AX70" i="12" s="1"/>
  <c r="CH17" i="12"/>
  <c r="CH69" i="12"/>
  <c r="CH70" i="12" s="1"/>
  <c r="AP17" i="12"/>
  <c r="AP69" i="12"/>
  <c r="AP70" i="12" s="1"/>
  <c r="DB17" i="12"/>
  <c r="DB45" i="12" s="1"/>
  <c r="DB61" i="12" s="1"/>
  <c r="DB65" i="12" s="1"/>
  <c r="DB69" i="12"/>
  <c r="AO51" i="12"/>
  <c r="BX69" i="12"/>
  <c r="BX17" i="12"/>
  <c r="BU51" i="12"/>
  <c r="H63" i="12"/>
  <c r="EF69" i="12"/>
  <c r="EF70" i="12" s="1"/>
  <c r="EF17" i="12"/>
  <c r="AN69" i="12"/>
  <c r="AN17" i="12"/>
  <c r="DU51" i="12"/>
  <c r="DV69" i="12"/>
  <c r="DV17" i="12"/>
  <c r="BB69" i="12"/>
  <c r="BB70" i="12" s="1"/>
  <c r="BB17" i="12"/>
  <c r="BB80" i="12"/>
  <c r="BB81" i="12" s="1"/>
  <c r="U17" i="12"/>
  <c r="U45" i="12" s="1"/>
  <c r="U61" i="12" s="1"/>
  <c r="U65" i="12" s="1"/>
  <c r="U69" i="12"/>
  <c r="DX69" i="12"/>
  <c r="DX70" i="12" s="1"/>
  <c r="DX17" i="12"/>
  <c r="BK17" i="12"/>
  <c r="BK45" i="12" s="1"/>
  <c r="BK61" i="12" s="1"/>
  <c r="BK65" i="12" s="1"/>
  <c r="BK80" i="12"/>
  <c r="BK81" i="12" s="1"/>
  <c r="BK69" i="12"/>
  <c r="DI17" i="12"/>
  <c r="DI69" i="12"/>
  <c r="P17" i="12"/>
  <c r="P45" i="12" s="1"/>
  <c r="P61" i="12" s="1"/>
  <c r="P65" i="12" s="1"/>
  <c r="P69" i="12"/>
  <c r="DY17" i="12"/>
  <c r="DY69" i="12"/>
  <c r="H41" i="12"/>
  <c r="BC69" i="12"/>
  <c r="BC70" i="12" s="1"/>
  <c r="BC80" i="12"/>
  <c r="BC81" i="12" s="1"/>
  <c r="BC83" i="12" s="1"/>
  <c r="BC17" i="12"/>
  <c r="BM17" i="12"/>
  <c r="BM69" i="12"/>
  <c r="BM70" i="12" s="1"/>
  <c r="DJ51" i="12"/>
  <c r="CZ17" i="12"/>
  <c r="CZ69" i="12"/>
  <c r="CZ70" i="12" s="1"/>
  <c r="AC51" i="12"/>
  <c r="DA51" i="12"/>
  <c r="BM80" i="12"/>
  <c r="BM81" i="12" s="1"/>
  <c r="AU68" i="12"/>
  <c r="AU70" i="12" s="1"/>
  <c r="BN9" i="12"/>
  <c r="BN45" i="12" s="1"/>
  <c r="BN61" i="12" s="1"/>
  <c r="BN65" i="12" s="1"/>
  <c r="DF17" i="12"/>
  <c r="DF69" i="12"/>
  <c r="DF70" i="12" s="1"/>
  <c r="EG69" i="12"/>
  <c r="EG17" i="12"/>
  <c r="CQ17" i="12"/>
  <c r="CQ69" i="12"/>
  <c r="CQ70" i="12" s="1"/>
  <c r="BS51" i="12"/>
  <c r="DZ17" i="12"/>
  <c r="DZ69" i="12"/>
  <c r="AK17" i="12"/>
  <c r="AK69" i="12"/>
  <c r="AK70" i="12" s="1"/>
  <c r="CI69" i="12"/>
  <c r="CI17" i="12"/>
  <c r="DO69" i="12"/>
  <c r="DO17" i="12"/>
  <c r="Y69" i="12"/>
  <c r="Y17" i="12"/>
  <c r="EF51" i="12"/>
  <c r="AU51" i="12"/>
  <c r="EJ69" i="12"/>
  <c r="EJ17" i="12"/>
  <c r="BK51" i="12"/>
  <c r="CC9" i="12"/>
  <c r="CC45" i="12"/>
  <c r="CC61" i="12" s="1"/>
  <c r="CC65" i="12" s="1"/>
  <c r="CF9" i="12"/>
  <c r="BK47" i="12"/>
  <c r="BO17" i="12"/>
  <c r="BO69" i="12"/>
  <c r="BO70" i="12" s="1"/>
  <c r="BO80" i="12"/>
  <c r="BO81" i="12" s="1"/>
  <c r="H12" i="12"/>
  <c r="CP17" i="12"/>
  <c r="CP69" i="12"/>
  <c r="CX69" i="12"/>
  <c r="CX70" i="12" s="1"/>
  <c r="CX17" i="12"/>
  <c r="DY51" i="12"/>
  <c r="BT51" i="12"/>
  <c r="BC51" i="12"/>
  <c r="Z69" i="12"/>
  <c r="Z17" i="12"/>
  <c r="CJ51" i="12"/>
  <c r="AB17" i="12"/>
  <c r="AB69" i="12"/>
  <c r="O51" i="12"/>
  <c r="DQ51" i="12"/>
  <c r="BL80" i="12"/>
  <c r="BL81" i="12" s="1"/>
  <c r="BL69" i="12"/>
  <c r="BL70" i="12" s="1"/>
  <c r="BL17" i="12"/>
  <c r="DT17" i="12"/>
  <c r="DT69" i="12"/>
  <c r="CQ51" i="12"/>
  <c r="BP17" i="12"/>
  <c r="BP69" i="12"/>
  <c r="CE51" i="12"/>
  <c r="BO51" i="12"/>
  <c r="AO69" i="12"/>
  <c r="AO17" i="12"/>
  <c r="BG17" i="12"/>
  <c r="BG45" i="12" s="1"/>
  <c r="BG61" i="12" s="1"/>
  <c r="BG65" i="12" s="1"/>
  <c r="BG69" i="12"/>
  <c r="BG70" i="12" s="1"/>
  <c r="BG80" i="12"/>
  <c r="BG81" i="12" s="1"/>
  <c r="AT69" i="12"/>
  <c r="AT17" i="12"/>
  <c r="CG69" i="12"/>
  <c r="CG17" i="12"/>
  <c r="CK47" i="12"/>
  <c r="BP9" i="12"/>
  <c r="BP45" i="12" s="1"/>
  <c r="BP61" i="12" s="1"/>
  <c r="BP65" i="12" s="1"/>
  <c r="CF17" i="12"/>
  <c r="CF45" i="12" s="1"/>
  <c r="CF61" i="12" s="1"/>
  <c r="CF65" i="12" s="1"/>
  <c r="CF69" i="12"/>
  <c r="CA17" i="12"/>
  <c r="CA69" i="12"/>
  <c r="CY69" i="12"/>
  <c r="CY70" i="12" s="1"/>
  <c r="CY17" i="12"/>
  <c r="CR17" i="12"/>
  <c r="CR69" i="12"/>
  <c r="CR70" i="12" s="1"/>
  <c r="X51" i="12"/>
  <c r="EL17" i="12"/>
  <c r="EL69" i="12"/>
  <c r="BW17" i="12"/>
  <c r="BW45" i="12" s="1"/>
  <c r="BW61" i="12" s="1"/>
  <c r="BW65" i="12" s="1"/>
  <c r="BW69" i="12"/>
  <c r="BI51" i="12"/>
  <c r="R17" i="12"/>
  <c r="R69" i="12"/>
  <c r="H42" i="12"/>
  <c r="AX80" i="12"/>
  <c r="AX81" i="12" s="1"/>
  <c r="BP80" i="12"/>
  <c r="BP81" i="12" s="1"/>
  <c r="AT98" i="12"/>
  <c r="AT99" i="12" s="1"/>
  <c r="CU51" i="12"/>
  <c r="CV17" i="12"/>
  <c r="CV69" i="12"/>
  <c r="DQ69" i="12"/>
  <c r="DQ17" i="12"/>
  <c r="BQ80" i="12"/>
  <c r="BQ69" i="12"/>
  <c r="BQ17" i="12"/>
  <c r="BZ17" i="12"/>
  <c r="BZ45" i="12" s="1"/>
  <c r="BZ61" i="12" s="1"/>
  <c r="BZ65" i="12" s="1"/>
  <c r="BZ69" i="12"/>
  <c r="BZ70" i="12" s="1"/>
  <c r="CJ17" i="12"/>
  <c r="CJ69" i="12"/>
  <c r="CM17" i="12"/>
  <c r="CM69" i="12"/>
  <c r="CW17" i="12"/>
  <c r="CW69" i="12"/>
  <c r="CW70" i="12" s="1"/>
  <c r="AS51" i="12"/>
  <c r="BV17" i="12"/>
  <c r="BV69" i="12"/>
  <c r="AF17" i="12"/>
  <c r="AF69" i="12"/>
  <c r="ED17" i="12"/>
  <c r="ED69" i="12"/>
  <c r="ED70" i="12" s="1"/>
  <c r="AE51" i="12"/>
  <c r="DZ51" i="12"/>
  <c r="W51" i="12"/>
  <c r="CI51" i="12"/>
  <c r="AD17" i="12"/>
  <c r="AD69" i="12"/>
  <c r="BK76" i="12"/>
  <c r="BK83" i="12" s="1"/>
  <c r="BK68" i="12"/>
  <c r="BK70" i="12" s="1"/>
  <c r="CO47" i="12"/>
  <c r="H15" i="12"/>
  <c r="EA17" i="12"/>
  <c r="EA69" i="12"/>
  <c r="AY17" i="12"/>
  <c r="AY80" i="12"/>
  <c r="AY69" i="12"/>
  <c r="AY70" i="12" s="1"/>
  <c r="EB17" i="12"/>
  <c r="EB69" i="12"/>
  <c r="EB70" i="12" s="1"/>
  <c r="BJ69" i="12"/>
  <c r="BJ70" i="12" s="1"/>
  <c r="BJ17" i="12"/>
  <c r="AN51" i="12"/>
  <c r="BF80" i="12"/>
  <c r="BF81" i="12" s="1"/>
  <c r="BF17" i="12"/>
  <c r="BF69" i="12"/>
  <c r="AV80" i="12"/>
  <c r="AV81" i="12" s="1"/>
  <c r="AV17" i="12"/>
  <c r="AV69" i="12"/>
  <c r="BS69" i="12"/>
  <c r="BS70" i="12" s="1"/>
  <c r="BS17" i="12"/>
  <c r="BD69" i="12"/>
  <c r="BD17" i="12"/>
  <c r="BD45" i="12" s="1"/>
  <c r="BD61" i="12" s="1"/>
  <c r="BD65" i="12" s="1"/>
  <c r="CM51" i="12"/>
  <c r="CB17" i="12"/>
  <c r="CB69" i="12"/>
  <c r="CB70" i="12" s="1"/>
  <c r="BR80" i="12"/>
  <c r="BR81" i="12" s="1"/>
  <c r="BR17" i="12"/>
  <c r="BR69" i="12"/>
  <c r="CK17" i="12"/>
  <c r="CK45" i="12" s="1"/>
  <c r="CK61" i="12" s="1"/>
  <c r="CK65" i="12" s="1"/>
  <c r="CK69" i="12"/>
  <c r="DG17" i="12"/>
  <c r="DG69" i="12"/>
  <c r="DE51" i="12"/>
  <c r="Q17" i="12"/>
  <c r="Q69" i="12"/>
  <c r="Q70" i="12" s="1"/>
  <c r="BN51" i="12"/>
  <c r="CD51" i="12"/>
  <c r="BD51" i="12"/>
  <c r="CZ51" i="12"/>
  <c r="BH17" i="12"/>
  <c r="BH45" i="12" s="1"/>
  <c r="BH61" i="12" s="1"/>
  <c r="BH65" i="12" s="1"/>
  <c r="BH80" i="12"/>
  <c r="BH81" i="12" s="1"/>
  <c r="BH83" i="12" s="1"/>
  <c r="BH69" i="12"/>
  <c r="BY51" i="12"/>
  <c r="CO51" i="12"/>
  <c r="EG51" i="12"/>
  <c r="EH51" i="12"/>
  <c r="CG51" i="12"/>
  <c r="CT9" i="12"/>
  <c r="DL17" i="12"/>
  <c r="DL69" i="12"/>
  <c r="BY47" i="12"/>
  <c r="V17" i="12"/>
  <c r="V69" i="12"/>
  <c r="AE69" i="12"/>
  <c r="AE70" i="12" s="1"/>
  <c r="AE17" i="12"/>
  <c r="AL17" i="12"/>
  <c r="AL69" i="12"/>
  <c r="AX51" i="12"/>
  <c r="EH17" i="12"/>
  <c r="EH69" i="12"/>
  <c r="EH70" i="12" s="1"/>
  <c r="W69" i="12"/>
  <c r="W17" i="12"/>
  <c r="W45" i="12" s="1"/>
  <c r="W61" i="12" s="1"/>
  <c r="W65" i="12" s="1"/>
  <c r="AG17" i="12"/>
  <c r="AG45" i="12" s="1"/>
  <c r="AG61" i="12" s="1"/>
  <c r="AG65" i="12" s="1"/>
  <c r="AG69" i="12"/>
  <c r="AG70" i="12" s="1"/>
  <c r="AM69" i="12"/>
  <c r="AM17" i="12"/>
  <c r="BN69" i="12"/>
  <c r="BN17" i="12"/>
  <c r="BN80" i="12"/>
  <c r="AS98" i="12" s="1"/>
  <c r="AS99" i="12" s="1"/>
  <c r="DR17" i="12"/>
  <c r="DR69" i="12"/>
  <c r="DM69" i="12"/>
  <c r="DM17" i="12"/>
  <c r="CN17" i="12"/>
  <c r="CN69" i="12"/>
  <c r="CD17" i="12"/>
  <c r="CD69" i="12"/>
  <c r="CD70" i="12" s="1"/>
  <c r="CL17" i="12"/>
  <c r="CL69" i="12"/>
  <c r="BJ80" i="12"/>
  <c r="BJ81" i="12" s="1"/>
  <c r="AR98" i="12"/>
  <c r="AR99" i="12" s="1"/>
  <c r="BD80" i="12"/>
  <c r="DK17" i="12"/>
  <c r="DK69" i="12"/>
  <c r="AZ17" i="12"/>
  <c r="AZ45" i="12" s="1"/>
  <c r="AZ61" i="12" s="1"/>
  <c r="AZ65" i="12" s="1"/>
  <c r="AZ69" i="12"/>
  <c r="AZ80" i="12"/>
  <c r="AZ81" i="12" s="1"/>
  <c r="AZ83" i="12" s="1"/>
  <c r="CY51" i="12"/>
  <c r="DC69" i="12"/>
  <c r="DC17" i="12"/>
  <c r="DC45" i="12" s="1"/>
  <c r="DC61" i="12" s="1"/>
  <c r="DC65" i="12" s="1"/>
  <c r="DG51" i="12"/>
  <c r="EE69" i="12"/>
  <c r="EE70" i="12" s="1"/>
  <c r="EE17" i="12"/>
  <c r="DO51" i="12"/>
  <c r="AI17" i="12"/>
  <c r="AI69" i="12"/>
  <c r="AI70" i="12" s="1"/>
  <c r="BU17" i="12"/>
  <c r="BU69" i="12"/>
  <c r="AQ17" i="12"/>
  <c r="AQ69" i="12"/>
  <c r="AQ70" i="12" s="1"/>
  <c r="AH51" i="12"/>
  <c r="O69" i="12"/>
  <c r="O17" i="12"/>
  <c r="DH17" i="12"/>
  <c r="DH45" i="12" s="1"/>
  <c r="DH61" i="12" s="1"/>
  <c r="DH65" i="12" s="1"/>
  <c r="DH69" i="12"/>
  <c r="BT69" i="12"/>
  <c r="BT70" i="12" s="1"/>
  <c r="BT17" i="12"/>
  <c r="AR17" i="12"/>
  <c r="AR45" i="12" s="1"/>
  <c r="AR61" i="12" s="1"/>
  <c r="AR65" i="12" s="1"/>
  <c r="AR69" i="12"/>
  <c r="AH17" i="12"/>
  <c r="AH69" i="12"/>
  <c r="BA69" i="12"/>
  <c r="BA17" i="12"/>
  <c r="BN47" i="12"/>
  <c r="CJ9" i="12"/>
  <c r="CJ45" i="12"/>
  <c r="CJ61" i="12" s="1"/>
  <c r="CJ65" i="12" s="1"/>
  <c r="CQ47" i="12"/>
  <c r="AY51" i="12"/>
  <c r="CT17" i="12"/>
  <c r="CT45" i="12" s="1"/>
  <c r="CT61" i="12" s="1"/>
  <c r="CT65" i="12" s="1"/>
  <c r="CT69" i="12"/>
  <c r="CT70" i="12" s="1"/>
  <c r="N69" i="12"/>
  <c r="N70" i="12" s="1"/>
  <c r="N17" i="12"/>
  <c r="N45" i="12" s="1"/>
  <c r="N61" i="12" s="1"/>
  <c r="N65" i="12" s="1"/>
  <c r="DJ17" i="12"/>
  <c r="DJ69" i="12"/>
  <c r="DW17" i="12"/>
  <c r="DW45" i="12" s="1"/>
  <c r="DW69" i="12"/>
  <c r="DS69" i="12"/>
  <c r="DS17" i="12"/>
  <c r="BQ51" i="12"/>
  <c r="CU17" i="12"/>
  <c r="CU69" i="12"/>
  <c r="T17" i="12"/>
  <c r="T69" i="12"/>
  <c r="EK51" i="12"/>
  <c r="CS69" i="12"/>
  <c r="CS17" i="12"/>
  <c r="X69" i="12"/>
  <c r="X70" i="12" s="1"/>
  <c r="X17" i="12"/>
  <c r="DN69" i="12"/>
  <c r="DN17" i="12"/>
  <c r="AW69" i="12"/>
  <c r="AW70" i="12" s="1"/>
  <c r="AW17" i="12"/>
  <c r="AW80" i="12"/>
  <c r="AW81" i="12" s="1"/>
  <c r="CT51" i="12"/>
  <c r="EC69" i="12"/>
  <c r="EC17" i="12"/>
  <c r="BE51" i="12"/>
  <c r="CK51" i="12"/>
  <c r="AX76" i="12"/>
  <c r="AN94" i="12"/>
  <c r="BD76" i="12"/>
  <c r="BJ76" i="12"/>
  <c r="BJ83" i="12" s="1"/>
  <c r="AR94" i="12"/>
  <c r="AR101" i="12" s="1"/>
  <c r="BP76" i="12"/>
  <c r="AT94" i="12"/>
  <c r="BA80" i="12"/>
  <c r="BA81" i="12" s="1"/>
  <c r="AO98" i="12"/>
  <c r="AO99" i="12" s="1"/>
  <c r="EA51" i="12"/>
  <c r="L17" i="12"/>
  <c r="L69" i="12"/>
  <c r="EI17" i="12"/>
  <c r="EI45" i="12" s="1"/>
  <c r="EI61" i="12" s="1"/>
  <c r="EI65" i="12" s="1"/>
  <c r="EI69" i="12"/>
  <c r="M51" i="12"/>
  <c r="CC69" i="12"/>
  <c r="CC70" i="12" s="1"/>
  <c r="CC17" i="12"/>
  <c r="DD69" i="12"/>
  <c r="DD70" i="12" s="1"/>
  <c r="DD17" i="12"/>
  <c r="DD45" i="12" s="1"/>
  <c r="DD61" i="12" s="1"/>
  <c r="DD65" i="12" s="1"/>
  <c r="H43" i="12"/>
  <c r="BG76" i="12"/>
  <c r="BG83" i="12" s="1"/>
  <c r="DW51" i="12"/>
  <c r="CV9" i="12"/>
  <c r="CV45" i="12" s="1"/>
  <c r="CV61" i="12" s="1"/>
  <c r="CV65" i="12" s="1"/>
  <c r="AM51" i="12"/>
  <c r="BM76" i="12"/>
  <c r="BM83" i="12" s="1"/>
  <c r="Y51" i="12"/>
  <c r="BI47" i="12"/>
  <c r="DP51" i="12"/>
  <c r="R51" i="12"/>
  <c r="CA51" i="12"/>
  <c r="CD9" i="12"/>
  <c r="CD45" i="12" s="1"/>
  <c r="CD61" i="12" s="1"/>
  <c r="CD65" i="12" s="1"/>
  <c r="BA76" i="12"/>
  <c r="BA83" i="12" s="1"/>
  <c r="AO94" i="12"/>
  <c r="AO101" i="12" s="1"/>
  <c r="AT101" i="12" l="1"/>
  <c r="AO106" i="12"/>
  <c r="AO107" i="12"/>
  <c r="BC88" i="12"/>
  <c r="BC89" i="12"/>
  <c r="Y61" i="12"/>
  <c r="Y65" i="12" s="1"/>
  <c r="BK88" i="12"/>
  <c r="BK89" i="12"/>
  <c r="AY89" i="12"/>
  <c r="AY88" i="12"/>
  <c r="AZ89" i="12"/>
  <c r="AZ88" i="12"/>
  <c r="BO83" i="12"/>
  <c r="AS94" i="12"/>
  <c r="AS101" i="12" s="1"/>
  <c r="H68" i="12"/>
  <c r="AX83" i="12"/>
  <c r="BH88" i="12"/>
  <c r="BH89" i="12"/>
  <c r="L45" i="12"/>
  <c r="L61" i="12" s="1"/>
  <c r="L65" i="12" s="1"/>
  <c r="H9" i="12"/>
  <c r="BA89" i="12"/>
  <c r="BA88" i="12"/>
  <c r="BM88" i="12"/>
  <c r="BM89" i="12"/>
  <c r="CG70" i="12"/>
  <c r="R61" i="12"/>
  <c r="R65" i="12" s="1"/>
  <c r="AU88" i="12"/>
  <c r="AU89" i="12"/>
  <c r="BE83" i="12"/>
  <c r="BB83" i="12"/>
  <c r="DE61" i="12"/>
  <c r="DE65" i="12" s="1"/>
  <c r="H51" i="12"/>
  <c r="AP98" i="12"/>
  <c r="AP99" i="12" s="1"/>
  <c r="BD81" i="12"/>
  <c r="BD83" i="12" s="1"/>
  <c r="AV83" i="12"/>
  <c r="DZ45" i="12"/>
  <c r="DZ61" i="12" s="1"/>
  <c r="DZ65" i="12" s="1"/>
  <c r="AS70" i="12"/>
  <c r="CH61" i="12"/>
  <c r="CH65" i="12" s="1"/>
  <c r="AM61" i="12"/>
  <c r="AM65" i="12" s="1"/>
  <c r="AN98" i="12"/>
  <c r="AN99" i="12" s="1"/>
  <c r="AN101" i="12" s="1"/>
  <c r="H81" i="12"/>
  <c r="DP45" i="12"/>
  <c r="DP61" i="12" s="1"/>
  <c r="DP65" i="12" s="1"/>
  <c r="BR83" i="12"/>
  <c r="X61" i="12"/>
  <c r="X65" i="12" s="1"/>
  <c r="AW83" i="12"/>
  <c r="DJ70" i="12"/>
  <c r="DW61" i="12"/>
  <c r="DW65" i="12" s="1"/>
  <c r="BJ61" i="12"/>
  <c r="BJ65" i="12" s="1"/>
  <c r="BI83" i="12"/>
  <c r="BN70" i="12"/>
  <c r="T45" i="12"/>
  <c r="T61" i="12" s="1"/>
  <c r="T65" i="12" s="1"/>
  <c r="BL83" i="12"/>
  <c r="H69" i="12"/>
  <c r="AQ94" i="12"/>
  <c r="BP83" i="12"/>
  <c r="BV70" i="12"/>
  <c r="BF83" i="12"/>
  <c r="BQ83" i="12"/>
  <c r="BG88" i="12"/>
  <c r="BG89" i="12"/>
  <c r="AR107" i="12"/>
  <c r="AR106" i="12"/>
  <c r="K61" i="12"/>
  <c r="AI45" i="12"/>
  <c r="AI61" i="12" s="1"/>
  <c r="AI65" i="12" s="1"/>
  <c r="AD61" i="12"/>
  <c r="AD65" i="12" s="1"/>
  <c r="DT70" i="12"/>
  <c r="BJ88" i="12"/>
  <c r="BJ89" i="12"/>
  <c r="AT107" i="12"/>
  <c r="AT106" i="12"/>
  <c r="CA61" i="12"/>
  <c r="CA65" i="12" s="1"/>
  <c r="CZ45" i="12"/>
  <c r="CZ61" i="12" s="1"/>
  <c r="CZ65" i="12" s="1"/>
  <c r="H47" i="12"/>
  <c r="BI61" i="12"/>
  <c r="BI65" i="12" s="1"/>
  <c r="CB61" i="12"/>
  <c r="CB65" i="12" s="1"/>
  <c r="BA70" i="12"/>
  <c r="H80" i="12"/>
  <c r="AP94" i="12"/>
  <c r="AP101" i="12" s="1"/>
  <c r="H76" i="12"/>
  <c r="BN81" i="12"/>
  <c r="BN83" i="12" s="1"/>
  <c r="AM94" i="12"/>
  <c r="AM98" i="12"/>
  <c r="AQ98" i="12"/>
  <c r="AQ99" i="12" s="1"/>
  <c r="H17" i="12"/>
  <c r="BN88" i="12" l="1"/>
  <c r="BN89" i="12"/>
  <c r="H83" i="12"/>
  <c r="AN107" i="12"/>
  <c r="AN106" i="12"/>
  <c r="BD88" i="12"/>
  <c r="BD89" i="12"/>
  <c r="AS106" i="12"/>
  <c r="AS107" i="12"/>
  <c r="BQ89" i="12"/>
  <c r="BQ88" i="12"/>
  <c r="BO89" i="12"/>
  <c r="BO88" i="12"/>
  <c r="I99" i="12"/>
  <c r="BF89" i="12"/>
  <c r="BF88" i="12"/>
  <c r="BP89" i="12"/>
  <c r="BP88" i="12"/>
  <c r="AQ101" i="12"/>
  <c r="BR89" i="12"/>
  <c r="BR88" i="12"/>
  <c r="AM99" i="12"/>
  <c r="H99" i="12" s="1"/>
  <c r="H98" i="12"/>
  <c r="I98" i="12" s="1"/>
  <c r="BL88" i="12"/>
  <c r="BL89" i="12"/>
  <c r="AW88" i="12"/>
  <c r="AW89" i="12"/>
  <c r="H94" i="12"/>
  <c r="I94" i="12" s="1"/>
  <c r="AM101" i="12"/>
  <c r="AV88" i="12"/>
  <c r="AV89" i="12"/>
  <c r="BE89" i="12"/>
  <c r="BE88" i="12"/>
  <c r="AP107" i="12"/>
  <c r="AP106" i="12"/>
  <c r="K65" i="12"/>
  <c r="H65" i="12" s="1"/>
  <c r="H61" i="12"/>
  <c r="H45" i="12"/>
  <c r="BI88" i="12"/>
  <c r="BI89" i="12"/>
  <c r="H70" i="12"/>
  <c r="BB89" i="12"/>
  <c r="BB88" i="12"/>
  <c r="AX88" i="12"/>
  <c r="AX89" i="12"/>
  <c r="AM106" i="12" l="1"/>
  <c r="AM107" i="12"/>
  <c r="H101" i="12"/>
  <c r="I101" i="12" s="1"/>
  <c r="H88" i="12"/>
  <c r="H89" i="12"/>
  <c r="AQ107" i="12"/>
  <c r="AQ106" i="12"/>
  <c r="H115" i="12" l="1"/>
  <c r="AM109" i="12" s="1"/>
  <c r="H112" i="12"/>
  <c r="AQ109" i="12"/>
  <c r="H107" i="12"/>
  <c r="H106" i="12"/>
  <c r="H114" i="12"/>
  <c r="AM108" i="12" s="1"/>
  <c r="H111" i="12"/>
  <c r="AX109" i="12" l="1"/>
  <c r="AW109" i="12"/>
  <c r="AV109" i="12"/>
  <c r="AU109" i="12"/>
  <c r="AR109" i="12"/>
  <c r="AO109" i="12"/>
  <c r="AT109" i="12"/>
  <c r="AP109" i="12"/>
  <c r="AN109" i="12"/>
  <c r="AS109" i="12"/>
  <c r="AV108" i="12"/>
  <c r="AU108" i="12"/>
  <c r="AX108" i="12"/>
  <c r="AW108" i="12"/>
  <c r="AT108" i="12"/>
  <c r="AR108" i="12"/>
  <c r="AO108" i="12"/>
  <c r="AN108" i="12"/>
  <c r="AS108" i="12"/>
  <c r="AP108" i="12"/>
  <c r="AQ108" i="12"/>
  <c r="H109" i="12" l="1"/>
  <c r="H117" i="12" s="1"/>
  <c r="H108" i="12"/>
  <c r="H116" i="12" s="1"/>
  <c r="H136" i="3"/>
  <c r="H13" i="3"/>
  <c r="L31" i="3"/>
  <c r="U31" i="3"/>
  <c r="P31" i="3"/>
  <c r="O31" i="3"/>
  <c r="AD31" i="3"/>
  <c r="P37" i="3"/>
  <c r="P43" i="3" s="1"/>
  <c r="N31" i="3"/>
  <c r="P53" i="3"/>
  <c r="P69" i="3" s="1"/>
  <c r="AC31" i="3"/>
  <c r="Z53" i="3"/>
  <c r="Z69" i="3" s="1"/>
  <c r="H90" i="3"/>
  <c r="Q53" i="3"/>
  <c r="Q69" i="3" s="1"/>
  <c r="H29" i="3"/>
  <c r="AA31" i="3"/>
  <c r="U37" i="3"/>
  <c r="U43" i="3" s="1"/>
  <c r="N53" i="3"/>
  <c r="N69" i="3" s="1"/>
  <c r="X53" i="3"/>
  <c r="X69" i="3" s="1"/>
  <c r="W31" i="3"/>
  <c r="AA37" i="3"/>
  <c r="AA43" i="3" s="1"/>
  <c r="H160" i="3"/>
  <c r="AC53" i="3"/>
  <c r="AC69" i="3" s="1"/>
  <c r="AD37" i="3"/>
  <c r="AD43" i="3" s="1"/>
  <c r="W37" i="3"/>
  <c r="W43" i="3" s="1"/>
  <c r="V53" i="3"/>
  <c r="V69" i="3" s="1"/>
  <c r="Q31" i="3"/>
  <c r="X31" i="3"/>
  <c r="Y53" i="3"/>
  <c r="Y69" i="3" s="1"/>
  <c r="AA53" i="3"/>
  <c r="AA69" i="3" s="1"/>
  <c r="J31" i="3"/>
  <c r="AD45" i="3"/>
  <c r="AD55" i="3" s="1"/>
  <c r="AB53" i="3"/>
  <c r="AB69" i="3" s="1"/>
  <c r="J37" i="3"/>
  <c r="S31" i="3"/>
  <c r="S37" i="3"/>
  <c r="S43" i="3" s="1"/>
  <c r="V31" i="3"/>
  <c r="Z31" i="3"/>
  <c r="Z37" i="3"/>
  <c r="Z43" i="3" s="1"/>
  <c r="P45" i="3"/>
  <c r="P55" i="3" s="1"/>
  <c r="W45" i="3"/>
  <c r="W55" i="3" s="1"/>
  <c r="A38" i="1"/>
  <c r="A39" i="1" s="1"/>
  <c r="AD53" i="3"/>
  <c r="AD69" i="3" s="1"/>
  <c r="H33" i="3"/>
  <c r="N37" i="3"/>
  <c r="N43" i="3" s="1"/>
  <c r="L53" i="3"/>
  <c r="L69" i="3" s="1"/>
  <c r="U45" i="3"/>
  <c r="U55" i="3" s="1"/>
  <c r="AC37" i="3"/>
  <c r="AC43" i="3" s="1"/>
  <c r="M37" i="3"/>
  <c r="M43" i="3" s="1"/>
  <c r="M31" i="3"/>
  <c r="S45" i="3"/>
  <c r="S55" i="3" s="1"/>
  <c r="AB37" i="3"/>
  <c r="AB43" i="3" s="1"/>
  <c r="AB31" i="3"/>
  <c r="R31" i="3"/>
  <c r="T31" i="3"/>
  <c r="W53" i="3"/>
  <c r="W69" i="3" s="1"/>
  <c r="T37" i="3"/>
  <c r="T45" i="3" s="1"/>
  <c r="AB45" i="3"/>
  <c r="AA45" i="3"/>
  <c r="AA55" i="3" s="1"/>
  <c r="U53" i="3"/>
  <c r="U69" i="3" s="1"/>
  <c r="S53" i="3"/>
  <c r="S69" i="3" s="1"/>
  <c r="O37" i="3"/>
  <c r="O45" i="3" s="1"/>
  <c r="L37" i="3"/>
  <c r="L45" i="3" s="1"/>
  <c r="L43" i="3"/>
  <c r="O53" i="3"/>
  <c r="O69" i="3" s="1"/>
  <c r="K53" i="3"/>
  <c r="K69" i="3" s="1"/>
  <c r="T53" i="3"/>
  <c r="T69" i="3" s="1"/>
  <c r="R53" i="3"/>
  <c r="R69" i="3" s="1"/>
  <c r="X37" i="3"/>
  <c r="X45" i="3" s="1"/>
  <c r="M53" i="3"/>
  <c r="M69" i="3" s="1"/>
  <c r="R37" i="3"/>
  <c r="R45" i="3" s="1"/>
  <c r="Y31" i="3"/>
  <c r="K31" i="3"/>
  <c r="K37" i="3"/>
  <c r="Y37" i="3"/>
  <c r="Y45" i="3" s="1"/>
  <c r="Q37" i="3"/>
  <c r="Q45" i="3" s="1"/>
  <c r="Q43" i="3"/>
  <c r="V37" i="3"/>
  <c r="V45" i="3" s="1"/>
  <c r="V43" i="3"/>
  <c r="N45" i="3"/>
  <c r="J53" i="3"/>
  <c r="AA162" i="3" l="1"/>
  <c r="AA70" i="3"/>
  <c r="Y55" i="3"/>
  <c r="Y14" i="3"/>
  <c r="N55" i="3"/>
  <c r="N14" i="3"/>
  <c r="L55" i="3"/>
  <c r="L14" i="3"/>
  <c r="J69" i="3"/>
  <c r="J54" i="3"/>
  <c r="H53" i="3"/>
  <c r="Q14" i="3"/>
  <c r="Q55" i="3"/>
  <c r="V14" i="3"/>
  <c r="V55" i="3"/>
  <c r="K43" i="3"/>
  <c r="K45" i="3"/>
  <c r="X43" i="3"/>
  <c r="T14" i="3"/>
  <c r="T55" i="3"/>
  <c r="W70" i="3"/>
  <c r="W162" i="3"/>
  <c r="X55" i="3"/>
  <c r="X14" i="3"/>
  <c r="P70" i="3"/>
  <c r="P162" i="3"/>
  <c r="O43" i="3"/>
  <c r="O14" i="3"/>
  <c r="O55" i="3"/>
  <c r="S162" i="3"/>
  <c r="S70" i="3"/>
  <c r="AA14" i="3"/>
  <c r="Y43" i="3"/>
  <c r="R43" i="3"/>
  <c r="R55" i="3"/>
  <c r="R14" i="3"/>
  <c r="AD70" i="3"/>
  <c r="AD162" i="3"/>
  <c r="U70" i="3"/>
  <c r="U162" i="3"/>
  <c r="H31" i="3"/>
  <c r="AB14" i="3"/>
  <c r="AB55" i="3"/>
  <c r="M45" i="3"/>
  <c r="AC45" i="3"/>
  <c r="U14" i="3"/>
  <c r="AD14" i="3"/>
  <c r="W14" i="3"/>
  <c r="T43" i="3"/>
  <c r="H37" i="3"/>
  <c r="P14" i="3"/>
  <c r="Z45" i="3"/>
  <c r="S14" i="3"/>
  <c r="V162" i="3" l="1"/>
  <c r="V70" i="3"/>
  <c r="L70" i="3"/>
  <c r="L162" i="3"/>
  <c r="M14" i="3"/>
  <c r="M55" i="3"/>
  <c r="AB70" i="3"/>
  <c r="AB162" i="3"/>
  <c r="H69" i="3"/>
  <c r="J161" i="3"/>
  <c r="J39" i="3"/>
  <c r="T70" i="3"/>
  <c r="T162" i="3"/>
  <c r="N162" i="3"/>
  <c r="N70" i="3"/>
  <c r="AC55" i="3"/>
  <c r="AC14" i="3"/>
  <c r="Q70" i="3"/>
  <c r="Q162" i="3"/>
  <c r="R162" i="3"/>
  <c r="R70" i="3"/>
  <c r="Y162" i="3"/>
  <c r="Y70" i="3"/>
  <c r="O70" i="3"/>
  <c r="O162" i="3"/>
  <c r="Z55" i="3"/>
  <c r="Z14" i="3"/>
  <c r="K55" i="3"/>
  <c r="K14" i="3"/>
  <c r="X162" i="3"/>
  <c r="X70" i="3"/>
  <c r="J40" i="3" l="1"/>
  <c r="H40" i="3" s="1"/>
  <c r="H39" i="3"/>
  <c r="AC70" i="3"/>
  <c r="AC162" i="3"/>
  <c r="Z162" i="3"/>
  <c r="Z70" i="3"/>
  <c r="M70" i="3"/>
  <c r="M162" i="3"/>
  <c r="K162" i="3"/>
  <c r="K70" i="3"/>
  <c r="J41" i="3" l="1"/>
  <c r="H41" i="3" s="1"/>
  <c r="J45" i="3" l="1"/>
  <c r="J43" i="3"/>
  <c r="H43" i="3" s="1"/>
  <c r="H45" i="3" l="1"/>
  <c r="J14" i="3"/>
  <c r="J55" i="3"/>
  <c r="H14" i="3" l="1"/>
  <c r="J9" i="3"/>
  <c r="J162" i="3"/>
  <c r="H55" i="3"/>
  <c r="J70" i="3"/>
  <c r="J50" i="3"/>
  <c r="H70" i="3" l="1"/>
  <c r="J73" i="3"/>
  <c r="J60" i="3"/>
  <c r="H162" i="3"/>
  <c r="J157" i="3"/>
  <c r="J167" i="3" l="1"/>
  <c r="J57" i="3"/>
  <c r="J19" i="3"/>
  <c r="J74" i="3"/>
  <c r="K67" i="3" l="1"/>
  <c r="J62" i="3"/>
  <c r="J164" i="3"/>
  <c r="J89" i="3"/>
  <c r="J16" i="3"/>
  <c r="J88" i="3"/>
  <c r="J169" i="3" l="1"/>
  <c r="D17" i="1"/>
  <c r="J96" i="3"/>
  <c r="J21" i="3"/>
  <c r="K52" i="3"/>
  <c r="K73" i="3"/>
  <c r="K74" i="3" s="1"/>
  <c r="L67" i="3" l="1"/>
  <c r="K11" i="3"/>
  <c r="J107" i="3"/>
  <c r="K54" i="3"/>
  <c r="K159" i="3"/>
  <c r="K161" i="3" l="1"/>
  <c r="D19" i="1"/>
  <c r="J108" i="3"/>
  <c r="D53" i="1"/>
  <c r="D56" i="1" s="1"/>
  <c r="K105" i="3"/>
  <c r="K157" i="3"/>
  <c r="K50" i="3"/>
  <c r="K60" i="3" s="1"/>
  <c r="J118" i="3"/>
  <c r="K9" i="3"/>
  <c r="L73" i="3"/>
  <c r="K57" i="3" l="1"/>
  <c r="K19" i="3"/>
  <c r="K167" i="3"/>
  <c r="K62" i="3"/>
  <c r="L74" i="3"/>
  <c r="J119" i="3"/>
  <c r="K116" i="3"/>
  <c r="J129" i="3"/>
  <c r="J131" i="3" s="1"/>
  <c r="M67" i="3" l="1"/>
  <c r="L52" i="3"/>
  <c r="K164" i="3"/>
  <c r="K89" i="3"/>
  <c r="K88" i="3"/>
  <c r="K16" i="3"/>
  <c r="J130" i="3"/>
  <c r="K127" i="3"/>
  <c r="D18" i="1"/>
  <c r="K21" i="3" l="1"/>
  <c r="K169" i="3"/>
  <c r="D45" i="1"/>
  <c r="D48" i="1" s="1"/>
  <c r="D63" i="1" s="1"/>
  <c r="D20" i="1"/>
  <c r="M73" i="3"/>
  <c r="M74" i="3" s="1"/>
  <c r="L54" i="3"/>
  <c r="K96" i="3"/>
  <c r="E17" i="1"/>
  <c r="N67" i="3" l="1"/>
  <c r="L11" i="3"/>
  <c r="L161" i="3"/>
  <c r="D130" i="1"/>
  <c r="D67" i="1"/>
  <c r="D149" i="1"/>
  <c r="K107" i="3"/>
  <c r="L50" i="3"/>
  <c r="L159" i="3"/>
  <c r="D132" i="1" l="1"/>
  <c r="L157" i="3"/>
  <c r="L9" i="3"/>
  <c r="K108" i="3"/>
  <c r="E53" i="1"/>
  <c r="E56" i="1" s="1"/>
  <c r="E75" i="1" s="1"/>
  <c r="E19" i="1"/>
  <c r="D151" i="1" s="1"/>
  <c r="L105" i="3"/>
  <c r="N73" i="3"/>
  <c r="N74" i="3" s="1"/>
  <c r="K118" i="3"/>
  <c r="L60" i="3"/>
  <c r="O67" i="3" l="1"/>
  <c r="K119" i="3"/>
  <c r="L116" i="3"/>
  <c r="L57" i="3"/>
  <c r="L19" i="3"/>
  <c r="K129" i="3"/>
  <c r="L167" i="3"/>
  <c r="Y178" i="1"/>
  <c r="E131" i="1"/>
  <c r="L164" i="3" l="1"/>
  <c r="L89" i="3"/>
  <c r="L62" i="3"/>
  <c r="K130" i="3"/>
  <c r="E18" i="1"/>
  <c r="L127" i="3"/>
  <c r="K131" i="3"/>
  <c r="L88" i="3"/>
  <c r="L16" i="3"/>
  <c r="O73" i="3"/>
  <c r="O74" i="3"/>
  <c r="P67" i="3" s="1"/>
  <c r="P73" i="3" l="1"/>
  <c r="P74" i="3"/>
  <c r="Q67" i="3" s="1"/>
  <c r="D150" i="1"/>
  <c r="E45" i="1"/>
  <c r="E48" i="1" s="1"/>
  <c r="E63" i="1" s="1"/>
  <c r="E20" i="1"/>
  <c r="M52" i="3"/>
  <c r="L21" i="3"/>
  <c r="F17" i="1"/>
  <c r="L96" i="3"/>
  <c r="L169" i="3"/>
  <c r="E130" i="1" l="1"/>
  <c r="N136" i="1"/>
  <c r="M54" i="3"/>
  <c r="M60" i="3" s="1"/>
  <c r="M50" i="3"/>
  <c r="Q73" i="3"/>
  <c r="Q74" i="3" s="1"/>
  <c r="R67" i="3" s="1"/>
  <c r="M11" i="3"/>
  <c r="M159" i="3"/>
  <c r="L107" i="3"/>
  <c r="R73" i="3" l="1"/>
  <c r="R74" i="3" s="1"/>
  <c r="S67" i="3" s="1"/>
  <c r="M19" i="3"/>
  <c r="M57" i="3"/>
  <c r="M9" i="3"/>
  <c r="L108" i="3"/>
  <c r="F19" i="1"/>
  <c r="F53" i="1"/>
  <c r="F56" i="1" s="1"/>
  <c r="F75" i="1" s="1"/>
  <c r="M105" i="3"/>
  <c r="L118" i="3"/>
  <c r="E132" i="1"/>
  <c r="M161" i="3"/>
  <c r="M157" i="3" s="1"/>
  <c r="L129" i="3"/>
  <c r="M62" i="3"/>
  <c r="M167" i="3" l="1"/>
  <c r="S73" i="3"/>
  <c r="S74" i="3" s="1"/>
  <c r="T67" i="3" s="1"/>
  <c r="L130" i="3"/>
  <c r="F18" i="1"/>
  <c r="M127" i="3"/>
  <c r="L131" i="3"/>
  <c r="N52" i="3"/>
  <c r="M88" i="3"/>
  <c r="M16" i="3"/>
  <c r="L119" i="3"/>
  <c r="M116" i="3"/>
  <c r="Z178" i="1"/>
  <c r="F131" i="1"/>
  <c r="T73" i="3" l="1"/>
  <c r="T74" i="3" s="1"/>
  <c r="U67" i="3" s="1"/>
  <c r="F45" i="1"/>
  <c r="F48" i="1" s="1"/>
  <c r="F63" i="1" s="1"/>
  <c r="F20" i="1"/>
  <c r="N54" i="3"/>
  <c r="M21" i="3"/>
  <c r="M164" i="3"/>
  <c r="M89" i="3"/>
  <c r="U73" i="3" l="1"/>
  <c r="U74" i="3"/>
  <c r="V67" i="3" s="1"/>
  <c r="O136" i="1"/>
  <c r="F130" i="1"/>
  <c r="N11" i="3"/>
  <c r="N50" i="3"/>
  <c r="G17" i="1"/>
  <c r="M96" i="3"/>
  <c r="M169" i="3"/>
  <c r="N161" i="3"/>
  <c r="F149" i="1" l="1"/>
  <c r="V73" i="3"/>
  <c r="V74" i="3" s="1"/>
  <c r="W67" i="3" s="1"/>
  <c r="M107" i="3"/>
  <c r="M118" i="3" s="1"/>
  <c r="N9" i="3"/>
  <c r="F132" i="1"/>
  <c r="N159" i="3"/>
  <c r="N60" i="3"/>
  <c r="M119" i="3" l="1"/>
  <c r="N116" i="3"/>
  <c r="W73" i="3"/>
  <c r="W74" i="3"/>
  <c r="X67" i="3" s="1"/>
  <c r="N57" i="3"/>
  <c r="N62" i="3" s="1"/>
  <c r="N19" i="3"/>
  <c r="N157" i="3"/>
  <c r="M129" i="3"/>
  <c r="G19" i="1"/>
  <c r="F151" i="1" s="1"/>
  <c r="G53" i="1"/>
  <c r="G56" i="1" s="1"/>
  <c r="G75" i="1" s="1"/>
  <c r="M108" i="3"/>
  <c r="N105" i="3"/>
  <c r="M130" i="3" l="1"/>
  <c r="G18" i="1"/>
  <c r="N127" i="3"/>
  <c r="O52" i="3"/>
  <c r="N88" i="3"/>
  <c r="N16" i="3"/>
  <c r="N21" i="3" s="1"/>
  <c r="N167" i="3"/>
  <c r="M131" i="3"/>
  <c r="P178" i="1"/>
  <c r="G131" i="1"/>
  <c r="X73" i="3"/>
  <c r="X74" i="3" s="1"/>
  <c r="Y67" i="3" s="1"/>
  <c r="Y73" i="3" l="1"/>
  <c r="Y74" i="3" s="1"/>
  <c r="Z67" i="3" s="1"/>
  <c r="N164" i="3"/>
  <c r="N89" i="3"/>
  <c r="O54" i="3"/>
  <c r="O161" i="3" s="1"/>
  <c r="F150" i="1"/>
  <c r="G45" i="1"/>
  <c r="G48" i="1" s="1"/>
  <c r="G63" i="1" s="1"/>
  <c r="G20" i="1"/>
  <c r="O11" i="3"/>
  <c r="Z73" i="3" l="1"/>
  <c r="Z74" i="3" s="1"/>
  <c r="AA67" i="3" s="1"/>
  <c r="P148" i="1"/>
  <c r="G130" i="1"/>
  <c r="O50" i="3"/>
  <c r="H17" i="1"/>
  <c r="N96" i="3"/>
  <c r="N169" i="3"/>
  <c r="O60" i="3"/>
  <c r="O9" i="3"/>
  <c r="AA73" i="3" l="1"/>
  <c r="AA74" i="3" s="1"/>
  <c r="AB67" i="3" s="1"/>
  <c r="O19" i="3"/>
  <c r="O57" i="3"/>
  <c r="O62" i="3" s="1"/>
  <c r="P52" i="3" s="1"/>
  <c r="O159" i="3"/>
  <c r="G149" i="1"/>
  <c r="N107" i="3"/>
  <c r="N118" i="3" s="1"/>
  <c r="G132" i="1"/>
  <c r="P54" i="3" l="1"/>
  <c r="P161" i="3" s="1"/>
  <c r="P50" i="3"/>
  <c r="AB73" i="3"/>
  <c r="AB74" i="3" s="1"/>
  <c r="AC67" i="3" s="1"/>
  <c r="N119" i="3"/>
  <c r="O116" i="3"/>
  <c r="N131" i="3"/>
  <c r="O157" i="3"/>
  <c r="O16" i="3"/>
  <c r="O21" i="3" s="1"/>
  <c r="P11" i="3" s="1"/>
  <c r="P9" i="3" s="1"/>
  <c r="O88" i="3"/>
  <c r="N108" i="3"/>
  <c r="H53" i="1"/>
  <c r="H56" i="1" s="1"/>
  <c r="H75" i="1" s="1"/>
  <c r="H19" i="1"/>
  <c r="G151" i="1" s="1"/>
  <c r="O105" i="3"/>
  <c r="N129" i="3"/>
  <c r="AC73" i="3" l="1"/>
  <c r="AC74" i="3"/>
  <c r="AD67" i="3" s="1"/>
  <c r="O167" i="3"/>
  <c r="N130" i="3"/>
  <c r="H18" i="1"/>
  <c r="O127" i="3"/>
  <c r="Q178" i="1"/>
  <c r="H131" i="1"/>
  <c r="P60" i="3"/>
  <c r="O164" i="3" l="1"/>
  <c r="O169" i="3" s="1"/>
  <c r="P159" i="3" s="1"/>
  <c r="P157" i="3" s="1"/>
  <c r="O89" i="3"/>
  <c r="I17" i="1" s="1"/>
  <c r="AD73" i="3"/>
  <c r="AD74" i="3" s="1"/>
  <c r="AE67" i="3" s="1"/>
  <c r="G150" i="1"/>
  <c r="H45" i="1"/>
  <c r="H48" i="1" s="1"/>
  <c r="H63" i="1" s="1"/>
  <c r="H20" i="1"/>
  <c r="P19" i="3"/>
  <c r="P57" i="3"/>
  <c r="P62" i="3" s="1"/>
  <c r="Q52" i="3" s="1"/>
  <c r="AE73" i="3" l="1"/>
  <c r="H73" i="3" s="1"/>
  <c r="H67" i="3"/>
  <c r="Q54" i="3"/>
  <c r="Q161" i="3" s="1"/>
  <c r="Q50" i="3"/>
  <c r="Q148" i="1"/>
  <c r="H130" i="1"/>
  <c r="P16" i="3"/>
  <c r="P21" i="3" s="1"/>
  <c r="Q11" i="3" s="1"/>
  <c r="Q9" i="3" s="1"/>
  <c r="P88" i="3"/>
  <c r="P167" i="3"/>
  <c r="O96" i="3"/>
  <c r="O107" i="3" s="1"/>
  <c r="I19" i="1" s="1"/>
  <c r="H149" i="1" l="1"/>
  <c r="P164" i="3"/>
  <c r="P169" i="3" s="1"/>
  <c r="Q159" i="3" s="1"/>
  <c r="Q157" i="3" s="1"/>
  <c r="P89" i="3"/>
  <c r="J17" i="1" s="1"/>
  <c r="H132" i="1"/>
  <c r="Q60" i="3"/>
  <c r="AE74" i="3"/>
  <c r="H74" i="3" s="1"/>
  <c r="Q19" i="3" l="1"/>
  <c r="Q57" i="3"/>
  <c r="Q62" i="3" s="1"/>
  <c r="R52" i="3" s="1"/>
  <c r="P96" i="3"/>
  <c r="H151" i="1"/>
  <c r="O108" i="3"/>
  <c r="I53" i="1"/>
  <c r="I56" i="1" s="1"/>
  <c r="I75" i="1" s="1"/>
  <c r="O118" i="3"/>
  <c r="Q167" i="3"/>
  <c r="O119" i="3" l="1"/>
  <c r="P116" i="3"/>
  <c r="R54" i="3"/>
  <c r="R161" i="3" s="1"/>
  <c r="R50" i="3"/>
  <c r="R60" i="3" s="1"/>
  <c r="I131" i="1"/>
  <c r="R178" i="1"/>
  <c r="O129" i="3"/>
  <c r="Q88" i="3"/>
  <c r="Q16" i="3"/>
  <c r="Q21" i="3" s="1"/>
  <c r="R11" i="3" s="1"/>
  <c r="R9" i="3" s="1"/>
  <c r="J19" i="1"/>
  <c r="I149" i="1"/>
  <c r="Q164" i="3"/>
  <c r="Q169" i="3" s="1"/>
  <c r="R159" i="3" s="1"/>
  <c r="R157" i="3" s="1"/>
  <c r="Q89" i="3"/>
  <c r="O131" i="3" l="1"/>
  <c r="I18" i="1"/>
  <c r="I20" i="1" s="1"/>
  <c r="R57" i="3"/>
  <c r="R19" i="3"/>
  <c r="O130" i="3"/>
  <c r="P127" i="3"/>
  <c r="K17" i="1"/>
  <c r="Q96" i="3"/>
  <c r="R167" i="3"/>
  <c r="R62" i="3"/>
  <c r="S52" i="3" s="1"/>
  <c r="P108" i="3"/>
  <c r="I151" i="1"/>
  <c r="Q105" i="3"/>
  <c r="P118" i="3"/>
  <c r="P129" i="3" s="1"/>
  <c r="P130" i="3" l="1"/>
  <c r="J18" i="1"/>
  <c r="Q127" i="3"/>
  <c r="R164" i="3"/>
  <c r="R169" i="3" s="1"/>
  <c r="S159" i="3" s="1"/>
  <c r="S157" i="3" s="1"/>
  <c r="R89" i="3"/>
  <c r="P119" i="3"/>
  <c r="Q116" i="3"/>
  <c r="J149" i="1"/>
  <c r="H150" i="1"/>
  <c r="I45" i="1"/>
  <c r="I48" i="1" s="1"/>
  <c r="I63" i="1" s="1"/>
  <c r="R88" i="3"/>
  <c r="R16" i="3"/>
  <c r="R21" i="3" s="1"/>
  <c r="S11" i="3" s="1"/>
  <c r="S9" i="3" s="1"/>
  <c r="Q107" i="3"/>
  <c r="J131" i="1"/>
  <c r="S178" i="1"/>
  <c r="J79" i="1"/>
  <c r="S54" i="3"/>
  <c r="S161" i="3" s="1"/>
  <c r="P131" i="3"/>
  <c r="J45" i="1" l="1"/>
  <c r="J48" i="1" s="1"/>
  <c r="J63" i="1" s="1"/>
  <c r="J20" i="1"/>
  <c r="Q118" i="3"/>
  <c r="Q129" i="3" s="1"/>
  <c r="R96" i="3"/>
  <c r="L17" i="1"/>
  <c r="S167" i="3"/>
  <c r="R148" i="1"/>
  <c r="I130" i="1"/>
  <c r="I132" i="1" s="1"/>
  <c r="I150" i="1"/>
  <c r="K19" i="1"/>
  <c r="J151" i="1" s="1"/>
  <c r="Q108" i="3"/>
  <c r="K53" i="1"/>
  <c r="K56" i="1" s="1"/>
  <c r="K75" i="1" s="1"/>
  <c r="R105" i="3"/>
  <c r="S50" i="3"/>
  <c r="S182" i="1"/>
  <c r="K79" i="1" l="1"/>
  <c r="T178" i="1"/>
  <c r="K131" i="1"/>
  <c r="K149" i="1"/>
  <c r="Q119" i="3"/>
  <c r="R116" i="3"/>
  <c r="S164" i="3"/>
  <c r="S169" i="3" s="1"/>
  <c r="T159" i="3" s="1"/>
  <c r="S89" i="3"/>
  <c r="R107" i="3"/>
  <c r="J130" i="1"/>
  <c r="J132" i="1" s="1"/>
  <c r="S148" i="1"/>
  <c r="J67" i="1"/>
  <c r="Q130" i="3"/>
  <c r="K18" i="1"/>
  <c r="R127" i="3"/>
  <c r="S60" i="3"/>
  <c r="Q131" i="3"/>
  <c r="S152" i="1" l="1"/>
  <c r="J150" i="1"/>
  <c r="K45" i="1"/>
  <c r="K48" i="1" s="1"/>
  <c r="K63" i="1" s="1"/>
  <c r="K20" i="1"/>
  <c r="L19" i="1"/>
  <c r="K151" i="1" s="1"/>
  <c r="R108" i="3"/>
  <c r="L53" i="1"/>
  <c r="L56" i="1" s="1"/>
  <c r="L75" i="1" s="1"/>
  <c r="S105" i="3"/>
  <c r="S57" i="3"/>
  <c r="S62" i="3" s="1"/>
  <c r="T52" i="3" s="1"/>
  <c r="S19" i="3"/>
  <c r="R118" i="3"/>
  <c r="R129" i="3" s="1"/>
  <c r="M17" i="1"/>
  <c r="S96" i="3"/>
  <c r="T182" i="1"/>
  <c r="S107" i="3" l="1"/>
  <c r="K67" i="1"/>
  <c r="T148" i="1"/>
  <c r="K130" i="1"/>
  <c r="K132" i="1" s="1"/>
  <c r="S88" i="3"/>
  <c r="S16" i="3"/>
  <c r="S21" i="3" s="1"/>
  <c r="T11" i="3" s="1"/>
  <c r="T9" i="3" s="1"/>
  <c r="R130" i="3"/>
  <c r="L18" i="1"/>
  <c r="S127" i="3"/>
  <c r="T54" i="3"/>
  <c r="T161" i="3" s="1"/>
  <c r="T157" i="3" s="1"/>
  <c r="T50" i="3"/>
  <c r="T60" i="3" s="1"/>
  <c r="L149" i="1"/>
  <c r="R131" i="3"/>
  <c r="R119" i="3"/>
  <c r="S116" i="3"/>
  <c r="L131" i="1"/>
  <c r="U178" i="1"/>
  <c r="L79" i="1"/>
  <c r="T19" i="3" l="1"/>
  <c r="T57" i="3"/>
  <c r="M19" i="1"/>
  <c r="L151" i="1" s="1"/>
  <c r="S108" i="3"/>
  <c r="M53" i="1"/>
  <c r="M56" i="1" s="1"/>
  <c r="M75" i="1" s="1"/>
  <c r="T105" i="3"/>
  <c r="T152" i="1"/>
  <c r="K150" i="1"/>
  <c r="L45" i="1"/>
  <c r="L48" i="1" s="1"/>
  <c r="L63" i="1" s="1"/>
  <c r="L20" i="1"/>
  <c r="S118" i="3"/>
  <c r="T167" i="3"/>
  <c r="T62" i="3"/>
  <c r="U52" i="3" s="1"/>
  <c r="U182" i="1"/>
  <c r="L67" i="1" l="1"/>
  <c r="U148" i="1"/>
  <c r="L130" i="1"/>
  <c r="L132" i="1" s="1"/>
  <c r="U54" i="3"/>
  <c r="U161" i="3" s="1"/>
  <c r="U50" i="3"/>
  <c r="S119" i="3"/>
  <c r="T116" i="3"/>
  <c r="T164" i="3"/>
  <c r="T169" i="3" s="1"/>
  <c r="U159" i="3" s="1"/>
  <c r="T89" i="3"/>
  <c r="M131" i="1"/>
  <c r="V178" i="1"/>
  <c r="M79" i="1"/>
  <c r="S129" i="3"/>
  <c r="S131" i="3" s="1"/>
  <c r="T88" i="3"/>
  <c r="T16" i="3"/>
  <c r="T21" i="3" s="1"/>
  <c r="U11" i="3" s="1"/>
  <c r="U9" i="3" s="1"/>
  <c r="S130" i="3" l="1"/>
  <c r="M18" i="1"/>
  <c r="T127" i="3"/>
  <c r="N17" i="1"/>
  <c r="T96" i="3"/>
  <c r="V182" i="1"/>
  <c r="U157" i="3"/>
  <c r="U152" i="1"/>
  <c r="U60" i="3"/>
  <c r="T107" i="3" l="1"/>
  <c r="L150" i="1"/>
  <c r="M45" i="1"/>
  <c r="M48" i="1" s="1"/>
  <c r="M63" i="1" s="1"/>
  <c r="M20" i="1"/>
  <c r="F165" i="1"/>
  <c r="U57" i="3"/>
  <c r="U62" i="3" s="1"/>
  <c r="V52" i="3" s="1"/>
  <c r="U19" i="3"/>
  <c r="U167" i="3"/>
  <c r="N19" i="1" l="1"/>
  <c r="F167" i="1" s="1"/>
  <c r="T108" i="3"/>
  <c r="N53" i="1"/>
  <c r="N56" i="1" s="1"/>
  <c r="N75" i="1" s="1"/>
  <c r="U105" i="3"/>
  <c r="V54" i="3"/>
  <c r="V161" i="3" s="1"/>
  <c r="M67" i="1"/>
  <c r="M130" i="1"/>
  <c r="M132" i="1" s="1"/>
  <c r="V148" i="1"/>
  <c r="U164" i="3"/>
  <c r="U169" i="3" s="1"/>
  <c r="V159" i="3" s="1"/>
  <c r="U89" i="3"/>
  <c r="T118" i="3"/>
  <c r="T129" i="3" s="1"/>
  <c r="U88" i="3"/>
  <c r="U16" i="3"/>
  <c r="U21" i="3" s="1"/>
  <c r="V11" i="3" s="1"/>
  <c r="V9" i="3" s="1"/>
  <c r="T130" i="3" l="1"/>
  <c r="N18" i="1"/>
  <c r="U127" i="3"/>
  <c r="V50" i="3"/>
  <c r="V60" i="3"/>
  <c r="T131" i="3"/>
  <c r="V152" i="1"/>
  <c r="N79" i="1"/>
  <c r="W178" i="1"/>
  <c r="N131" i="1"/>
  <c r="P131" i="1" s="1"/>
  <c r="V157" i="3"/>
  <c r="T119" i="3"/>
  <c r="U116" i="3"/>
  <c r="U96" i="3"/>
  <c r="O17" i="1"/>
  <c r="W182" i="1" l="1"/>
  <c r="F166" i="1"/>
  <c r="N45" i="1"/>
  <c r="N48" i="1" s="1"/>
  <c r="N63" i="1" s="1"/>
  <c r="N20" i="1"/>
  <c r="G165" i="1"/>
  <c r="U107" i="3"/>
  <c r="V62" i="3"/>
  <c r="W52" i="3" s="1"/>
  <c r="V167" i="3"/>
  <c r="V57" i="3"/>
  <c r="V19" i="3"/>
  <c r="W54" i="3" l="1"/>
  <c r="W161" i="3" s="1"/>
  <c r="U118" i="3"/>
  <c r="U129" i="3" s="1"/>
  <c r="V88" i="3"/>
  <c r="V16" i="3"/>
  <c r="V21" i="3" s="1"/>
  <c r="W11" i="3" s="1"/>
  <c r="W9" i="3" s="1"/>
  <c r="V164" i="3"/>
  <c r="V169" i="3" s="1"/>
  <c r="W159" i="3" s="1"/>
  <c r="W157" i="3" s="1"/>
  <c r="V89" i="3"/>
  <c r="W148" i="1"/>
  <c r="N130" i="1"/>
  <c r="N67" i="1"/>
  <c r="O19" i="1"/>
  <c r="G167" i="1" s="1"/>
  <c r="U108" i="3"/>
  <c r="O53" i="1"/>
  <c r="O56" i="1" s="1"/>
  <c r="O75" i="1" s="1"/>
  <c r="V105" i="3"/>
  <c r="U130" i="3" l="1"/>
  <c r="O18" i="1"/>
  <c r="V127" i="3"/>
  <c r="W152" i="1"/>
  <c r="W167" i="3"/>
  <c r="N132" i="1"/>
  <c r="P132" i="1" s="1"/>
  <c r="P130" i="1"/>
  <c r="R185" i="1"/>
  <c r="O79" i="1"/>
  <c r="R189" i="1" s="1"/>
  <c r="P17" i="1"/>
  <c r="V96" i="3"/>
  <c r="U119" i="3"/>
  <c r="V116" i="3"/>
  <c r="W50" i="3"/>
  <c r="U131" i="3"/>
  <c r="W164" i="3" l="1"/>
  <c r="W169" i="3" s="1"/>
  <c r="X159" i="3" s="1"/>
  <c r="W89" i="3"/>
  <c r="H165" i="1"/>
  <c r="G166" i="1"/>
  <c r="O45" i="1"/>
  <c r="O48" i="1" s="1"/>
  <c r="O63" i="1" s="1"/>
  <c r="O20" i="1"/>
  <c r="V107" i="3"/>
  <c r="V118" i="3" s="1"/>
  <c r="W60" i="3"/>
  <c r="V129" i="3" l="1"/>
  <c r="V130" i="3"/>
  <c r="P18" i="1"/>
  <c r="W127" i="3"/>
  <c r="V131" i="3"/>
  <c r="W19" i="3"/>
  <c r="W57" i="3"/>
  <c r="W62" i="3" s="1"/>
  <c r="X52" i="3" s="1"/>
  <c r="V119" i="3"/>
  <c r="W116" i="3"/>
  <c r="O67" i="1"/>
  <c r="R159" i="1" s="1"/>
  <c r="R155" i="1"/>
  <c r="Q17" i="1"/>
  <c r="W96" i="3"/>
  <c r="V108" i="3"/>
  <c r="P19" i="1"/>
  <c r="H167" i="1" s="1"/>
  <c r="P53" i="1"/>
  <c r="P56" i="1" s="1"/>
  <c r="P75" i="1" s="1"/>
  <c r="W105" i="3"/>
  <c r="I165" i="1" l="1"/>
  <c r="X54" i="3"/>
  <c r="X161" i="3" s="1"/>
  <c r="X157" i="3" s="1"/>
  <c r="X50" i="3"/>
  <c r="X60" i="3"/>
  <c r="W88" i="3"/>
  <c r="W16" i="3"/>
  <c r="W21" i="3" s="1"/>
  <c r="X11" i="3" s="1"/>
  <c r="X9" i="3" s="1"/>
  <c r="H166" i="1"/>
  <c r="P45" i="1"/>
  <c r="P48" i="1" s="1"/>
  <c r="P63" i="1" s="1"/>
  <c r="P20" i="1"/>
  <c r="W107" i="3"/>
  <c r="S185" i="1"/>
  <c r="P79" i="1"/>
  <c r="S189" i="1" s="1"/>
  <c r="X167" i="3" l="1"/>
  <c r="X19" i="3"/>
  <c r="X57" i="3"/>
  <c r="X62" i="3" s="1"/>
  <c r="Y52" i="3" s="1"/>
  <c r="Q19" i="1"/>
  <c r="I167" i="1" s="1"/>
  <c r="W108" i="3"/>
  <c r="Q53" i="1"/>
  <c r="Q56" i="1" s="1"/>
  <c r="Q75" i="1" s="1"/>
  <c r="X105" i="3"/>
  <c r="W118" i="3"/>
  <c r="S155" i="1"/>
  <c r="P67" i="1"/>
  <c r="S159" i="1" s="1"/>
  <c r="Y54" i="3" l="1"/>
  <c r="Y161" i="3" s="1"/>
  <c r="Y50" i="3"/>
  <c r="X164" i="3"/>
  <c r="X169" i="3" s="1"/>
  <c r="Y159" i="3" s="1"/>
  <c r="Y157" i="3" s="1"/>
  <c r="X89" i="3"/>
  <c r="X16" i="3"/>
  <c r="X21" i="3" s="1"/>
  <c r="Y11" i="3" s="1"/>
  <c r="Y9" i="3" s="1"/>
  <c r="X88" i="3"/>
  <c r="W119" i="3"/>
  <c r="X116" i="3"/>
  <c r="T185" i="1"/>
  <c r="Q79" i="1"/>
  <c r="T189" i="1" s="1"/>
  <c r="W129" i="3"/>
  <c r="W130" i="3" l="1"/>
  <c r="Q18" i="1"/>
  <c r="X127" i="3"/>
  <c r="Y167" i="3"/>
  <c r="Y60" i="3"/>
  <c r="R17" i="1"/>
  <c r="X96" i="3"/>
  <c r="W131" i="3"/>
  <c r="Y19" i="3" l="1"/>
  <c r="Y57" i="3"/>
  <c r="Y62" i="3" s="1"/>
  <c r="Z52" i="3" s="1"/>
  <c r="J165" i="1"/>
  <c r="I166" i="1"/>
  <c r="Q45" i="1"/>
  <c r="Q48" i="1" s="1"/>
  <c r="Q63" i="1" s="1"/>
  <c r="Q20" i="1"/>
  <c r="X107" i="3"/>
  <c r="Y164" i="3"/>
  <c r="Y169" i="3" s="1"/>
  <c r="Z159" i="3" s="1"/>
  <c r="Y89" i="3"/>
  <c r="X118" i="3" l="1"/>
  <c r="S17" i="1"/>
  <c r="Y96" i="3"/>
  <c r="T155" i="1"/>
  <c r="Q67" i="1"/>
  <c r="T159" i="1" s="1"/>
  <c r="Y16" i="3"/>
  <c r="Y21" i="3" s="1"/>
  <c r="Z11" i="3" s="1"/>
  <c r="Z9" i="3" s="1"/>
  <c r="Y88" i="3"/>
  <c r="R19" i="1"/>
  <c r="J167" i="1" s="1"/>
  <c r="X108" i="3"/>
  <c r="R53" i="1"/>
  <c r="R56" i="1" s="1"/>
  <c r="R75" i="1" s="1"/>
  <c r="Y105" i="3"/>
  <c r="Z54" i="3"/>
  <c r="Z161" i="3" s="1"/>
  <c r="Z50" i="3"/>
  <c r="Z60" i="3" s="1"/>
  <c r="Z157" i="3"/>
  <c r="Z19" i="3" l="1"/>
  <c r="Z57" i="3"/>
  <c r="R79" i="1"/>
  <c r="U189" i="1" s="1"/>
  <c r="U185" i="1"/>
  <c r="K165" i="1"/>
  <c r="Y107" i="3"/>
  <c r="Z167" i="3"/>
  <c r="X119" i="3"/>
  <c r="Y116" i="3"/>
  <c r="Z62" i="3"/>
  <c r="AA52" i="3" s="1"/>
  <c r="X129" i="3"/>
  <c r="Z164" i="3" l="1"/>
  <c r="Z169" i="3" s="1"/>
  <c r="AA159" i="3" s="1"/>
  <c r="Z89" i="3"/>
  <c r="S53" i="1"/>
  <c r="S56" i="1" s="1"/>
  <c r="S75" i="1" s="1"/>
  <c r="Y108" i="3"/>
  <c r="S19" i="1"/>
  <c r="K167" i="1" s="1"/>
  <c r="Z105" i="3"/>
  <c r="Y118" i="3"/>
  <c r="X130" i="3"/>
  <c r="R18" i="1"/>
  <c r="Y127" i="3"/>
  <c r="X131" i="3"/>
  <c r="AA54" i="3"/>
  <c r="AA161" i="3" s="1"/>
  <c r="AA50" i="3"/>
  <c r="Z16" i="3"/>
  <c r="Z21" i="3" s="1"/>
  <c r="AA11" i="3" s="1"/>
  <c r="AA9" i="3" s="1"/>
  <c r="Z88" i="3"/>
  <c r="J166" i="1" l="1"/>
  <c r="R45" i="1"/>
  <c r="R48" i="1" s="1"/>
  <c r="R63" i="1" s="1"/>
  <c r="R20" i="1"/>
  <c r="V185" i="1"/>
  <c r="S79" i="1"/>
  <c r="V189" i="1" s="1"/>
  <c r="T17" i="1"/>
  <c r="Z96" i="3"/>
  <c r="AA157" i="3"/>
  <c r="Y119" i="3"/>
  <c r="Z116" i="3"/>
  <c r="AA60" i="3"/>
  <c r="Y129" i="3"/>
  <c r="F180" i="1" l="1"/>
  <c r="Y130" i="3"/>
  <c r="S18" i="1"/>
  <c r="Z127" i="3"/>
  <c r="U155" i="1"/>
  <c r="R67" i="1"/>
  <c r="U159" i="1" s="1"/>
  <c r="Z107" i="3"/>
  <c r="Z118" i="3" s="1"/>
  <c r="AA57" i="3"/>
  <c r="AA62" i="3" s="1"/>
  <c r="AB52" i="3" s="1"/>
  <c r="AA19" i="3"/>
  <c r="AA167" i="3"/>
  <c r="Y131" i="3"/>
  <c r="K166" i="1" l="1"/>
  <c r="S45" i="1"/>
  <c r="S48" i="1" s="1"/>
  <c r="S63" i="1" s="1"/>
  <c r="S20" i="1"/>
  <c r="AA164" i="3"/>
  <c r="AA169" i="3" s="1"/>
  <c r="AB159" i="3" s="1"/>
  <c r="AB157" i="3" s="1"/>
  <c r="AA89" i="3"/>
  <c r="Z119" i="3"/>
  <c r="AA116" i="3"/>
  <c r="AA16" i="3"/>
  <c r="AA21" i="3" s="1"/>
  <c r="AB11" i="3" s="1"/>
  <c r="AB9" i="3" s="1"/>
  <c r="AA88" i="3"/>
  <c r="T19" i="1"/>
  <c r="F182" i="1" s="1"/>
  <c r="Z108" i="3"/>
  <c r="T53" i="1"/>
  <c r="T56" i="1" s="1"/>
  <c r="T75" i="1" s="1"/>
  <c r="AA105" i="3"/>
  <c r="AB54" i="3"/>
  <c r="AB161" i="3" s="1"/>
  <c r="AB50" i="3"/>
  <c r="AB60" i="3" s="1"/>
  <c r="Z129" i="3"/>
  <c r="AB57" i="3" l="1"/>
  <c r="AB19" i="3"/>
  <c r="AB167" i="3"/>
  <c r="Z130" i="3"/>
  <c r="T18" i="1"/>
  <c r="AA127" i="3"/>
  <c r="V155" i="1"/>
  <c r="S67" i="1"/>
  <c r="V159" i="1" s="1"/>
  <c r="W185" i="1"/>
  <c r="T79" i="1"/>
  <c r="W189" i="1" s="1"/>
  <c r="AB62" i="3"/>
  <c r="AC52" i="3" s="1"/>
  <c r="U17" i="1"/>
  <c r="AA96" i="3"/>
  <c r="Z131" i="3"/>
  <c r="F181" i="1" l="1"/>
  <c r="T45" i="1"/>
  <c r="T48" i="1" s="1"/>
  <c r="T63" i="1" s="1"/>
  <c r="T20" i="1"/>
  <c r="AB164" i="3"/>
  <c r="AB169" i="3" s="1"/>
  <c r="AC159" i="3" s="1"/>
  <c r="AB89" i="3"/>
  <c r="AA107" i="3"/>
  <c r="AA118" i="3" s="1"/>
  <c r="G180" i="1"/>
  <c r="AB88" i="3"/>
  <c r="AB16" i="3"/>
  <c r="AB21" i="3" s="1"/>
  <c r="AC11" i="3" s="1"/>
  <c r="AC9" i="3" s="1"/>
  <c r="AC54" i="3"/>
  <c r="AC161" i="3" s="1"/>
  <c r="AC50" i="3"/>
  <c r="AA119" i="3" l="1"/>
  <c r="AB116" i="3"/>
  <c r="AA129" i="3"/>
  <c r="AA131" i="3"/>
  <c r="AC60" i="3"/>
  <c r="AC157" i="3"/>
  <c r="V17" i="1"/>
  <c r="AB96" i="3"/>
  <c r="T67" i="1"/>
  <c r="W159" i="1" s="1"/>
  <c r="W155" i="1"/>
  <c r="AA108" i="3"/>
  <c r="U19" i="1"/>
  <c r="G182" i="1" s="1"/>
  <c r="U53" i="1"/>
  <c r="U56" i="1" s="1"/>
  <c r="U75" i="1" s="1"/>
  <c r="AB105" i="3"/>
  <c r="AC167" i="3" l="1"/>
  <c r="H180" i="1"/>
  <c r="AB107" i="3"/>
  <c r="AB118" i="3" s="1"/>
  <c r="AA130" i="3"/>
  <c r="U18" i="1"/>
  <c r="AB127" i="3"/>
  <c r="AC19" i="3"/>
  <c r="AC57" i="3"/>
  <c r="AC62" i="3" s="1"/>
  <c r="AD52" i="3" s="1"/>
  <c r="R192" i="1"/>
  <c r="U79" i="1"/>
  <c r="R196" i="1" s="1"/>
  <c r="AB119" i="3" l="1"/>
  <c r="AC116" i="3"/>
  <c r="AB129" i="3"/>
  <c r="AB131" i="3"/>
  <c r="G181" i="1"/>
  <c r="U45" i="1"/>
  <c r="U48" i="1" s="1"/>
  <c r="U63" i="1" s="1"/>
  <c r="U20" i="1"/>
  <c r="V19" i="1"/>
  <c r="H182" i="1" s="1"/>
  <c r="AB108" i="3"/>
  <c r="V53" i="1"/>
  <c r="V56" i="1" s="1"/>
  <c r="V75" i="1" s="1"/>
  <c r="AC105" i="3"/>
  <c r="AC164" i="3"/>
  <c r="AC169" i="3" s="1"/>
  <c r="AD159" i="3" s="1"/>
  <c r="AD157" i="3" s="1"/>
  <c r="AC89" i="3"/>
  <c r="AC88" i="3"/>
  <c r="AC16" i="3"/>
  <c r="AC21" i="3" s="1"/>
  <c r="AD11" i="3" s="1"/>
  <c r="AD9" i="3" s="1"/>
  <c r="AD50" i="3"/>
  <c r="AD54" i="3"/>
  <c r="AD161" i="3" s="1"/>
  <c r="V79" i="1" l="1"/>
  <c r="S196" i="1" s="1"/>
  <c r="S192" i="1"/>
  <c r="AD167" i="3"/>
  <c r="W17" i="1"/>
  <c r="AC96" i="3"/>
  <c r="AB130" i="3"/>
  <c r="V18" i="1"/>
  <c r="AC127" i="3"/>
  <c r="R162" i="1"/>
  <c r="U67" i="1"/>
  <c r="R166" i="1" s="1"/>
  <c r="AD60" i="3"/>
  <c r="AD19" i="3" l="1"/>
  <c r="AD57" i="3"/>
  <c r="AD62" i="3" s="1"/>
  <c r="AE52" i="3" s="1"/>
  <c r="AD164" i="3"/>
  <c r="AD169" i="3" s="1"/>
  <c r="AE159" i="3" s="1"/>
  <c r="AD89" i="3"/>
  <c r="I180" i="1"/>
  <c r="AC107" i="3"/>
  <c r="AC118" i="3" s="1"/>
  <c r="H181" i="1"/>
  <c r="V45" i="1"/>
  <c r="V48" i="1" s="1"/>
  <c r="V63" i="1" s="1"/>
  <c r="V20" i="1"/>
  <c r="S162" i="1" l="1"/>
  <c r="V67" i="1"/>
  <c r="S166" i="1" s="1"/>
  <c r="AC119" i="3"/>
  <c r="AD116" i="3"/>
  <c r="H159" i="3"/>
  <c r="AE54" i="3"/>
  <c r="H52" i="3"/>
  <c r="X17" i="1"/>
  <c r="AD96" i="3"/>
  <c r="W19" i="1"/>
  <c r="I182" i="1" s="1"/>
  <c r="AC108" i="3"/>
  <c r="W53" i="1"/>
  <c r="W56" i="1" s="1"/>
  <c r="W75" i="1" s="1"/>
  <c r="AD105" i="3"/>
  <c r="AC129" i="3"/>
  <c r="AD16" i="3"/>
  <c r="AD21" i="3" s="1"/>
  <c r="AE11" i="3" s="1"/>
  <c r="AD88" i="3"/>
  <c r="J180" i="1" l="1"/>
  <c r="AC130" i="3"/>
  <c r="W18" i="1"/>
  <c r="AD127" i="3"/>
  <c r="AE161" i="3"/>
  <c r="H54" i="3"/>
  <c r="AE9" i="3"/>
  <c r="H11" i="3"/>
  <c r="W79" i="1"/>
  <c r="T196" i="1" s="1"/>
  <c r="T192" i="1"/>
  <c r="AE50" i="3"/>
  <c r="AD107" i="3"/>
  <c r="AD118" i="3" s="1"/>
  <c r="AC131" i="3"/>
  <c r="AD119" i="3" l="1"/>
  <c r="AE116" i="3"/>
  <c r="H116" i="3" s="1"/>
  <c r="H9" i="3"/>
  <c r="AD129" i="3"/>
  <c r="H161" i="3"/>
  <c r="AE157" i="3"/>
  <c r="X19" i="1"/>
  <c r="J182" i="1" s="1"/>
  <c r="AD108" i="3"/>
  <c r="X53" i="1"/>
  <c r="X56" i="1" s="1"/>
  <c r="X75" i="1" s="1"/>
  <c r="X79" i="1" s="1"/>
  <c r="AE105" i="3"/>
  <c r="H105" i="3" s="1"/>
  <c r="I181" i="1"/>
  <c r="W45" i="1"/>
  <c r="W48" i="1" s="1"/>
  <c r="W63" i="1" s="1"/>
  <c r="W20" i="1"/>
  <c r="H50" i="3"/>
  <c r="AE60" i="3"/>
  <c r="AD130" i="3" l="1"/>
  <c r="X18" i="1"/>
  <c r="AE127" i="3"/>
  <c r="H127" i="3" s="1"/>
  <c r="AE19" i="3"/>
  <c r="AE57" i="3"/>
  <c r="H60" i="3"/>
  <c r="AD131" i="3"/>
  <c r="AE167" i="3"/>
  <c r="H157" i="3"/>
  <c r="T162" i="1"/>
  <c r="W67" i="1"/>
  <c r="T166" i="1" s="1"/>
  <c r="U192" i="1"/>
  <c r="D80" i="1" l="1"/>
  <c r="D82" i="1" s="1"/>
  <c r="AE164" i="3"/>
  <c r="AE89" i="3"/>
  <c r="H167" i="3"/>
  <c r="H57" i="3"/>
  <c r="AE62" i="3"/>
  <c r="H62" i="3" s="1"/>
  <c r="U196" i="1"/>
  <c r="Q199" i="1" s="1"/>
  <c r="J181" i="1"/>
  <c r="X45" i="1"/>
  <c r="X48" i="1" s="1"/>
  <c r="X63" i="1" s="1"/>
  <c r="X20" i="1"/>
  <c r="AE16" i="3"/>
  <c r="AE88" i="3"/>
  <c r="H88" i="3" s="1"/>
  <c r="H19" i="3"/>
  <c r="H16" i="3" l="1"/>
  <c r="AE21" i="3"/>
  <c r="H21" i="3" s="1"/>
  <c r="P199" i="1"/>
  <c r="D90" i="1"/>
  <c r="I89" i="1" s="1"/>
  <c r="AE96" i="3"/>
  <c r="H89" i="3"/>
  <c r="G89" i="3" s="1"/>
  <c r="X67" i="1"/>
  <c r="D68" i="1" s="1"/>
  <c r="U162" i="1"/>
  <c r="J183" i="1"/>
  <c r="H164" i="3"/>
  <c r="AE169" i="3"/>
  <c r="H169" i="3" s="1"/>
  <c r="AF69" i="1" l="1"/>
  <c r="P201" i="1"/>
  <c r="P209" i="1" s="1"/>
  <c r="P216" i="1" s="1"/>
  <c r="D89" i="1"/>
  <c r="H1" i="2" s="1"/>
  <c r="AE107" i="3"/>
  <c r="H96" i="3"/>
  <c r="Y68" i="1"/>
  <c r="U166" i="1"/>
  <c r="Q169" i="1" s="1"/>
  <c r="AE108" i="3" l="1"/>
  <c r="H107" i="3"/>
  <c r="AH71" i="1"/>
  <c r="J89" i="1"/>
  <c r="E105" i="1"/>
  <c r="H105" i="1" s="1"/>
  <c r="AE118" i="3"/>
  <c r="P169" i="1"/>
  <c r="D70" i="1"/>
  <c r="D88" i="1" s="1"/>
  <c r="G1" i="2" s="1"/>
  <c r="G96" i="3"/>
  <c r="AF62" i="1" l="1"/>
  <c r="P171" i="1"/>
  <c r="P206" i="1" s="1"/>
  <c r="P215" i="1" s="1"/>
  <c r="AE119" i="3"/>
  <c r="H118" i="3"/>
  <c r="AE129" i="3"/>
  <c r="AE131" i="3" s="1"/>
  <c r="E121" i="1"/>
  <c r="K29" i="15" s="1"/>
  <c r="G139" i="3"/>
  <c r="AD139" i="3" s="1"/>
  <c r="H108" i="3"/>
  <c r="H131" i="3" l="1"/>
  <c r="S139" i="3"/>
  <c r="AB139" i="3"/>
  <c r="N139" i="3"/>
  <c r="M139" i="3"/>
  <c r="J139" i="3"/>
  <c r="Z139" i="3"/>
  <c r="Z141" i="3" s="1"/>
  <c r="Z146" i="3" s="1"/>
  <c r="T139" i="3"/>
  <c r="T141" i="3" s="1"/>
  <c r="T146" i="3" s="1"/>
  <c r="AC139" i="3"/>
  <c r="AC141" i="3" s="1"/>
  <c r="AC146" i="3" s="1"/>
  <c r="P139" i="3"/>
  <c r="P141" i="3" s="1"/>
  <c r="P146" i="3" s="1"/>
  <c r="Y139" i="3"/>
  <c r="Y141" i="3" s="1"/>
  <c r="Y146" i="3" s="1"/>
  <c r="R139" i="3"/>
  <c r="R141" i="3" s="1"/>
  <c r="R146" i="3" s="1"/>
  <c r="Q139" i="3"/>
  <c r="Q141" i="3" s="1"/>
  <c r="Q146" i="3" s="1"/>
  <c r="K139" i="3"/>
  <c r="K141" i="3" s="1"/>
  <c r="K146" i="3" s="1"/>
  <c r="U139" i="3"/>
  <c r="X139" i="3"/>
  <c r="W139" i="3"/>
  <c r="AA139" i="3"/>
  <c r="V139" i="3"/>
  <c r="O139" i="3"/>
  <c r="AE139" i="3"/>
  <c r="L139" i="3"/>
  <c r="H119" i="3"/>
  <c r="G141" i="3"/>
  <c r="H1" i="5"/>
  <c r="F88" i="1"/>
  <c r="F105" i="1" s="1"/>
  <c r="AH64" i="1"/>
  <c r="D105" i="1"/>
  <c r="G105" i="1" s="1"/>
  <c r="J88" i="1"/>
  <c r="J90" i="1" s="1"/>
  <c r="J91" i="1" s="1"/>
  <c r="I88" i="1"/>
  <c r="I90" i="1" s="1"/>
  <c r="AE130" i="3"/>
  <c r="AE153" i="3" s="1"/>
  <c r="H153" i="3" s="1"/>
  <c r="G153" i="3" s="1"/>
  <c r="H129" i="3"/>
  <c r="H130" i="3" s="1"/>
  <c r="G131" i="3" l="1"/>
  <c r="D101" i="1"/>
  <c r="E120" i="1"/>
  <c r="K24" i="15" s="1"/>
  <c r="J141" i="3"/>
  <c r="H139" i="3"/>
  <c r="M141" i="3"/>
  <c r="M146" i="3" s="1"/>
  <c r="O141" i="3"/>
  <c r="O146" i="3" s="1"/>
  <c r="N141" i="3"/>
  <c r="N146" i="3" s="1"/>
  <c r="V141" i="3"/>
  <c r="V146" i="3" s="1"/>
  <c r="AB141" i="3"/>
  <c r="AB146" i="3" s="1"/>
  <c r="AA141" i="3"/>
  <c r="AA146" i="3" s="1"/>
  <c r="S141" i="3"/>
  <c r="S146" i="3" s="1"/>
  <c r="W141" i="3"/>
  <c r="W146" i="3" s="1"/>
  <c r="AD141" i="3"/>
  <c r="AD146" i="3" s="1"/>
  <c r="AE141" i="3"/>
  <c r="AE146" i="3" s="1"/>
  <c r="X141" i="3"/>
  <c r="X146" i="3" s="1"/>
  <c r="F91" i="1"/>
  <c r="AC76" i="1"/>
  <c r="L141" i="3"/>
  <c r="L146" i="3" s="1"/>
  <c r="I97" i="1"/>
  <c r="I91" i="1"/>
  <c r="U141" i="3"/>
  <c r="U146" i="3" s="1"/>
  <c r="H141" i="3" l="1"/>
  <c r="J146" i="3"/>
  <c r="H146" i="3" l="1"/>
  <c r="F148" i="3" s="1"/>
  <c r="F150" i="3" l="1"/>
  <c r="F149" i="3"/>
  <c r="O149" i="3" l="1"/>
  <c r="R149" i="3"/>
  <c r="V149" i="3"/>
  <c r="AC149" i="3"/>
  <c r="X149" i="3"/>
  <c r="P149" i="3"/>
  <c r="U149" i="3"/>
  <c r="Q149" i="3"/>
  <c r="W149" i="3"/>
  <c r="Y149" i="3"/>
  <c r="K149" i="3"/>
  <c r="L149" i="3"/>
  <c r="AA149" i="3"/>
  <c r="AD149" i="3"/>
  <c r="N149" i="3"/>
  <c r="Z149" i="3"/>
  <c r="AB149" i="3"/>
  <c r="J149" i="3"/>
  <c r="S149" i="3"/>
  <c r="AE149" i="3"/>
  <c r="M149" i="3"/>
  <c r="T149" i="3"/>
  <c r="AC150" i="3"/>
  <c r="AC148" i="3" s="1"/>
  <c r="K150" i="3"/>
  <c r="P150" i="3"/>
  <c r="P148" i="3" s="1"/>
  <c r="S150" i="3"/>
  <c r="S148" i="3" s="1"/>
  <c r="V150" i="3"/>
  <c r="V148" i="3" s="1"/>
  <c r="M150" i="3"/>
  <c r="M148" i="3" s="1"/>
  <c r="U150" i="3"/>
  <c r="U148" i="3" s="1"/>
  <c r="T150" i="3"/>
  <c r="T148" i="3" s="1"/>
  <c r="AA150" i="3"/>
  <c r="J150" i="3"/>
  <c r="R150" i="3"/>
  <c r="R148" i="3" s="1"/>
  <c r="AD150" i="3"/>
  <c r="W150" i="3"/>
  <c r="O150" i="3"/>
  <c r="O148" i="3" s="1"/>
  <c r="AE150" i="3"/>
  <c r="AE148" i="3" s="1"/>
  <c r="Q150" i="3"/>
  <c r="X150" i="3"/>
  <c r="X148" i="3" s="1"/>
  <c r="Y150" i="3"/>
  <c r="N150" i="3"/>
  <c r="Z150" i="3"/>
  <c r="AB150" i="3"/>
  <c r="AB148" i="3" s="1"/>
  <c r="L150" i="3"/>
  <c r="L148" i="3" l="1"/>
  <c r="H150" i="3"/>
  <c r="J148" i="3"/>
  <c r="AA148" i="3"/>
  <c r="Z148" i="3"/>
  <c r="Y148" i="3"/>
  <c r="N148" i="3"/>
  <c r="W148" i="3"/>
  <c r="K148" i="3"/>
  <c r="AD148" i="3"/>
  <c r="H149" i="3"/>
  <c r="Q148" i="3"/>
  <c r="H148" i="3" l="1"/>
  <c r="G151" i="3" s="1"/>
  <c r="V224" i="13"/>
  <c r="CT224" i="13"/>
  <c r="ED208" i="13"/>
  <c r="ED204" i="13"/>
  <c r="S208" i="13"/>
  <c r="S204" i="13"/>
  <c r="CT208" i="13"/>
  <c r="CT204" i="13"/>
  <c r="Q208" i="13"/>
  <c r="Q204" i="13"/>
  <c r="AV208" i="13"/>
  <c r="AV204" i="13"/>
  <c r="BK204" i="13"/>
  <c r="BK208" i="13"/>
  <c r="N208" i="13"/>
  <c r="N204" i="13"/>
  <c r="DU208" i="13"/>
  <c r="DU204" i="13"/>
  <c r="AC204" i="13"/>
  <c r="AC208" i="13"/>
  <c r="BX208" i="13"/>
  <c r="BX204" i="13"/>
  <c r="H216" i="13"/>
  <c r="CG224" i="13"/>
  <c r="AJ224" i="13"/>
  <c r="BO224" i="13"/>
  <c r="DI224" i="13"/>
  <c r="P224" i="13"/>
  <c r="AE224" i="13"/>
  <c r="BJ224" i="13"/>
  <c r="DE224" i="13"/>
  <c r="EJ224" i="13"/>
  <c r="L224" i="13"/>
  <c r="AQ224" i="13"/>
  <c r="BV224" i="13"/>
  <c r="CK224" i="13"/>
  <c r="CD204" i="13"/>
  <c r="CD208" i="13"/>
  <c r="EE224" i="13"/>
  <c r="CS208" i="13"/>
  <c r="CS204" i="13"/>
  <c r="AF204" i="13"/>
  <c r="AF208" i="13"/>
  <c r="CP208" i="13"/>
  <c r="CP204" i="13"/>
  <c r="DE204" i="13"/>
  <c r="DE208" i="13"/>
  <c r="BH204" i="13"/>
  <c r="BH208" i="13"/>
  <c r="DC208" i="13"/>
  <c r="DC204" i="13"/>
  <c r="CD224" i="13"/>
  <c r="EH208" i="13"/>
  <c r="EH204" i="13"/>
  <c r="EB208" i="13"/>
  <c r="EB204" i="13"/>
  <c r="CC204" i="13"/>
  <c r="CC208" i="13"/>
  <c r="DH204" i="13"/>
  <c r="DH208" i="13"/>
  <c r="BZ204" i="13"/>
  <c r="BZ208" i="13"/>
  <c r="CM204" i="13"/>
  <c r="CM208" i="13"/>
  <c r="BQ224" i="13"/>
  <c r="T224" i="13"/>
  <c r="AY224" i="13"/>
  <c r="EL208" i="13"/>
  <c r="EL204" i="13"/>
  <c r="CS224" i="13"/>
  <c r="DX224" i="13"/>
  <c r="O224" i="13"/>
  <c r="AT224" i="13"/>
  <c r="CO224" i="13"/>
  <c r="DT224" i="13"/>
  <c r="AA224" i="13"/>
  <c r="BF224" i="13"/>
  <c r="BU224" i="13"/>
  <c r="BN204" i="13"/>
  <c r="BN208" i="13"/>
  <c r="J221" i="13"/>
  <c r="AU204" i="13"/>
  <c r="AU208" i="13"/>
  <c r="CY224" i="13"/>
  <c r="M204" i="13"/>
  <c r="M208" i="13"/>
  <c r="BN224" i="13"/>
  <c r="DK208" i="13"/>
  <c r="DK204" i="13"/>
  <c r="P204" i="13"/>
  <c r="P208" i="13"/>
  <c r="DW204" i="13"/>
  <c r="DW208" i="13"/>
  <c r="CO204" i="13"/>
  <c r="CO208" i="13"/>
  <c r="AR204" i="13"/>
  <c r="AR208" i="13"/>
  <c r="BA224" i="13"/>
  <c r="EB224" i="13"/>
  <c r="AI224" i="13"/>
  <c r="CC224" i="13"/>
  <c r="DH224" i="13"/>
  <c r="DW224" i="13"/>
  <c r="AD224" i="13"/>
  <c r="BY224" i="13"/>
  <c r="DD224" i="13"/>
  <c r="EI224" i="13"/>
  <c r="K224" i="13"/>
  <c r="AP224" i="13"/>
  <c r="BE224" i="13"/>
  <c r="AX204" i="13"/>
  <c r="AX208" i="13"/>
  <c r="BM204" i="13"/>
  <c r="BM208" i="13"/>
  <c r="DP224" i="13"/>
  <c r="CR204" i="13"/>
  <c r="CR208" i="13"/>
  <c r="BJ204" i="13"/>
  <c r="BJ208" i="13"/>
  <c r="DT204" i="13"/>
  <c r="DT208" i="13"/>
  <c r="BW204" i="13"/>
  <c r="BW208" i="13"/>
  <c r="AX224" i="13"/>
  <c r="EG208" i="13"/>
  <c r="EG204" i="13"/>
  <c r="CU208" i="13"/>
  <c r="CU204" i="13"/>
  <c r="EA208" i="13"/>
  <c r="EA204" i="13"/>
  <c r="AE204" i="13"/>
  <c r="AE208" i="13"/>
  <c r="AK224" i="13"/>
  <c r="DL224" i="13"/>
  <c r="S224" i="13"/>
  <c r="BM224" i="13"/>
  <c r="CR224" i="13"/>
  <c r="DG224" i="13"/>
  <c r="EL224" i="13"/>
  <c r="N224" i="13"/>
  <c r="BI224" i="13"/>
  <c r="CN224" i="13"/>
  <c r="DS224" i="13"/>
  <c r="Z224" i="13"/>
  <c r="AO224" i="13"/>
  <c r="AH204" i="13"/>
  <c r="AH208" i="13"/>
  <c r="DG204" i="13"/>
  <c r="DG208" i="13"/>
  <c r="BY204" i="13"/>
  <c r="BY208" i="13"/>
  <c r="AB204" i="13"/>
  <c r="AB208" i="13"/>
  <c r="AH224" i="13"/>
  <c r="EK208" i="13"/>
  <c r="EK204" i="13"/>
  <c r="CE208" i="13"/>
  <c r="CE204" i="13"/>
  <c r="AW204" i="13"/>
  <c r="AW208" i="13"/>
  <c r="CB204" i="13"/>
  <c r="CB208" i="13"/>
  <c r="AT204" i="13"/>
  <c r="AT208" i="13"/>
  <c r="CJ224" i="13"/>
  <c r="DD204" i="13"/>
  <c r="DD208" i="13"/>
  <c r="ED224" i="13"/>
  <c r="U224" i="13"/>
  <c r="CV224" i="13"/>
  <c r="EA224" i="13"/>
  <c r="AW224" i="13"/>
  <c r="CB224" i="13"/>
  <c r="CQ224" i="13"/>
  <c r="DV224" i="13"/>
  <c r="H217" i="13"/>
  <c r="AS224" i="13"/>
  <c r="BX224" i="13"/>
  <c r="DC224" i="13"/>
  <c r="EH224" i="13"/>
  <c r="Y224" i="13"/>
  <c r="R204" i="13"/>
  <c r="R208" i="13"/>
  <c r="DY204" i="13"/>
  <c r="DY208" i="13"/>
  <c r="DO224" i="13"/>
  <c r="O204" i="13"/>
  <c r="O208" i="13"/>
  <c r="DV204" i="13"/>
  <c r="DV208" i="13"/>
  <c r="DN224" i="13"/>
  <c r="H219" i="13"/>
  <c r="R224" i="13"/>
  <c r="EJ208" i="13"/>
  <c r="EJ204" i="13"/>
  <c r="EF208" i="13"/>
  <c r="EF204" i="13"/>
  <c r="BO208" i="13"/>
  <c r="BO204" i="13"/>
  <c r="CQ204" i="13"/>
  <c r="CQ208" i="13"/>
  <c r="BI204" i="13"/>
  <c r="BI208" i="13"/>
  <c r="L204" i="13"/>
  <c r="L208" i="13"/>
  <c r="BG208" i="13"/>
  <c r="BG204" i="13"/>
  <c r="CX224" i="13"/>
  <c r="EC224" i="13"/>
  <c r="CF224" i="13"/>
  <c r="DK224" i="13"/>
  <c r="AG224" i="13"/>
  <c r="BL224" i="13"/>
  <c r="CA224" i="13"/>
  <c r="DF224" i="13"/>
  <c r="AC224" i="13"/>
  <c r="BH224" i="13"/>
  <c r="CM224" i="13"/>
  <c r="DR224" i="13"/>
  <c r="EG224" i="13"/>
  <c r="DZ204" i="13"/>
  <c r="DZ208" i="13"/>
  <c r="AG204" i="13"/>
  <c r="AG208" i="13"/>
  <c r="BL204" i="13"/>
  <c r="BL208" i="13"/>
  <c r="AD204" i="13"/>
  <c r="AD208" i="13"/>
  <c r="CN204" i="13"/>
  <c r="CN208" i="13"/>
  <c r="CH224" i="13"/>
  <c r="DZ224" i="13"/>
  <c r="EI208" i="13"/>
  <c r="EI204" i="13"/>
  <c r="J224" i="13"/>
  <c r="AY208" i="13"/>
  <c r="AY204" i="13"/>
  <c r="DI204" i="13"/>
  <c r="DI208" i="13"/>
  <c r="DF204" i="13"/>
  <c r="DF208" i="13"/>
  <c r="DS204" i="13"/>
  <c r="DS208" i="13"/>
  <c r="BR224" i="13"/>
  <c r="DM224" i="13"/>
  <c r="BP224" i="13"/>
  <c r="DX208" i="13"/>
  <c r="DX204" i="13"/>
  <c r="CU224" i="13"/>
  <c r="Q224" i="13"/>
  <c r="AV224" i="13"/>
  <c r="BK224" i="13"/>
  <c r="CP224" i="13"/>
  <c r="EK224" i="13"/>
  <c r="M224" i="13"/>
  <c r="AR224" i="13"/>
  <c r="BW224" i="13"/>
  <c r="DB224" i="13"/>
  <c r="DQ224" i="13"/>
  <c r="DJ204" i="13"/>
  <c r="DJ208" i="13"/>
  <c r="CA204" i="13"/>
  <c r="CA208" i="13"/>
  <c r="AS204" i="13"/>
  <c r="AS208" i="13"/>
  <c r="AQ208" i="13"/>
  <c r="AQ204" i="13"/>
  <c r="BB224" i="13"/>
  <c r="DJ224" i="13"/>
  <c r="EE208" i="13"/>
  <c r="EE204" i="13"/>
  <c r="AI208" i="13"/>
  <c r="AI204" i="13"/>
  <c r="CZ224" i="13"/>
  <c r="AL224" i="13"/>
  <c r="DB204" i="13"/>
  <c r="DB208" i="13"/>
  <c r="DQ204" i="13"/>
  <c r="DQ208" i="13"/>
  <c r="BC224" i="13"/>
  <c r="CY208" i="13"/>
  <c r="CY204" i="13"/>
  <c r="DN208" i="13"/>
  <c r="DN204" i="13"/>
  <c r="V204" i="13"/>
  <c r="V208" i="13"/>
  <c r="BA208" i="13"/>
  <c r="BA204" i="13"/>
  <c r="AU224" i="13"/>
  <c r="Z208" i="13"/>
  <c r="Z204" i="13"/>
  <c r="AO208" i="13"/>
  <c r="AO204" i="13"/>
  <c r="CJ208" i="13"/>
  <c r="CJ204" i="13"/>
  <c r="CI204" i="13"/>
  <c r="CI208" i="13"/>
  <c r="CX204" i="13"/>
  <c r="CX208" i="13"/>
  <c r="EC208" i="13"/>
  <c r="EC204" i="13"/>
  <c r="AK204" i="13"/>
  <c r="AK208" i="13"/>
  <c r="CF208" i="13"/>
  <c r="CF204" i="13"/>
  <c r="BT224" i="13"/>
  <c r="H196" i="13"/>
  <c r="J208" i="13"/>
  <c r="H208" i="13" s="1"/>
  <c r="Y204" i="13"/>
  <c r="Y208" i="13"/>
  <c r="BT204" i="13"/>
  <c r="BT208" i="13"/>
  <c r="AN224" i="13"/>
  <c r="DM204" i="13"/>
  <c r="DM208" i="13"/>
  <c r="BP204" i="13"/>
  <c r="BP208" i="13"/>
  <c r="BZ224" i="13"/>
  <c r="CI224" i="13"/>
  <c r="CL204" i="13"/>
  <c r="CL208" i="13"/>
  <c r="DA204" i="13"/>
  <c r="DA208" i="13"/>
  <c r="W224" i="13"/>
  <c r="CW224" i="13"/>
  <c r="BS204" i="13"/>
  <c r="BS208" i="13"/>
  <c r="CH204" i="13"/>
  <c r="CH208" i="13"/>
  <c r="U204" i="13"/>
  <c r="U208" i="13"/>
  <c r="DU224" i="13"/>
  <c r="BS224" i="13"/>
  <c r="BD204" i="13"/>
  <c r="BD208" i="13"/>
  <c r="AM224" i="13"/>
  <c r="CW204" i="13"/>
  <c r="CW208" i="13"/>
  <c r="AZ204" i="13"/>
  <c r="AZ208" i="13"/>
  <c r="H175" i="13"/>
  <c r="AZ224" i="13"/>
  <c r="BV204" i="13"/>
  <c r="BV208" i="13"/>
  <c r="CK204" i="13"/>
  <c r="CK208" i="13"/>
  <c r="J204" i="13"/>
  <c r="BC204" i="13"/>
  <c r="BC208" i="13"/>
  <c r="BR204" i="13"/>
  <c r="BR208" i="13"/>
  <c r="H197" i="13"/>
  <c r="H174" i="13"/>
  <c r="CE224" i="13"/>
  <c r="AB224" i="13"/>
  <c r="AN204" i="13"/>
  <c r="AN208" i="13"/>
  <c r="CG204" i="13"/>
  <c r="CG208" i="13"/>
  <c r="AJ204" i="13"/>
  <c r="AJ208" i="13"/>
  <c r="BF204" i="13"/>
  <c r="BF208" i="13"/>
  <c r="BU204" i="13"/>
  <c r="BU208" i="13"/>
  <c r="BD224" i="13"/>
  <c r="DP204" i="13"/>
  <c r="DP208" i="13"/>
  <c r="X224" i="13"/>
  <c r="DL204" i="13"/>
  <c r="DL208" i="13"/>
  <c r="H194" i="13"/>
  <c r="J201" i="13"/>
  <c r="H195" i="13"/>
  <c r="BG224" i="13"/>
  <c r="AA204" i="13"/>
  <c r="AA208" i="13"/>
  <c r="AM204" i="13"/>
  <c r="AM208" i="13"/>
  <c r="BB204" i="13"/>
  <c r="BB208" i="13"/>
  <c r="X204" i="13"/>
  <c r="X208" i="13"/>
  <c r="DO204" i="13"/>
  <c r="DO208" i="13"/>
  <c r="BQ204" i="13"/>
  <c r="BQ208" i="13"/>
  <c r="T204" i="13"/>
  <c r="T208" i="13"/>
  <c r="DY224" i="13"/>
  <c r="CL224" i="13"/>
  <c r="AP204" i="13"/>
  <c r="AP208" i="13"/>
  <c r="BE204" i="13"/>
  <c r="BE208" i="13"/>
  <c r="CZ204" i="13"/>
  <c r="CZ208" i="13"/>
  <c r="CV204" i="13"/>
  <c r="CV208" i="13"/>
  <c r="K204" i="13"/>
  <c r="K208" i="13"/>
  <c r="DR204" i="13"/>
  <c r="DR208" i="13"/>
  <c r="W204" i="13"/>
  <c r="W208" i="13"/>
  <c r="AL204" i="13"/>
  <c r="AL208" i="13"/>
  <c r="DA224" i="13"/>
  <c r="BB186" i="13"/>
  <c r="BB163" i="13" s="1"/>
  <c r="BA150" i="13"/>
  <c r="AN182" i="13"/>
  <c r="AN159" i="13" s="1"/>
  <c r="AF224" i="13"/>
  <c r="CP186" i="13"/>
  <c r="CP163" i="13" s="1"/>
  <c r="DD182" i="13"/>
  <c r="DD159" i="13"/>
  <c r="BU186" i="13"/>
  <c r="BU163" i="13"/>
  <c r="AN186" i="13"/>
  <c r="AN163" i="13"/>
  <c r="BB182" i="13"/>
  <c r="BB159" i="13" s="1"/>
  <c r="ED186" i="13"/>
  <c r="ED163" i="13"/>
  <c r="U186" i="13"/>
  <c r="U163" i="13" s="1"/>
  <c r="S182" i="13"/>
  <c r="S159" i="13" s="1"/>
  <c r="DH182" i="13"/>
  <c r="DH159" i="13" s="1"/>
  <c r="CG182" i="13"/>
  <c r="CG159" i="13"/>
  <c r="CQ186" i="13"/>
  <c r="CQ163" i="13"/>
  <c r="L186" i="13"/>
  <c r="L163" i="13" s="1"/>
  <c r="DE186" i="13"/>
  <c r="DE163" i="13" s="1"/>
  <c r="CB186" i="13"/>
  <c r="CB163" i="13" s="1"/>
  <c r="BA182" i="13"/>
  <c r="BA159" i="13"/>
  <c r="AP182" i="13"/>
  <c r="AP159" i="13" s="1"/>
  <c r="CK182" i="13"/>
  <c r="CK159" i="13" s="1"/>
  <c r="EI182" i="13"/>
  <c r="EI159" i="13"/>
  <c r="DZ182" i="13"/>
  <c r="DZ159" i="13"/>
  <c r="EF224" i="13"/>
  <c r="CI182" i="13"/>
  <c r="CI159" i="13"/>
  <c r="AZ182" i="13"/>
  <c r="AZ159" i="13"/>
  <c r="DI186" i="13"/>
  <c r="DI163" i="13" s="1"/>
  <c r="DG182" i="13"/>
  <c r="DG159" i="13"/>
  <c r="AQ186" i="13"/>
  <c r="AQ163" i="13"/>
  <c r="AD182" i="13"/>
  <c r="AD159" i="13"/>
  <c r="EI186" i="13"/>
  <c r="EI163" i="13"/>
  <c r="DD186" i="13"/>
  <c r="DD163" i="13"/>
  <c r="BT182" i="13"/>
  <c r="BT159" i="13"/>
  <c r="AQ182" i="13"/>
  <c r="AQ159" i="13"/>
  <c r="M182" i="13"/>
  <c r="M159" i="13"/>
  <c r="DO150" i="13"/>
  <c r="DL186" i="13"/>
  <c r="DL163" i="13"/>
  <c r="AC150" i="13"/>
  <c r="CU186" i="13"/>
  <c r="CU163" i="13"/>
  <c r="EL182" i="13"/>
  <c r="EL159" i="13"/>
  <c r="AZ186" i="13"/>
  <c r="AZ163" i="13"/>
  <c r="DZ186" i="13"/>
  <c r="DZ163" i="13"/>
  <c r="BD179" i="13"/>
  <c r="BZ186" i="13"/>
  <c r="BZ163" i="13" s="1"/>
  <c r="CN182" i="13"/>
  <c r="CN159" i="13"/>
  <c r="BE186" i="13"/>
  <c r="BE163" i="13"/>
  <c r="X186" i="13"/>
  <c r="X163" i="13"/>
  <c r="AL182" i="13"/>
  <c r="AL159" i="13" s="1"/>
  <c r="AL186" i="13"/>
  <c r="AL163" i="13"/>
  <c r="EC186" i="13"/>
  <c r="EC163" i="13"/>
  <c r="EA182" i="13"/>
  <c r="EA159" i="13"/>
  <c r="DT186" i="13"/>
  <c r="DT163" i="13"/>
  <c r="CL179" i="13"/>
  <c r="BS186" i="13"/>
  <c r="BS163" i="13"/>
  <c r="BG182" i="13"/>
  <c r="BG159" i="13"/>
  <c r="BP182" i="13"/>
  <c r="BP159" i="13" s="1"/>
  <c r="DX182" i="13"/>
  <c r="DX159" i="13"/>
  <c r="DV182" i="13"/>
  <c r="DV159" i="13" s="1"/>
  <c r="DG186" i="13"/>
  <c r="DG163" i="13"/>
  <c r="CS182" i="13"/>
  <c r="CS159" i="13"/>
  <c r="BV179" i="13"/>
  <c r="Z186" i="13"/>
  <c r="Z163" i="13"/>
  <c r="DU150" i="13"/>
  <c r="CQ150" i="13"/>
  <c r="DB186" i="13"/>
  <c r="DB163" i="13"/>
  <c r="BZ182" i="13"/>
  <c r="BZ159" i="13"/>
  <c r="Q179" i="13"/>
  <c r="BW179" i="13"/>
  <c r="BW183" i="13" s="1"/>
  <c r="CO179" i="13"/>
  <c r="CO183" i="13" s="1"/>
  <c r="AI179" i="13"/>
  <c r="BS182" i="13"/>
  <c r="BS159" i="13"/>
  <c r="CT179" i="13"/>
  <c r="EF182" i="13"/>
  <c r="EF159" i="13" s="1"/>
  <c r="DN186" i="13"/>
  <c r="DN163" i="13"/>
  <c r="AJ182" i="13"/>
  <c r="AJ159" i="13"/>
  <c r="CS186" i="13"/>
  <c r="CS163" i="13"/>
  <c r="CQ182" i="13"/>
  <c r="CQ159" i="13"/>
  <c r="CJ182" i="13"/>
  <c r="CJ159" i="13" s="1"/>
  <c r="BP186" i="13"/>
  <c r="BP163" i="13"/>
  <c r="P186" i="13"/>
  <c r="P163" i="13"/>
  <c r="EJ186" i="13"/>
  <c r="EJ163" i="13" s="1"/>
  <c r="CE186" i="13"/>
  <c r="CE163" i="13"/>
  <c r="CD186" i="13"/>
  <c r="CD163" i="13"/>
  <c r="BC186" i="13"/>
  <c r="BC163" i="13"/>
  <c r="BY150" i="13"/>
  <c r="BS150" i="13"/>
  <c r="CY182" i="13"/>
  <c r="CY159" i="13" s="1"/>
  <c r="AC182" i="13"/>
  <c r="AC159" i="13" s="1"/>
  <c r="CB182" i="13"/>
  <c r="CB159" i="13"/>
  <c r="BF179" i="13"/>
  <c r="BV182" i="13"/>
  <c r="BV159" i="13" s="1"/>
  <c r="BJ186" i="13"/>
  <c r="BJ163" i="13"/>
  <c r="BX182" i="13"/>
  <c r="BX159" i="13"/>
  <c r="AO186" i="13"/>
  <c r="AO163" i="13"/>
  <c r="EF186" i="13"/>
  <c r="EF163" i="13" s="1"/>
  <c r="V182" i="13"/>
  <c r="V159" i="13"/>
  <c r="DM186" i="13"/>
  <c r="DM163" i="13"/>
  <c r="DK182" i="13"/>
  <c r="DK159" i="13"/>
  <c r="BG179" i="13"/>
  <c r="CT186" i="13"/>
  <c r="CT163" i="13"/>
  <c r="AS186" i="13"/>
  <c r="AS163" i="13"/>
  <c r="DH186" i="13"/>
  <c r="DH163" i="13"/>
  <c r="AS182" i="13"/>
  <c r="AS159" i="13"/>
  <c r="Q182" i="13"/>
  <c r="Q159" i="13"/>
  <c r="EK182" i="13"/>
  <c r="EK159" i="13"/>
  <c r="AM186" i="13"/>
  <c r="AM163" i="13"/>
  <c r="AA186" i="13"/>
  <c r="AA163" i="13"/>
  <c r="CY186" i="13"/>
  <c r="CY163" i="13"/>
  <c r="AH179" i="13"/>
  <c r="O186" i="13"/>
  <c r="O163" i="13" s="1"/>
  <c r="AO150" i="13"/>
  <c r="CD182" i="13"/>
  <c r="CD159" i="13"/>
  <c r="BN186" i="13"/>
  <c r="BN163" i="13"/>
  <c r="DP182" i="13"/>
  <c r="DP159" i="13"/>
  <c r="AY186" i="13"/>
  <c r="AY163" i="13"/>
  <c r="EC179" i="13"/>
  <c r="EC183" i="13" s="1"/>
  <c r="BC182" i="13"/>
  <c r="BC159" i="13"/>
  <c r="V186" i="13"/>
  <c r="V163" i="13" s="1"/>
  <c r="T182" i="13"/>
  <c r="T159" i="13"/>
  <c r="CC186" i="13"/>
  <c r="CC163" i="13"/>
  <c r="CA182" i="13"/>
  <c r="CA159" i="13" s="1"/>
  <c r="BI182" i="13"/>
  <c r="BI159" i="13"/>
  <c r="AG182" i="13"/>
  <c r="AG159" i="13"/>
  <c r="DJ186" i="13"/>
  <c r="DJ163" i="13"/>
  <c r="CZ182" i="13"/>
  <c r="CZ159" i="13"/>
  <c r="CW182" i="13"/>
  <c r="CW159" i="13"/>
  <c r="CF186" i="13"/>
  <c r="CF163" i="13" s="1"/>
  <c r="BU182" i="13"/>
  <c r="BU159" i="13"/>
  <c r="BF186" i="13"/>
  <c r="BF163" i="13"/>
  <c r="AW179" i="13"/>
  <c r="AW183" i="13" s="1"/>
  <c r="AC186" i="13"/>
  <c r="AC163" i="13" s="1"/>
  <c r="DW182" i="13"/>
  <c r="DW159" i="13" s="1"/>
  <c r="R179" i="13"/>
  <c r="P182" i="13"/>
  <c r="P159" i="13" s="1"/>
  <c r="BL186" i="13"/>
  <c r="BL163" i="13" s="1"/>
  <c r="AT186" i="13"/>
  <c r="AT163" i="13"/>
  <c r="BH182" i="13"/>
  <c r="BH159" i="13" s="1"/>
  <c r="S179" i="13"/>
  <c r="S183" i="13"/>
  <c r="Y186" i="13"/>
  <c r="Y163" i="13" s="1"/>
  <c r="CD179" i="13"/>
  <c r="CD183" i="13" s="1"/>
  <c r="DP186" i="13"/>
  <c r="DP163" i="13"/>
  <c r="ED182" i="13"/>
  <c r="ED159" i="13"/>
  <c r="CX186" i="13"/>
  <c r="CX163" i="13" s="1"/>
  <c r="CW186" i="13"/>
  <c r="CW163" i="13"/>
  <c r="CU182" i="13"/>
  <c r="CU159" i="13" s="1"/>
  <c r="BV186" i="13"/>
  <c r="BV163" i="13"/>
  <c r="AR186" i="13"/>
  <c r="AR163" i="13"/>
  <c r="EC182" i="13"/>
  <c r="EC159" i="13"/>
  <c r="DB179" i="13"/>
  <c r="BG186" i="13"/>
  <c r="BG163" i="13"/>
  <c r="DW186" i="13"/>
  <c r="DW163" i="13"/>
  <c r="DB182" i="13"/>
  <c r="DB183" i="13" s="1"/>
  <c r="CM182" i="13"/>
  <c r="CM159" i="13"/>
  <c r="X182" i="13"/>
  <c r="X159" i="13" s="1"/>
  <c r="N182" i="13"/>
  <c r="N159" i="13" s="1"/>
  <c r="DY186" i="13"/>
  <c r="DY163" i="13" s="1"/>
  <c r="AM182" i="13"/>
  <c r="AM159" i="13"/>
  <c r="EB182" i="13"/>
  <c r="EB159" i="13"/>
  <c r="AQ179" i="13"/>
  <c r="AQ183" i="13" s="1"/>
  <c r="BM186" i="13"/>
  <c r="BM163" i="13" s="1"/>
  <c r="BK182" i="13"/>
  <c r="BK159" i="13" s="1"/>
  <c r="AH182" i="13"/>
  <c r="AH159" i="13"/>
  <c r="S186" i="13"/>
  <c r="S163" i="13"/>
  <c r="CL186" i="13"/>
  <c r="CL163" i="13"/>
  <c r="BY182" i="13"/>
  <c r="BY159" i="13"/>
  <c r="CI186" i="13"/>
  <c r="CI163" i="13"/>
  <c r="BW182" i="13"/>
  <c r="BW159" i="13"/>
  <c r="R182" i="13"/>
  <c r="R159" i="13" s="1"/>
  <c r="DJ182" i="13"/>
  <c r="DJ159" i="13"/>
  <c r="DK186" i="13"/>
  <c r="DK163" i="13" s="1"/>
  <c r="CT182" i="13"/>
  <c r="CT159" i="13" s="1"/>
  <c r="W186" i="13"/>
  <c r="W163" i="13"/>
  <c r="AP179" i="13"/>
  <c r="AP183" i="13"/>
  <c r="AA182" i="13"/>
  <c r="AA159" i="13" s="1"/>
  <c r="CE150" i="13"/>
  <c r="DY182" i="13"/>
  <c r="DY159" i="13" s="1"/>
  <c r="BJ182" i="13"/>
  <c r="BJ159" i="13" s="1"/>
  <c r="DM182" i="13"/>
  <c r="DM159" i="13"/>
  <c r="DM179" i="13"/>
  <c r="X179" i="13"/>
  <c r="AD186" i="13"/>
  <c r="AD163" i="13" s="1"/>
  <c r="AR182" i="13"/>
  <c r="AR159" i="13" s="1"/>
  <c r="EG186" i="13"/>
  <c r="EG163" i="13" s="1"/>
  <c r="CZ186" i="13"/>
  <c r="CZ163" i="13"/>
  <c r="DN182" i="13"/>
  <c r="DN159" i="13"/>
  <c r="DX179" i="13"/>
  <c r="CG186" i="13"/>
  <c r="CG163" i="13" s="1"/>
  <c r="CE182" i="13"/>
  <c r="CE159" i="13" s="1"/>
  <c r="DS179" i="13"/>
  <c r="DS183" i="13" s="1"/>
  <c r="DC150" i="13"/>
  <c r="R186" i="13"/>
  <c r="R163" i="13"/>
  <c r="DC182" i="13"/>
  <c r="DC159" i="13"/>
  <c r="AX186" i="13"/>
  <c r="AX163" i="13" s="1"/>
  <c r="BH186" i="13"/>
  <c r="BH163" i="13"/>
  <c r="AF186" i="13"/>
  <c r="AF163" i="13" s="1"/>
  <c r="AT182" i="13"/>
  <c r="AT159" i="13" s="1"/>
  <c r="AE186" i="13"/>
  <c r="AE163" i="13"/>
  <c r="DI150" i="13"/>
  <c r="DQ182" i="13"/>
  <c r="DQ159" i="13"/>
  <c r="DU186" i="13"/>
  <c r="DU163" i="13"/>
  <c r="AV182" i="13"/>
  <c r="AV159" i="13"/>
  <c r="CB179" i="13"/>
  <c r="CB183" i="13" s="1"/>
  <c r="W150" i="13"/>
  <c r="DE179" i="13"/>
  <c r="DE183" i="13" s="1"/>
  <c r="H172" i="13"/>
  <c r="DU182" i="13"/>
  <c r="DU159" i="13" s="1"/>
  <c r="J186" i="13"/>
  <c r="J163" i="13"/>
  <c r="W182" i="13"/>
  <c r="W159" i="13" s="1"/>
  <c r="BN179" i="13"/>
  <c r="CH186" i="13"/>
  <c r="CH163" i="13" s="1"/>
  <c r="DL182" i="13"/>
  <c r="DL159" i="13" s="1"/>
  <c r="BO186" i="13"/>
  <c r="BO163" i="13" s="1"/>
  <c r="AW186" i="13"/>
  <c r="AW163" i="13" s="1"/>
  <c r="AU182" i="13"/>
  <c r="AU159" i="13" s="1"/>
  <c r="AU186" i="13"/>
  <c r="AU163" i="13"/>
  <c r="BG150" i="13"/>
  <c r="J182" i="13"/>
  <c r="J159" i="13" s="1"/>
  <c r="AX182" i="13"/>
  <c r="AX159" i="13" s="1"/>
  <c r="BM150" i="13"/>
  <c r="CV186" i="13"/>
  <c r="CV163" i="13"/>
  <c r="AY179" i="13"/>
  <c r="AU150" i="13"/>
  <c r="AF182" i="13"/>
  <c r="AF159" i="13" s="1"/>
  <c r="BL179" i="13"/>
  <c r="EL179" i="13"/>
  <c r="BY179" i="13"/>
  <c r="DD179" i="13"/>
  <c r="DQ179" i="13"/>
  <c r="CW179" i="13"/>
  <c r="CW183" i="13" s="1"/>
  <c r="EL186" i="13"/>
  <c r="EL163" i="13" s="1"/>
  <c r="N186" i="13"/>
  <c r="N163" i="13" s="1"/>
  <c r="AB182" i="13"/>
  <c r="AB159" i="13"/>
  <c r="CE179" i="13"/>
  <c r="DQ186" i="13"/>
  <c r="DQ163" i="13" s="1"/>
  <c r="CJ186" i="13"/>
  <c r="CJ163" i="13" s="1"/>
  <c r="CX182" i="13"/>
  <c r="CX159" i="13" s="1"/>
  <c r="BQ186" i="13"/>
  <c r="BQ163" i="13" s="1"/>
  <c r="BO182" i="13"/>
  <c r="BO159" i="13" s="1"/>
  <c r="AA179" i="13"/>
  <c r="EG182" i="13"/>
  <c r="EG159" i="13"/>
  <c r="DO186" i="13"/>
  <c r="DO163" i="13" s="1"/>
  <c r="BK186" i="13"/>
  <c r="BK163" i="13"/>
  <c r="BI186" i="13"/>
  <c r="BI163" i="13" s="1"/>
  <c r="AW182" i="13"/>
  <c r="AW159" i="13" s="1"/>
  <c r="CL182" i="13"/>
  <c r="CL159" i="13" s="1"/>
  <c r="AP186" i="13"/>
  <c r="AP163" i="13"/>
  <c r="AB186" i="13"/>
  <c r="AB163" i="13"/>
  <c r="AO182" i="13"/>
  <c r="AO159" i="13"/>
  <c r="CO182" i="13"/>
  <c r="CO159" i="13" s="1"/>
  <c r="H100" i="13"/>
  <c r="CN186" i="13"/>
  <c r="CN163" i="13" s="1"/>
  <c r="AV179" i="13"/>
  <c r="CQ179" i="13"/>
  <c r="CQ183" i="13" s="1"/>
  <c r="AG179" i="13"/>
  <c r="DV179" i="13"/>
  <c r="BI179" i="13"/>
  <c r="CN179" i="13"/>
  <c r="BN182" i="13"/>
  <c r="BN159" i="13"/>
  <c r="DA179" i="13"/>
  <c r="DA183" i="13" s="1"/>
  <c r="BF182" i="13"/>
  <c r="BF159" i="13" s="1"/>
  <c r="EE182" i="13"/>
  <c r="EE159" i="13" s="1"/>
  <c r="DH179" i="13"/>
  <c r="DH183" i="13" s="1"/>
  <c r="CV182" i="13"/>
  <c r="CV159" i="13"/>
  <c r="DW179" i="13"/>
  <c r="DW183" i="13"/>
  <c r="DW187" i="13" s="1"/>
  <c r="DC179" i="13"/>
  <c r="AG186" i="13"/>
  <c r="AG163" i="13" s="1"/>
  <c r="AE182" i="13"/>
  <c r="AE159" i="13" s="1"/>
  <c r="L179" i="13"/>
  <c r="L183" i="13"/>
  <c r="L187" i="13" s="1"/>
  <c r="CC182" i="13"/>
  <c r="CC159" i="13" s="1"/>
  <c r="Z182" i="13"/>
  <c r="Z159" i="13" s="1"/>
  <c r="AH186" i="13"/>
  <c r="AH163" i="13"/>
  <c r="Z179" i="13"/>
  <c r="Z183" i="13" s="1"/>
  <c r="U182" i="13"/>
  <c r="U159" i="13" s="1"/>
  <c r="DR182" i="13"/>
  <c r="DR159" i="13"/>
  <c r="EA186" i="13"/>
  <c r="EA163" i="13"/>
  <c r="CP182" i="13"/>
  <c r="CP159" i="13" s="1"/>
  <c r="DJ179" i="13"/>
  <c r="DJ183" i="13"/>
  <c r="DJ187" i="13" s="1"/>
  <c r="CK150" i="13"/>
  <c r="DT179" i="13"/>
  <c r="DY179" i="13"/>
  <c r="AF179" i="13"/>
  <c r="AF183" i="13" s="1"/>
  <c r="BX179" i="13"/>
  <c r="BT179" i="13"/>
  <c r="BM182" i="13"/>
  <c r="BM159" i="13" s="1"/>
  <c r="CK179" i="13"/>
  <c r="H95" i="13"/>
  <c r="CJ179" i="13"/>
  <c r="CJ183" i="13"/>
  <c r="CJ187" i="13" s="1"/>
  <c r="DV186" i="13"/>
  <c r="DV163" i="13"/>
  <c r="EJ182" i="13"/>
  <c r="EJ159" i="13"/>
  <c r="L182" i="13"/>
  <c r="L159" i="13"/>
  <c r="DA186" i="13"/>
  <c r="DA163" i="13" s="1"/>
  <c r="AX179" i="13"/>
  <c r="AX183" i="13" s="1"/>
  <c r="BT186" i="13"/>
  <c r="BT163" i="13"/>
  <c r="CH182" i="13"/>
  <c r="CH159" i="13" s="1"/>
  <c r="BR186" i="13"/>
  <c r="BR163" i="13"/>
  <c r="BA186" i="13"/>
  <c r="BA163" i="13"/>
  <c r="AY182" i="13"/>
  <c r="AY159" i="13"/>
  <c r="T186" i="13"/>
  <c r="T163" i="13"/>
  <c r="EK179" i="13"/>
  <c r="EK183" i="13"/>
  <c r="DS182" i="13"/>
  <c r="DS159" i="13" s="1"/>
  <c r="EJ179" i="13"/>
  <c r="CO186" i="13"/>
  <c r="CO163" i="13" s="1"/>
  <c r="J179" i="13"/>
  <c r="J183" i="13" s="1"/>
  <c r="DZ150" i="13"/>
  <c r="DU179" i="13"/>
  <c r="DU183" i="13"/>
  <c r="DU187" i="13" s="1"/>
  <c r="BX186" i="13"/>
  <c r="BX163" i="13" s="1"/>
  <c r="BL182" i="13"/>
  <c r="BL159" i="13"/>
  <c r="EG179" i="13"/>
  <c r="EG183" i="13" s="1"/>
  <c r="EA179" i="13"/>
  <c r="EA183" i="13" s="1"/>
  <c r="BY186" i="13"/>
  <c r="BY163" i="13"/>
  <c r="AC179" i="13"/>
  <c r="AC183" i="13" s="1"/>
  <c r="BH179" i="13"/>
  <c r="K186" i="13"/>
  <c r="K163" i="13" s="1"/>
  <c r="AI150" i="13"/>
  <c r="EF179" i="13"/>
  <c r="EF183" i="13" s="1"/>
  <c r="BO179" i="13"/>
  <c r="BO183" i="13"/>
  <c r="BO187" i="13" s="1"/>
  <c r="DO182" i="13"/>
  <c r="DO159" i="13"/>
  <c r="P179" i="13"/>
  <c r="CF182" i="13"/>
  <c r="CF159" i="13"/>
  <c r="K179" i="13"/>
  <c r="Q186" i="13"/>
  <c r="Q163" i="13"/>
  <c r="O182" i="13"/>
  <c r="O159" i="13"/>
  <c r="EH186" i="13"/>
  <c r="EH163" i="13" s="1"/>
  <c r="DS186" i="13"/>
  <c r="DS163" i="13"/>
  <c r="DF182" i="13"/>
  <c r="DF159" i="13" s="1"/>
  <c r="DR186" i="13"/>
  <c r="DR163" i="13" s="1"/>
  <c r="AJ186" i="13"/>
  <c r="AJ163" i="13"/>
  <c r="AI186" i="13"/>
  <c r="AI163" i="13"/>
  <c r="Y182" i="13"/>
  <c r="Y159" i="13"/>
  <c r="CR186" i="13"/>
  <c r="CR163" i="13" s="1"/>
  <c r="DE182" i="13"/>
  <c r="DE159" i="13"/>
  <c r="DA182" i="13"/>
  <c r="DA159" i="13"/>
  <c r="DK179" i="13"/>
  <c r="AK182" i="13"/>
  <c r="AK159" i="13" s="1"/>
  <c r="CC179" i="13"/>
  <c r="CC183" i="13" s="1"/>
  <c r="M186" i="13"/>
  <c r="M163" i="13"/>
  <c r="CA186" i="13"/>
  <c r="CA163" i="13"/>
  <c r="M179" i="13"/>
  <c r="AR179" i="13"/>
  <c r="K182" i="13"/>
  <c r="K183" i="13" s="1"/>
  <c r="K159" i="13"/>
  <c r="EH179" i="13"/>
  <c r="DP179" i="13"/>
  <c r="DP183" i="13" s="1"/>
  <c r="CR179" i="13"/>
  <c r="DZ179" i="13"/>
  <c r="DZ183" i="13" s="1"/>
  <c r="DR179" i="13"/>
  <c r="J149" i="13"/>
  <c r="J156" i="13" s="1"/>
  <c r="BK179" i="13"/>
  <c r="H57" i="13"/>
  <c r="EB186" i="13"/>
  <c r="EB163" i="13"/>
  <c r="AS179" i="13"/>
  <c r="AS183" i="13" s="1"/>
  <c r="EK186" i="13"/>
  <c r="EK163" i="13"/>
  <c r="V179" i="13"/>
  <c r="AZ179" i="13"/>
  <c r="AZ183" i="13" s="1"/>
  <c r="CI179" i="13"/>
  <c r="CI183" i="13" s="1"/>
  <c r="AL179" i="13"/>
  <c r="BU55" i="13"/>
  <c r="BU53" i="13" s="1"/>
  <c r="DO55" i="13"/>
  <c r="DO53" i="13" s="1"/>
  <c r="BB55" i="13"/>
  <c r="BB53" i="13" s="1"/>
  <c r="CG55" i="13"/>
  <c r="CG53" i="13" s="1"/>
  <c r="CU55" i="13"/>
  <c r="CU53" i="13" s="1"/>
  <c r="CR182" i="13"/>
  <c r="CR183" i="13" s="1"/>
  <c r="CR159" i="13"/>
  <c r="BM179" i="13"/>
  <c r="BZ179" i="13"/>
  <c r="N179" i="13"/>
  <c r="N183" i="13" s="1"/>
  <c r="CV179" i="13"/>
  <c r="X55" i="13"/>
  <c r="X53" i="13"/>
  <c r="CF55" i="13"/>
  <c r="CF53" i="13"/>
  <c r="CT55" i="13"/>
  <c r="CT53" i="13" s="1"/>
  <c r="DY55" i="13"/>
  <c r="DY53" i="13" s="1"/>
  <c r="DI179" i="13"/>
  <c r="CZ179" i="13"/>
  <c r="BP179" i="13"/>
  <c r="CY179" i="13"/>
  <c r="CY183" i="13" s="1"/>
  <c r="BE179" i="13"/>
  <c r="BE183" i="13" s="1"/>
  <c r="BE55" i="13"/>
  <c r="BE53" i="13"/>
  <c r="CY55" i="13"/>
  <c r="CY53" i="13" s="1"/>
  <c r="AL55" i="13"/>
  <c r="AL53" i="13" s="1"/>
  <c r="DG55" i="13"/>
  <c r="DG53" i="13" s="1"/>
  <c r="BQ55" i="13"/>
  <c r="BQ53" i="13" s="1"/>
  <c r="DV55" i="13"/>
  <c r="DV53" i="13" s="1"/>
  <c r="EK55" i="13"/>
  <c r="EK53" i="13" s="1"/>
  <c r="CE55" i="13"/>
  <c r="CE53" i="13" s="1"/>
  <c r="DH55" i="13"/>
  <c r="DH53" i="13" s="1"/>
  <c r="DG179" i="13"/>
  <c r="DG183" i="13" s="1"/>
  <c r="DC186" i="13"/>
  <c r="DC163" i="13"/>
  <c r="AN179" i="13"/>
  <c r="CX179" i="13"/>
  <c r="AM179" i="13"/>
  <c r="CH179" i="13"/>
  <c r="CA179" i="13"/>
  <c r="EF55" i="13"/>
  <c r="EF53" i="13"/>
  <c r="CQ55" i="13"/>
  <c r="CQ53" i="13" s="1"/>
  <c r="DF55" i="13"/>
  <c r="DF53" i="13" s="1"/>
  <c r="BP55" i="13"/>
  <c r="BP53" i="13" s="1"/>
  <c r="DU55" i="13"/>
  <c r="DU53" i="13" s="1"/>
  <c r="EJ55" i="13"/>
  <c r="EJ53" i="13" s="1"/>
  <c r="CD55" i="13"/>
  <c r="CD53" i="13"/>
  <c r="DI55" i="13"/>
  <c r="DI53" i="13" s="1"/>
  <c r="BE182" i="13"/>
  <c r="BE159" i="13"/>
  <c r="BQ182" i="13"/>
  <c r="BQ159" i="13"/>
  <c r="CM186" i="13"/>
  <c r="CM163" i="13"/>
  <c r="CG179" i="13"/>
  <c r="O179" i="13"/>
  <c r="O183" i="13" s="1"/>
  <c r="DO179" i="13"/>
  <c r="AO55" i="13"/>
  <c r="AO53" i="13"/>
  <c r="CI55" i="13"/>
  <c r="CI53" i="13" s="1"/>
  <c r="V55" i="13"/>
  <c r="V53" i="13" s="1"/>
  <c r="CA55" i="13"/>
  <c r="CA53" i="13" s="1"/>
  <c r="BA55" i="13"/>
  <c r="BA53" i="13" s="1"/>
  <c r="CP55" i="13"/>
  <c r="CP53" i="13" s="1"/>
  <c r="DE55" i="13"/>
  <c r="DE53" i="13" s="1"/>
  <c r="BO55" i="13"/>
  <c r="BO53" i="13" s="1"/>
  <c r="DT55" i="13"/>
  <c r="DT53" i="13" s="1"/>
  <c r="AV55" i="13"/>
  <c r="AV53" i="13" s="1"/>
  <c r="DF186" i="13"/>
  <c r="DF163" i="13"/>
  <c r="AK186" i="13"/>
  <c r="AK163" i="13"/>
  <c r="DI182" i="13"/>
  <c r="DI159" i="13"/>
  <c r="DF179" i="13"/>
  <c r="DF183" i="13" s="1"/>
  <c r="AT179" i="13"/>
  <c r="AT183" i="13" s="1"/>
  <c r="AJ179" i="13"/>
  <c r="AJ183" i="13" s="1"/>
  <c r="DP55" i="13"/>
  <c r="DP53" i="13" s="1"/>
  <c r="BK55" i="13"/>
  <c r="BK53" i="13" s="1"/>
  <c r="BZ55" i="13"/>
  <c r="BZ53" i="13" s="1"/>
  <c r="AZ55" i="13"/>
  <c r="AZ53" i="13"/>
  <c r="CO55" i="13"/>
  <c r="CO53" i="13" s="1"/>
  <c r="DD55" i="13"/>
  <c r="DD53" i="13" s="1"/>
  <c r="BN55" i="13"/>
  <c r="BN53" i="13" s="1"/>
  <c r="CS55" i="13"/>
  <c r="CS53" i="13" s="1"/>
  <c r="BL55" i="13"/>
  <c r="BL53" i="13" s="1"/>
  <c r="DT182" i="13"/>
  <c r="DT159" i="13"/>
  <c r="AI182" i="13"/>
  <c r="AI159" i="13"/>
  <c r="BA179" i="13"/>
  <c r="AV186" i="13"/>
  <c r="AV163" i="13"/>
  <c r="ED179" i="13"/>
  <c r="ED183" i="13" s="1"/>
  <c r="Y55" i="13"/>
  <c r="Y53" i="13" s="1"/>
  <c r="BS55" i="13"/>
  <c r="BS53" i="13" s="1"/>
  <c r="ED55" i="13"/>
  <c r="ED53" i="13"/>
  <c r="AU55" i="13"/>
  <c r="AU53" i="13" s="1"/>
  <c r="AK55" i="13"/>
  <c r="AK53" i="13"/>
  <c r="BJ55" i="13"/>
  <c r="BJ53" i="13" s="1"/>
  <c r="BY55" i="13"/>
  <c r="BY53" i="13" s="1"/>
  <c r="AY55" i="13"/>
  <c r="AY53" i="13"/>
  <c r="CN55" i="13"/>
  <c r="CN53" i="13" s="1"/>
  <c r="H173" i="13"/>
  <c r="CM179" i="13"/>
  <c r="CM183" i="13" s="1"/>
  <c r="CW150" i="13"/>
  <c r="W179" i="13"/>
  <c r="AU179" i="13"/>
  <c r="BC179" i="13"/>
  <c r="CZ55" i="13"/>
  <c r="CZ53" i="13" s="1"/>
  <c r="AE55" i="13"/>
  <c r="AE53" i="13" s="1"/>
  <c r="AT55" i="13"/>
  <c r="AT53" i="13" s="1"/>
  <c r="AJ55" i="13"/>
  <c r="AJ53" i="13"/>
  <c r="BI55" i="13"/>
  <c r="BI53" i="13" s="1"/>
  <c r="BX55" i="13"/>
  <c r="BX53" i="13" s="1"/>
  <c r="AX55" i="13"/>
  <c r="AX53" i="13"/>
  <c r="EI55" i="13"/>
  <c r="EI53" i="13" s="1"/>
  <c r="CC55" i="13"/>
  <c r="CC53" i="13"/>
  <c r="AK179" i="13"/>
  <c r="BR179" i="13"/>
  <c r="BJ179" i="13"/>
  <c r="DN179" i="13"/>
  <c r="CF179" i="13"/>
  <c r="AO179" i="13"/>
  <c r="EG55" i="13"/>
  <c r="EG53" i="13"/>
  <c r="J55" i="13"/>
  <c r="J53" i="13"/>
  <c r="BC55" i="13"/>
  <c r="BC53" i="13" s="1"/>
  <c r="DN55" i="13"/>
  <c r="DN53" i="13"/>
  <c r="O55" i="13"/>
  <c r="O53" i="13" s="1"/>
  <c r="U55" i="13"/>
  <c r="U53" i="13" s="1"/>
  <c r="AD55" i="13"/>
  <c r="AD53" i="13" s="1"/>
  <c r="AS55" i="13"/>
  <c r="AS53" i="13" s="1"/>
  <c r="AI55" i="13"/>
  <c r="AI53" i="13" s="1"/>
  <c r="BH55" i="13"/>
  <c r="BH53" i="13" s="1"/>
  <c r="DS55" i="13"/>
  <c r="DS53" i="13" s="1"/>
  <c r="CK186" i="13"/>
  <c r="CK163" i="13" s="1"/>
  <c r="BQ179" i="13"/>
  <c r="BQ183" i="13" s="1"/>
  <c r="CJ55" i="13"/>
  <c r="CJ53" i="13" s="1"/>
  <c r="N55" i="13"/>
  <c r="N53" i="13" s="1"/>
  <c r="T55" i="13"/>
  <c r="T53" i="13"/>
  <c r="AC55" i="13"/>
  <c r="AC53" i="13" s="1"/>
  <c r="AR55" i="13"/>
  <c r="AR53" i="13" s="1"/>
  <c r="AH55" i="13"/>
  <c r="AH53" i="13"/>
  <c r="DC55" i="13"/>
  <c r="DC53" i="13" s="1"/>
  <c r="BM55" i="13"/>
  <c r="BM53" i="13" s="1"/>
  <c r="BW186" i="13"/>
  <c r="BW163" i="13"/>
  <c r="U179" i="13"/>
  <c r="T179" i="13"/>
  <c r="BB179" i="13"/>
  <c r="AE179" i="13"/>
  <c r="K55" i="13"/>
  <c r="K53" i="13" s="1"/>
  <c r="DQ55" i="13"/>
  <c r="DQ53" i="13"/>
  <c r="AM55" i="13"/>
  <c r="AM53" i="13"/>
  <c r="CX55" i="13"/>
  <c r="CX53" i="13"/>
  <c r="EC55" i="13"/>
  <c r="EC53" i="13"/>
  <c r="M55" i="13"/>
  <c r="M53" i="13" s="1"/>
  <c r="S55" i="13"/>
  <c r="S53" i="13" s="1"/>
  <c r="AB55" i="13"/>
  <c r="AB53" i="13" s="1"/>
  <c r="CM55" i="13"/>
  <c r="CM53" i="13" s="1"/>
  <c r="CR55" i="13"/>
  <c r="CR53" i="13"/>
  <c r="EH55" i="13"/>
  <c r="EH53" i="13" s="1"/>
  <c r="AB179" i="13"/>
  <c r="BT55" i="13"/>
  <c r="BT53" i="13" s="1"/>
  <c r="EB55" i="13"/>
  <c r="EB53" i="13"/>
  <c r="L55" i="13"/>
  <c r="L53" i="13" s="1"/>
  <c r="R55" i="13"/>
  <c r="R53" i="13" s="1"/>
  <c r="BW55" i="13"/>
  <c r="BW53" i="13" s="1"/>
  <c r="AW55" i="13"/>
  <c r="AW53" i="13" s="1"/>
  <c r="EH182" i="13"/>
  <c r="EH159" i="13"/>
  <c r="CS179" i="13"/>
  <c r="BD182" i="13"/>
  <c r="BD159" i="13" s="1"/>
  <c r="AD179" i="13"/>
  <c r="DA55" i="13"/>
  <c r="DA53" i="13"/>
  <c r="W55" i="13"/>
  <c r="W53" i="13" s="1"/>
  <c r="CH55" i="13"/>
  <c r="CH53" i="13"/>
  <c r="DM55" i="13"/>
  <c r="DM53" i="13" s="1"/>
  <c r="EA55" i="13"/>
  <c r="EA53" i="13" s="1"/>
  <c r="BG55" i="13"/>
  <c r="BG53" i="13" s="1"/>
  <c r="AF55" i="13"/>
  <c r="AF53" i="13" s="1"/>
  <c r="P55" i="13"/>
  <c r="P53" i="13" s="1"/>
  <c r="BD186" i="13"/>
  <c r="BD163" i="13" s="1"/>
  <c r="EE186" i="13"/>
  <c r="EE163" i="13" s="1"/>
  <c r="CU179" i="13"/>
  <c r="EI179" i="13"/>
  <c r="BU179" i="13"/>
  <c r="DX186" i="13"/>
  <c r="DX163" i="13"/>
  <c r="EB179" i="13"/>
  <c r="EB183" i="13" s="1"/>
  <c r="BS179" i="13"/>
  <c r="BD55" i="13"/>
  <c r="BD53" i="13"/>
  <c r="DL55" i="13"/>
  <c r="DL53" i="13" s="1"/>
  <c r="DZ55" i="13"/>
  <c r="DZ53" i="13" s="1"/>
  <c r="AQ55" i="13"/>
  <c r="AQ53" i="13" s="1"/>
  <c r="AG55" i="13"/>
  <c r="AG53" i="13" s="1"/>
  <c r="CB55" i="13"/>
  <c r="CB53" i="13" s="1"/>
  <c r="BR182" i="13"/>
  <c r="BR159" i="13"/>
  <c r="Q55" i="13"/>
  <c r="Q53" i="13" s="1"/>
  <c r="DW55" i="13"/>
  <c r="DW53" i="13" s="1"/>
  <c r="EL55" i="13"/>
  <c r="EL53" i="13" s="1"/>
  <c r="H17" i="13"/>
  <c r="EE179" i="13"/>
  <c r="EE183" i="13" s="1"/>
  <c r="CW55" i="13"/>
  <c r="CW53" i="13"/>
  <c r="BV55" i="13"/>
  <c r="BV53" i="13" s="1"/>
  <c r="CV55" i="13"/>
  <c r="CV53" i="13" s="1"/>
  <c r="DL179" i="13"/>
  <c r="BF55" i="13"/>
  <c r="BF53" i="13" s="1"/>
  <c r="Z55" i="13"/>
  <c r="Z53" i="13" s="1"/>
  <c r="DB55" i="13"/>
  <c r="DB53" i="13" s="1"/>
  <c r="CK55" i="13"/>
  <c r="CK53" i="13" s="1"/>
  <c r="DK55" i="13"/>
  <c r="DK53" i="13" s="1"/>
  <c r="H38" i="13"/>
  <c r="CP179" i="13"/>
  <c r="DR55" i="13"/>
  <c r="DR53" i="13" s="1"/>
  <c r="DX55" i="13"/>
  <c r="DX53" i="13" s="1"/>
  <c r="AN55" i="13"/>
  <c r="AN53" i="13" s="1"/>
  <c r="DJ55" i="13"/>
  <c r="DJ53" i="13" s="1"/>
  <c r="EE55" i="13"/>
  <c r="EE53" i="13"/>
  <c r="H41" i="13"/>
  <c r="Y179" i="13"/>
  <c r="H13" i="13"/>
  <c r="BR55" i="13"/>
  <c r="BR53" i="13" s="1"/>
  <c r="AA55" i="13"/>
  <c r="AA53" i="13" s="1"/>
  <c r="AP55" i="13"/>
  <c r="AP53" i="13" s="1"/>
  <c r="CL55" i="13"/>
  <c r="CL53" i="13" s="1"/>
  <c r="H15" i="13"/>
  <c r="J20" i="13"/>
  <c r="T201" i="13"/>
  <c r="T205" i="13" s="1"/>
  <c r="T209" i="13" s="1"/>
  <c r="BI221" i="13"/>
  <c r="BI225" i="13" s="1"/>
  <c r="CN221" i="13"/>
  <c r="CN225" i="13" s="1"/>
  <c r="DJ201" i="13"/>
  <c r="DJ205" i="13" s="1"/>
  <c r="DJ209" i="13" s="1"/>
  <c r="CK221" i="13"/>
  <c r="CK225" i="13" s="1"/>
  <c r="DG221" i="13"/>
  <c r="DG225" i="13" s="1"/>
  <c r="DU201" i="13"/>
  <c r="DU205" i="13" s="1"/>
  <c r="DU209" i="13" s="1"/>
  <c r="L201" i="13"/>
  <c r="L205" i="13" s="1"/>
  <c r="L209" i="13" s="1"/>
  <c r="DY201" i="13"/>
  <c r="DY205" i="13" s="1"/>
  <c r="DY209" i="13" s="1"/>
  <c r="CG221" i="13"/>
  <c r="CG225" i="13" s="1"/>
  <c r="BZ221" i="13"/>
  <c r="BZ225" i="13" s="1"/>
  <c r="EK221" i="13"/>
  <c r="EK225" i="13" s="1"/>
  <c r="EB201" i="13"/>
  <c r="EB205" i="13" s="1"/>
  <c r="EB209" i="13" s="1"/>
  <c r="T221" i="13"/>
  <c r="T225" i="13" s="1"/>
  <c r="EG221" i="13"/>
  <c r="EG225" i="13" s="1"/>
  <c r="DC221" i="13"/>
  <c r="DC225" i="13" s="1"/>
  <c r="U221" i="13"/>
  <c r="U225" i="13" s="1"/>
  <c r="AQ221" i="13"/>
  <c r="AQ225" i="13" s="1"/>
  <c r="BO201" i="13"/>
  <c r="BO205" i="13" s="1"/>
  <c r="BO209" i="13" s="1"/>
  <c r="DH221" i="13"/>
  <c r="DH225" i="13" s="1"/>
  <c r="AV201" i="13"/>
  <c r="AV205" i="13" s="1"/>
  <c r="AV209" i="13" s="1"/>
  <c r="Z201" i="13"/>
  <c r="Z205" i="13" s="1"/>
  <c r="Z209" i="13" s="1"/>
  <c r="EI221" i="13"/>
  <c r="EI225" i="13" s="1"/>
  <c r="DM221" i="13"/>
  <c r="DM225" i="13" s="1"/>
  <c r="CR201" i="13"/>
  <c r="CR205" i="13" s="1"/>
  <c r="CR209" i="13" s="1"/>
  <c r="DQ201" i="13"/>
  <c r="DQ205" i="13" s="1"/>
  <c r="DQ209" i="13" s="1"/>
  <c r="H50" i="13"/>
  <c r="AG201" i="13"/>
  <c r="AG205" i="13" s="1"/>
  <c r="AG209" i="13" s="1"/>
  <c r="CU201" i="13"/>
  <c r="CU205" i="13" s="1"/>
  <c r="CU209" i="13" s="1"/>
  <c r="BM221" i="13"/>
  <c r="BM225" i="13" s="1"/>
  <c r="BR201" i="13"/>
  <c r="BR205" i="13" s="1"/>
  <c r="BR209" i="13" s="1"/>
  <c r="EA221" i="13"/>
  <c r="EA225" i="13" s="1"/>
  <c r="BD201" i="13"/>
  <c r="BD205" i="13" s="1"/>
  <c r="BD209" i="13" s="1"/>
  <c r="AK221" i="13"/>
  <c r="AK225" i="13" s="1"/>
  <c r="DN201" i="13"/>
  <c r="DN205" i="13" s="1"/>
  <c r="DN209" i="13" s="1"/>
  <c r="CZ221" i="13"/>
  <c r="CZ225" i="13" s="1"/>
  <c r="AW221" i="13"/>
  <c r="AW225" i="13" s="1"/>
  <c r="EJ221" i="13"/>
  <c r="EJ225" i="13" s="1"/>
  <c r="DK201" i="13"/>
  <c r="DK205" i="13" s="1"/>
  <c r="DK209" i="13" s="1"/>
  <c r="H30" i="13"/>
  <c r="DV201" i="13"/>
  <c r="DV205" i="13" s="1"/>
  <c r="DV209" i="13" s="1"/>
  <c r="CH221" i="13"/>
  <c r="CH225" i="13" s="1"/>
  <c r="AF221" i="13"/>
  <c r="AF225" i="13" s="1"/>
  <c r="CF221" i="13"/>
  <c r="CF225" i="13" s="1"/>
  <c r="AS201" i="13"/>
  <c r="AS205" i="13" s="1"/>
  <c r="AS209" i="13" s="1"/>
  <c r="AI201" i="13"/>
  <c r="AI205" i="13" s="1"/>
  <c r="AI209" i="13" s="1"/>
  <c r="CR221" i="13"/>
  <c r="CR225" i="13" s="1"/>
  <c r="AP221" i="13"/>
  <c r="AP225" i="13" s="1"/>
  <c r="CA201" i="13"/>
  <c r="CA205" i="13" s="1"/>
  <c r="CA209" i="13" s="1"/>
  <c r="BF221" i="13"/>
  <c r="BF225" i="13" s="1"/>
  <c r="N201" i="13"/>
  <c r="N205" i="13" s="1"/>
  <c r="N209" i="13" s="1"/>
  <c r="CM201" i="13"/>
  <c r="CM205" i="13" s="1"/>
  <c r="CM209" i="13" s="1"/>
  <c r="CW221" i="13"/>
  <c r="CW225" i="13" s="1"/>
  <c r="AK201" i="13"/>
  <c r="AK205" i="13" s="1"/>
  <c r="AK209" i="13" s="1"/>
  <c r="DB201" i="13"/>
  <c r="DB205" i="13" s="1"/>
  <c r="DB209" i="13" s="1"/>
  <c r="AC201" i="13"/>
  <c r="AC205" i="13" s="1"/>
  <c r="AC209" i="13" s="1"/>
  <c r="DC201" i="13"/>
  <c r="DC205" i="13" s="1"/>
  <c r="DC209" i="13" s="1"/>
  <c r="EL201" i="13"/>
  <c r="EL205" i="13" s="1"/>
  <c r="EL209" i="13" s="1"/>
  <c r="EB221" i="13"/>
  <c r="EB225" i="13" s="1"/>
  <c r="CA221" i="13"/>
  <c r="CA225" i="13" s="1"/>
  <c r="BQ201" i="13"/>
  <c r="BQ205" i="13" s="1"/>
  <c r="BQ209" i="13" s="1"/>
  <c r="EL221" i="13"/>
  <c r="EL225" i="13" s="1"/>
  <c r="CI201" i="13"/>
  <c r="CI205" i="13" s="1"/>
  <c r="CI209" i="13" s="1"/>
  <c r="AU201" i="13"/>
  <c r="AU205" i="13" s="1"/>
  <c r="AU209" i="13" s="1"/>
  <c r="AN221" i="13"/>
  <c r="AN225" i="13" s="1"/>
  <c r="CL221" i="13"/>
  <c r="CL225" i="13" s="1"/>
  <c r="BN201" i="13"/>
  <c r="BN205" i="13" s="1"/>
  <c r="BN209" i="13" s="1"/>
  <c r="BM201" i="13"/>
  <c r="BM205" i="13" s="1"/>
  <c r="BM209" i="13" s="1"/>
  <c r="S221" i="13"/>
  <c r="S225" i="13" s="1"/>
  <c r="K201" i="13"/>
  <c r="K205" i="13" s="1"/>
  <c r="K209" i="13" s="1"/>
  <c r="M221" i="13"/>
  <c r="M225" i="13" s="1"/>
  <c r="BV221" i="13"/>
  <c r="BV225" i="13" s="1"/>
  <c r="BG221" i="13"/>
  <c r="BG225" i="13" s="1"/>
  <c r="CP201" i="13"/>
  <c r="CP205" i="13" s="1"/>
  <c r="CP209" i="13" s="1"/>
  <c r="CG201" i="13"/>
  <c r="CG205" i="13" s="1"/>
  <c r="CG209" i="13" s="1"/>
  <c r="BE221" i="13"/>
  <c r="BE225" i="13" s="1"/>
  <c r="AP201" i="13"/>
  <c r="AP205" i="13" s="1"/>
  <c r="AP209" i="13" s="1"/>
  <c r="Z221" i="13"/>
  <c r="Z225" i="13" s="1"/>
  <c r="DP221" i="13"/>
  <c r="DP225" i="13" s="1"/>
  <c r="BL221" i="13"/>
  <c r="BL225" i="13" s="1"/>
  <c r="DJ221" i="13"/>
  <c r="DJ225" i="13" s="1"/>
  <c r="R201" i="13"/>
  <c r="R205" i="13" s="1"/>
  <c r="R209" i="13" s="1"/>
  <c r="H14" i="13"/>
  <c r="DZ155" i="13"/>
  <c r="H155" i="13"/>
  <c r="EC221" i="13"/>
  <c r="EC225" i="13" s="1"/>
  <c r="CP221" i="13"/>
  <c r="CP225" i="13" s="1"/>
  <c r="AL221" i="13"/>
  <c r="AL225" i="13" s="1"/>
  <c r="CJ221" i="13"/>
  <c r="CJ225" i="13" s="1"/>
  <c r="DX221" i="13"/>
  <c r="DX225" i="13" s="1"/>
  <c r="BA201" i="13"/>
  <c r="BA205" i="13" s="1"/>
  <c r="BA209" i="13" s="1"/>
  <c r="AI221" i="13"/>
  <c r="AI225" i="13" s="1"/>
  <c r="K221" i="13"/>
  <c r="K225" i="13" s="1"/>
  <c r="EK201" i="13"/>
  <c r="EK205" i="13" s="1"/>
  <c r="EK209" i="13" s="1"/>
  <c r="DT221" i="13"/>
  <c r="DT225" i="13" s="1"/>
  <c r="CJ201" i="13"/>
  <c r="CJ205" i="13" s="1"/>
  <c r="CJ209" i="13" s="1"/>
  <c r="CY201" i="13"/>
  <c r="CY205" i="13" s="1"/>
  <c r="CY209" i="13" s="1"/>
  <c r="AD201" i="13"/>
  <c r="AD205" i="13" s="1"/>
  <c r="AD209" i="13" s="1"/>
  <c r="DF201" i="13"/>
  <c r="DF205" i="13" s="1"/>
  <c r="DF209" i="13" s="1"/>
  <c r="ED221" i="13"/>
  <c r="ED225" i="13" s="1"/>
  <c r="P221" i="13"/>
  <c r="P225" i="13" s="1"/>
  <c r="W221" i="13"/>
  <c r="W225" i="13" s="1"/>
  <c r="AB201" i="13"/>
  <c r="AB205" i="13" s="1"/>
  <c r="AB209" i="13" s="1"/>
  <c r="AL201" i="13"/>
  <c r="AL205" i="13" s="1"/>
  <c r="AL209" i="13" s="1"/>
  <c r="CX201" i="13"/>
  <c r="CX205" i="13" s="1"/>
  <c r="CX209" i="13" s="1"/>
  <c r="DG201" i="13"/>
  <c r="DG205" i="13" s="1"/>
  <c r="DG209" i="13" s="1"/>
  <c r="ED201" i="13"/>
  <c r="ED205" i="13" s="1"/>
  <c r="ED209" i="13" s="1"/>
  <c r="EH221" i="13"/>
  <c r="EH225" i="13" s="1"/>
  <c r="AM221" i="13"/>
  <c r="AM225" i="13" s="1"/>
  <c r="DE201" i="13"/>
  <c r="DE205" i="13" s="1"/>
  <c r="DE209" i="13" s="1"/>
  <c r="CY221" i="13"/>
  <c r="CY225" i="13" s="1"/>
  <c r="BH201" i="13"/>
  <c r="BH205" i="13" s="1"/>
  <c r="BH209" i="13" s="1"/>
  <c r="DY221" i="13"/>
  <c r="DY225" i="13" s="1"/>
  <c r="S201" i="13"/>
  <c r="S205" i="13" s="1"/>
  <c r="S209" i="13" s="1"/>
  <c r="BF201" i="13"/>
  <c r="BF205" i="13" s="1"/>
  <c r="BF209" i="13" s="1"/>
  <c r="BE201" i="13"/>
  <c r="BE205" i="13" s="1"/>
  <c r="BE209" i="13" s="1"/>
  <c r="EH201" i="13"/>
  <c r="EH205" i="13" s="1"/>
  <c r="EH209" i="13" s="1"/>
  <c r="BJ221" i="13"/>
  <c r="BJ225" i="13" s="1"/>
  <c r="EJ201" i="13"/>
  <c r="EJ205" i="13" s="1"/>
  <c r="EJ209" i="13" s="1"/>
  <c r="DK221" i="13"/>
  <c r="DK225" i="13" s="1"/>
  <c r="AH201" i="13"/>
  <c r="AH205" i="13" s="1"/>
  <c r="AH209" i="13" s="1"/>
  <c r="BX201" i="13"/>
  <c r="BX205" i="13" s="1"/>
  <c r="BX209" i="13" s="1"/>
  <c r="P201" i="13"/>
  <c r="P205" i="13" s="1"/>
  <c r="P209" i="13" s="1"/>
  <c r="Q221" i="13"/>
  <c r="Q225" i="13" s="1"/>
  <c r="DQ221" i="13"/>
  <c r="DQ225" i="13" s="1"/>
  <c r="AE201" i="13"/>
  <c r="AE205" i="13" s="1"/>
  <c r="AE209" i="13" s="1"/>
  <c r="L221" i="13"/>
  <c r="L225" i="13" s="1"/>
  <c r="DS221" i="13"/>
  <c r="DS225" i="13" s="1"/>
  <c r="AR221" i="13"/>
  <c r="AR225" i="13" s="1"/>
  <c r="AD221" i="13"/>
  <c r="AD225" i="13" s="1"/>
  <c r="AO201" i="13"/>
  <c r="AO205" i="13" s="1"/>
  <c r="AO209" i="13" s="1"/>
  <c r="V201" i="13"/>
  <c r="V205" i="13" s="1"/>
  <c r="V209" i="13" s="1"/>
  <c r="CO201" i="13"/>
  <c r="CO205" i="13" s="1"/>
  <c r="CO209" i="13" s="1"/>
  <c r="BD221" i="13"/>
  <c r="BD225" i="13" s="1"/>
  <c r="BT201" i="13"/>
  <c r="BT205" i="13" s="1"/>
  <c r="BT209" i="13" s="1"/>
  <c r="AY201" i="13"/>
  <c r="AY205" i="13" s="1"/>
  <c r="AY209" i="13" s="1"/>
  <c r="DR201" i="13"/>
  <c r="DR205" i="13" s="1"/>
  <c r="DR209" i="13" s="1"/>
  <c r="U201" i="13"/>
  <c r="U205" i="13" s="1"/>
  <c r="U209" i="13" s="1"/>
  <c r="O221" i="13"/>
  <c r="O225" i="13" s="1"/>
  <c r="CV201" i="13"/>
  <c r="CV205" i="13" s="1"/>
  <c r="CV209" i="13" s="1"/>
  <c r="BG201" i="13"/>
  <c r="BG205" i="13" s="1"/>
  <c r="BG209" i="13" s="1"/>
  <c r="AJ201" i="13"/>
  <c r="AJ205" i="13" s="1"/>
  <c r="AJ209" i="13" s="1"/>
  <c r="W201" i="13"/>
  <c r="W205" i="13" s="1"/>
  <c r="W209" i="13" s="1"/>
  <c r="DL221" i="13"/>
  <c r="DL225" i="13" s="1"/>
  <c r="BU221" i="13"/>
  <c r="BU225" i="13" s="1"/>
  <c r="CO221" i="13"/>
  <c r="CO225" i="13" s="1"/>
  <c r="DI201" i="13"/>
  <c r="DI205" i="13" s="1"/>
  <c r="DI209" i="13" s="1"/>
  <c r="AC221" i="13"/>
  <c r="AC225" i="13" s="1"/>
  <c r="BW221" i="13"/>
  <c r="BW225" i="13" s="1"/>
  <c r="BW201" i="13"/>
  <c r="BW205" i="13" s="1"/>
  <c r="BW209" i="13" s="1"/>
  <c r="AG221" i="13"/>
  <c r="AG225" i="13" s="1"/>
  <c r="AA201" i="13"/>
  <c r="AA205" i="13" s="1"/>
  <c r="AA209" i="13" s="1"/>
  <c r="Y221" i="13"/>
  <c r="Y225" i="13" s="1"/>
  <c r="CN201" i="13"/>
  <c r="CN205" i="13" s="1"/>
  <c r="CN209" i="13" s="1"/>
  <c r="AO221" i="13"/>
  <c r="AO225" i="13" s="1"/>
  <c r="DI221" i="13"/>
  <c r="DI225" i="13" s="1"/>
  <c r="O201" i="13"/>
  <c r="O205" i="13" s="1"/>
  <c r="O209" i="13" s="1"/>
  <c r="AR149" i="13"/>
  <c r="AR156" i="13"/>
  <c r="CU149" i="13"/>
  <c r="CU156" i="13" s="1"/>
  <c r="BF149" i="13"/>
  <c r="BF156" i="13" s="1"/>
  <c r="CY149" i="13"/>
  <c r="CY156" i="13"/>
  <c r="N149" i="13"/>
  <c r="N156" i="13"/>
  <c r="X149" i="13"/>
  <c r="X156" i="13"/>
  <c r="Q201" i="13"/>
  <c r="Q205" i="13" s="1"/>
  <c r="Q209" i="13" s="1"/>
  <c r="CD221" i="13"/>
  <c r="CD225" i="13" s="1"/>
  <c r="BY201" i="13"/>
  <c r="BY205" i="13" s="1"/>
  <c r="BY209" i="13" s="1"/>
  <c r="BB201" i="13"/>
  <c r="BB205" i="13" s="1"/>
  <c r="BB209" i="13" s="1"/>
  <c r="AN201" i="13"/>
  <c r="AN205" i="13" s="1"/>
  <c r="AN209" i="13" s="1"/>
  <c r="CL201" i="13"/>
  <c r="CL205" i="13" s="1"/>
  <c r="CL209" i="13" s="1"/>
  <c r="BI201" i="13"/>
  <c r="BI205" i="13" s="1"/>
  <c r="BI209" i="13" s="1"/>
  <c r="Y201" i="13"/>
  <c r="Y205" i="13" s="1"/>
  <c r="Y209" i="13" s="1"/>
  <c r="EE201" i="13"/>
  <c r="EE205" i="13" s="1"/>
  <c r="EE209" i="13" s="1"/>
  <c r="DF149" i="13"/>
  <c r="DF156" i="13"/>
  <c r="DP149" i="13"/>
  <c r="DP156" i="13"/>
  <c r="AO149" i="13"/>
  <c r="AO156" i="13"/>
  <c r="BN149" i="13"/>
  <c r="BN156" i="13"/>
  <c r="CD149" i="13"/>
  <c r="CD156" i="13"/>
  <c r="O149" i="13"/>
  <c r="O156" i="13" s="1"/>
  <c r="DU149" i="13"/>
  <c r="DU156" i="13"/>
  <c r="CB149" i="13"/>
  <c r="CB156" i="13"/>
  <c r="AM149" i="13"/>
  <c r="AM156" i="13"/>
  <c r="EF149" i="13"/>
  <c r="EF156" i="13"/>
  <c r="CC149" i="13"/>
  <c r="CC156" i="13"/>
  <c r="DZ221" i="13"/>
  <c r="DZ225" i="13" s="1"/>
  <c r="BC221" i="13"/>
  <c r="BC225" i="13" s="1"/>
  <c r="AR201" i="13"/>
  <c r="AR205" i="13" s="1"/>
  <c r="AR209" i="13" s="1"/>
  <c r="DP201" i="13"/>
  <c r="DP205" i="13" s="1"/>
  <c r="DP209" i="13" s="1"/>
  <c r="CI221" i="13"/>
  <c r="CI225" i="13" s="1"/>
  <c r="DB149" i="13"/>
  <c r="DB156" i="13" s="1"/>
  <c r="DO149" i="13"/>
  <c r="DO156" i="13" s="1"/>
  <c r="AL149" i="13"/>
  <c r="AL156" i="13" s="1"/>
  <c r="CL149" i="13"/>
  <c r="CL156" i="13" s="1"/>
  <c r="V149" i="13"/>
  <c r="V156" i="13" s="1"/>
  <c r="BX149" i="13"/>
  <c r="BX156" i="13" s="1"/>
  <c r="DZ201" i="13"/>
  <c r="DZ205" i="13" s="1"/>
  <c r="DZ209" i="13" s="1"/>
  <c r="CB201" i="13"/>
  <c r="CB205" i="13" s="1"/>
  <c r="CB209" i="13" s="1"/>
  <c r="DS201" i="13"/>
  <c r="DS205" i="13" s="1"/>
  <c r="DS209" i="13" s="1"/>
  <c r="AW201" i="13"/>
  <c r="AW205" i="13" s="1"/>
  <c r="AW209" i="13" s="1"/>
  <c r="DO221" i="13"/>
  <c r="DO225" i="13" s="1"/>
  <c r="BR221" i="13"/>
  <c r="BR225" i="13" s="1"/>
  <c r="CC201" i="13"/>
  <c r="CC205" i="13" s="1"/>
  <c r="CC209" i="13" s="1"/>
  <c r="AB149" i="13"/>
  <c r="AB156" i="13"/>
  <c r="ED149" i="13"/>
  <c r="ED156" i="13"/>
  <c r="AJ149" i="13"/>
  <c r="AJ156" i="13"/>
  <c r="CO149" i="13"/>
  <c r="CO156" i="13"/>
  <c r="DR149" i="13"/>
  <c r="DR156" i="13"/>
  <c r="DC149" i="13"/>
  <c r="DC156" i="13" s="1"/>
  <c r="CE149" i="13"/>
  <c r="CE156" i="13" s="1"/>
  <c r="BA149" i="13"/>
  <c r="BA156" i="13"/>
  <c r="CA149" i="13"/>
  <c r="CA156" i="13"/>
  <c r="EC149" i="13"/>
  <c r="EC156" i="13"/>
  <c r="M149" i="13"/>
  <c r="M156" i="13" s="1"/>
  <c r="CM221" i="13"/>
  <c r="CM225" i="13" s="1"/>
  <c r="BX221" i="13"/>
  <c r="BX225" i="13" s="1"/>
  <c r="DW201" i="13"/>
  <c r="DW205" i="13" s="1"/>
  <c r="DW209" i="13" s="1"/>
  <c r="DN221" i="13"/>
  <c r="DN225" i="13" s="1"/>
  <c r="CH201" i="13"/>
  <c r="CH205" i="13" s="1"/>
  <c r="CH209" i="13" s="1"/>
  <c r="AV221" i="13"/>
  <c r="AV225" i="13" s="1"/>
  <c r="BT221" i="13"/>
  <c r="BT225" i="13" s="1"/>
  <c r="AQ201" i="13"/>
  <c r="AQ205" i="13" s="1"/>
  <c r="AQ209" i="13" s="1"/>
  <c r="BB149" i="13"/>
  <c r="BB156" i="13" s="1"/>
  <c r="T149" i="13"/>
  <c r="T156" i="13" s="1"/>
  <c r="DN149" i="13"/>
  <c r="DN156" i="13" s="1"/>
  <c r="Y149" i="13"/>
  <c r="Y156" i="13" s="1"/>
  <c r="BC149" i="13"/>
  <c r="BC156" i="13"/>
  <c r="BA221" i="13"/>
  <c r="BA225" i="13" s="1"/>
  <c r="EG201" i="13"/>
  <c r="EG205" i="13" s="1"/>
  <c r="EG209" i="13" s="1"/>
  <c r="AJ221" i="13"/>
  <c r="AJ225" i="13" s="1"/>
  <c r="AF201" i="13"/>
  <c r="AF205" i="13" s="1"/>
  <c r="AF209" i="13" s="1"/>
  <c r="CE221" i="13"/>
  <c r="CE225" i="13" s="1"/>
  <c r="BC201" i="13"/>
  <c r="BC205" i="13" s="1"/>
  <c r="BC209" i="13" s="1"/>
  <c r="AH221" i="13"/>
  <c r="AH225" i="13" s="1"/>
  <c r="BH221" i="13"/>
  <c r="BH225" i="13" s="1"/>
  <c r="CF201" i="13"/>
  <c r="CF205" i="13" s="1"/>
  <c r="CF209" i="13" s="1"/>
  <c r="DV221" i="13"/>
  <c r="DV225" i="13" s="1"/>
  <c r="EF221" i="13"/>
  <c r="EF225" i="13" s="1"/>
  <c r="AP149" i="13"/>
  <c r="AP156" i="13" s="1"/>
  <c r="S149" i="13"/>
  <c r="S156" i="13"/>
  <c r="AZ149" i="13"/>
  <c r="AZ156" i="13" s="1"/>
  <c r="W149" i="13"/>
  <c r="W156" i="13" s="1"/>
  <c r="BW149" i="13"/>
  <c r="BW156" i="13" s="1"/>
  <c r="AN149" i="13"/>
  <c r="AN156" i="13" s="1"/>
  <c r="BO149" i="13"/>
  <c r="BO156" i="13" s="1"/>
  <c r="DX149" i="13"/>
  <c r="DX156" i="13" s="1"/>
  <c r="AW149" i="13"/>
  <c r="AW156" i="13" s="1"/>
  <c r="AG149" i="13"/>
  <c r="AG156" i="13"/>
  <c r="BS221" i="13"/>
  <c r="BS225" i="13" s="1"/>
  <c r="DW221" i="13"/>
  <c r="DW225" i="13" s="1"/>
  <c r="R221" i="13"/>
  <c r="R225" i="13" s="1"/>
  <c r="BB221" i="13"/>
  <c r="BB225" i="13" s="1"/>
  <c r="CX221" i="13"/>
  <c r="CX225" i="13" s="1"/>
  <c r="CC221" i="13"/>
  <c r="CC225" i="13" s="1"/>
  <c r="CU221" i="13"/>
  <c r="CU225" i="13" s="1"/>
  <c r="DW149" i="13"/>
  <c r="DW156" i="13" s="1"/>
  <c r="BQ149" i="13"/>
  <c r="BQ156" i="13"/>
  <c r="BY149" i="13"/>
  <c r="BY156" i="13"/>
  <c r="BU149" i="13"/>
  <c r="BU156" i="13"/>
  <c r="BE149" i="13"/>
  <c r="BE156" i="13" s="1"/>
  <c r="H47" i="13"/>
  <c r="BU201" i="13"/>
  <c r="BU205" i="13" s="1"/>
  <c r="BU209" i="13" s="1"/>
  <c r="CQ221" i="13"/>
  <c r="CQ225" i="13" s="1"/>
  <c r="AE221" i="13"/>
  <c r="AE225" i="13" s="1"/>
  <c r="BP201" i="13"/>
  <c r="BP205" i="13" s="1"/>
  <c r="BP209" i="13" s="1"/>
  <c r="DA221" i="13"/>
  <c r="DA225" i="13" s="1"/>
  <c r="AB221" i="13"/>
  <c r="AB225" i="13" s="1"/>
  <c r="AU221" i="13"/>
  <c r="AU225" i="13" s="1"/>
  <c r="EI201" i="13"/>
  <c r="EI205" i="13" s="1"/>
  <c r="EI209" i="13" s="1"/>
  <c r="CW201" i="13"/>
  <c r="BK221" i="13"/>
  <c r="BK225" i="13" s="1"/>
  <c r="CS149" i="13"/>
  <c r="CS156" i="13"/>
  <c r="AY149" i="13"/>
  <c r="AY156" i="13" s="1"/>
  <c r="BH149" i="13"/>
  <c r="BH156" i="13" s="1"/>
  <c r="BI149" i="13"/>
  <c r="BI156" i="13"/>
  <c r="DZ149" i="13"/>
  <c r="DZ156" i="13"/>
  <c r="BD149" i="13"/>
  <c r="BD156" i="13"/>
  <c r="K149" i="13"/>
  <c r="K156" i="13"/>
  <c r="DV149" i="13"/>
  <c r="DV156" i="13" s="1"/>
  <c r="AS149" i="13"/>
  <c r="AS156" i="13"/>
  <c r="CM149" i="13"/>
  <c r="CM156" i="13" s="1"/>
  <c r="EA201" i="13"/>
  <c r="EA205" i="13" s="1"/>
  <c r="EA209" i="13" s="1"/>
  <c r="AM201" i="13"/>
  <c r="AM205" i="13" s="1"/>
  <c r="AM209" i="13" s="1"/>
  <c r="DX201" i="13"/>
  <c r="DX205" i="13" s="1"/>
  <c r="DX209" i="13" s="1"/>
  <c r="H48" i="13"/>
  <c r="CQ201" i="13"/>
  <c r="CQ205" i="13" s="1"/>
  <c r="CQ209" i="13" s="1"/>
  <c r="BK201" i="13"/>
  <c r="BK205" i="13" s="1"/>
  <c r="BK209" i="13" s="1"/>
  <c r="BK149" i="13"/>
  <c r="BK156" i="13" s="1"/>
  <c r="CT149" i="13"/>
  <c r="CT156" i="13"/>
  <c r="AU149" i="13"/>
  <c r="AU156" i="13" s="1"/>
  <c r="BS149" i="13"/>
  <c r="BS156" i="13" s="1"/>
  <c r="DA149" i="13"/>
  <c r="DA156" i="13" s="1"/>
  <c r="BR149" i="13"/>
  <c r="BR156" i="13" s="1"/>
  <c r="AX221" i="13"/>
  <c r="AX225" i="13" s="1"/>
  <c r="BS201" i="13"/>
  <c r="BS205" i="13" s="1"/>
  <c r="BS209" i="13" s="1"/>
  <c r="M201" i="13"/>
  <c r="M205" i="13" s="1"/>
  <c r="M209" i="13" s="1"/>
  <c r="CS201" i="13"/>
  <c r="CS205" i="13" s="1"/>
  <c r="CS209" i="13" s="1"/>
  <c r="DF221" i="13"/>
  <c r="DF225" i="13" s="1"/>
  <c r="BN221" i="13"/>
  <c r="BN225" i="13" s="1"/>
  <c r="AQ149" i="13"/>
  <c r="AQ156" i="13" s="1"/>
  <c r="CK149" i="13"/>
  <c r="CK156" i="13"/>
  <c r="P149" i="13"/>
  <c r="P156" i="13" s="1"/>
  <c r="AK149" i="13"/>
  <c r="AK156" i="13"/>
  <c r="CW149" i="13"/>
  <c r="CW156" i="13" s="1"/>
  <c r="DT149" i="13"/>
  <c r="DT156" i="13" s="1"/>
  <c r="EK149" i="13"/>
  <c r="EK156" i="13" s="1"/>
  <c r="CN149" i="13"/>
  <c r="CN156" i="13" s="1"/>
  <c r="U149" i="13"/>
  <c r="U156" i="13" s="1"/>
  <c r="BT149" i="13"/>
  <c r="BT156" i="13"/>
  <c r="BV149" i="13"/>
  <c r="BV156" i="13" s="1"/>
  <c r="EF201" i="13"/>
  <c r="EF205" i="13" s="1"/>
  <c r="EF209" i="13" s="1"/>
  <c r="BQ221" i="13"/>
  <c r="BQ225" i="13" s="1"/>
  <c r="DD201" i="13"/>
  <c r="DD205" i="13" s="1"/>
  <c r="DD209" i="13" s="1"/>
  <c r="CT221" i="13"/>
  <c r="CT225" i="13" s="1"/>
  <c r="DE221" i="13"/>
  <c r="DE225" i="13" s="1"/>
  <c r="DR221" i="13"/>
  <c r="DR225" i="13" s="1"/>
  <c r="AS221" i="13"/>
  <c r="AS225" i="13" s="1"/>
  <c r="CS221" i="13"/>
  <c r="CS225" i="13" s="1"/>
  <c r="CX149" i="13"/>
  <c r="CX156" i="13" s="1"/>
  <c r="Z149" i="13"/>
  <c r="Z156" i="13" s="1"/>
  <c r="AD149" i="13"/>
  <c r="AD156" i="13" s="1"/>
  <c r="BL149" i="13"/>
  <c r="BL156" i="13" s="1"/>
  <c r="AE149" i="13"/>
  <c r="AE156" i="13"/>
  <c r="BJ149" i="13"/>
  <c r="BJ156" i="13" s="1"/>
  <c r="X201" i="13"/>
  <c r="X205" i="13" s="1"/>
  <c r="X209" i="13" s="1"/>
  <c r="AY221" i="13"/>
  <c r="AY225" i="13" s="1"/>
  <c r="AX201" i="13"/>
  <c r="AX205" i="13" s="1"/>
  <c r="AX209" i="13" s="1"/>
  <c r="DD221" i="13"/>
  <c r="DD225" i="13" s="1"/>
  <c r="DL201" i="13"/>
  <c r="DL205" i="13" s="1"/>
  <c r="DL209" i="13" s="1"/>
  <c r="AZ221" i="13"/>
  <c r="AZ225" i="13" s="1"/>
  <c r="BO221" i="13"/>
  <c r="BO225" i="13" s="1"/>
  <c r="DE149" i="13"/>
  <c r="DE156" i="13" s="1"/>
  <c r="DQ149" i="13"/>
  <c r="DQ156" i="13" s="1"/>
  <c r="CR149" i="13"/>
  <c r="CR156" i="13" s="1"/>
  <c r="DL149" i="13"/>
  <c r="DL156" i="13" s="1"/>
  <c r="AF149" i="13"/>
  <c r="AF156" i="13"/>
  <c r="DM149" i="13"/>
  <c r="DM156" i="13" s="1"/>
  <c r="DY149" i="13"/>
  <c r="DY156" i="13"/>
  <c r="EH149" i="13"/>
  <c r="EH156" i="13" s="1"/>
  <c r="EL149" i="13"/>
  <c r="EL156" i="13" s="1"/>
  <c r="DD149" i="13"/>
  <c r="DD156" i="13" s="1"/>
  <c r="Q149" i="13"/>
  <c r="Q156" i="13" s="1"/>
  <c r="DH201" i="13"/>
  <c r="DH205" i="13" s="1"/>
  <c r="DH209" i="13" s="1"/>
  <c r="DM201" i="13"/>
  <c r="DM205" i="13" s="1"/>
  <c r="DM209" i="13" s="1"/>
  <c r="EE221" i="13"/>
  <c r="EE225" i="13" s="1"/>
  <c r="BV201" i="13"/>
  <c r="BV205" i="13" s="1"/>
  <c r="BV209" i="13" s="1"/>
  <c r="BP221" i="13"/>
  <c r="BP225" i="13" s="1"/>
  <c r="CD201" i="13"/>
  <c r="CD205" i="13" s="1"/>
  <c r="CD209" i="13" s="1"/>
  <c r="CE201" i="13"/>
  <c r="CE205" i="13" s="1"/>
  <c r="CE209" i="13" s="1"/>
  <c r="AH149" i="13"/>
  <c r="AH156" i="13"/>
  <c r="DI149" i="13"/>
  <c r="DI156" i="13" s="1"/>
  <c r="DK149" i="13"/>
  <c r="DK156" i="13" s="1"/>
  <c r="AC149" i="13"/>
  <c r="AC156" i="13" s="1"/>
  <c r="AT149" i="13"/>
  <c r="AT156" i="13" s="1"/>
  <c r="DJ149" i="13"/>
  <c r="DJ156" i="13" s="1"/>
  <c r="BZ201" i="13"/>
  <c r="BZ205" i="13" s="1"/>
  <c r="BZ209" i="13" s="1"/>
  <c r="AA221" i="13"/>
  <c r="AA225" i="13" s="1"/>
  <c r="CV221" i="13"/>
  <c r="CV225" i="13" s="1"/>
  <c r="EC201" i="13"/>
  <c r="EC205" i="13" s="1"/>
  <c r="EC209" i="13" s="1"/>
  <c r="CB221" i="13"/>
  <c r="CB225" i="13" s="1"/>
  <c r="V221" i="13"/>
  <c r="V225" i="13" s="1"/>
  <c r="EB149" i="13"/>
  <c r="EB156" i="13" s="1"/>
  <c r="R149" i="13"/>
  <c r="R156" i="13" s="1"/>
  <c r="CI149" i="13"/>
  <c r="CI156" i="13" s="1"/>
  <c r="EJ149" i="13"/>
  <c r="EJ156" i="13" s="1"/>
  <c r="CF149" i="13"/>
  <c r="CF156" i="13" s="1"/>
  <c r="EE149" i="13"/>
  <c r="EE156" i="13"/>
  <c r="CP149" i="13"/>
  <c r="CP156" i="13" s="1"/>
  <c r="CZ149" i="13"/>
  <c r="CZ156" i="13"/>
  <c r="CJ149" i="13"/>
  <c r="CJ156" i="13" s="1"/>
  <c r="CG149" i="13"/>
  <c r="CG156" i="13" s="1"/>
  <c r="AA149" i="13"/>
  <c r="AA156" i="13" s="1"/>
  <c r="N221" i="13"/>
  <c r="N225" i="13" s="1"/>
  <c r="AT221" i="13"/>
  <c r="AT225" i="13" s="1"/>
  <c r="BJ201" i="13"/>
  <c r="BJ205" i="13" s="1"/>
  <c r="BJ209" i="13" s="1"/>
  <c r="DO201" i="13"/>
  <c r="DO205" i="13" s="1"/>
  <c r="DO209" i="13" s="1"/>
  <c r="CZ201" i="13"/>
  <c r="CZ205" i="13" s="1"/>
  <c r="CZ209" i="13" s="1"/>
  <c r="DU221" i="13"/>
  <c r="DU225" i="13" s="1"/>
  <c r="BY221" i="13"/>
  <c r="BY225" i="13" s="1"/>
  <c r="DA201" i="13"/>
  <c r="DA205" i="13" s="1"/>
  <c r="DA209" i="13" s="1"/>
  <c r="EG149" i="13"/>
  <c r="EG156" i="13"/>
  <c r="DG149" i="13"/>
  <c r="DG156" i="13"/>
  <c r="EI149" i="13"/>
  <c r="EI156" i="13"/>
  <c r="BP149" i="13"/>
  <c r="BP156" i="13"/>
  <c r="CQ149" i="13"/>
  <c r="CQ156" i="13"/>
  <c r="CV149" i="13"/>
  <c r="CV156" i="13"/>
  <c r="DT201" i="13"/>
  <c r="DT205" i="13" s="1"/>
  <c r="DT209" i="13" s="1"/>
  <c r="L149" i="13"/>
  <c r="L156" i="13" s="1"/>
  <c r="DH149" i="13"/>
  <c r="DH156" i="13"/>
  <c r="AV149" i="13"/>
  <c r="AV156" i="13"/>
  <c r="BM149" i="13"/>
  <c r="BM156" i="13"/>
  <c r="AT201" i="13"/>
  <c r="AT205" i="13" s="1"/>
  <c r="AT209" i="13" s="1"/>
  <c r="CK201" i="13"/>
  <c r="CK205" i="13" s="1"/>
  <c r="CK209" i="13" s="1"/>
  <c r="X221" i="13"/>
  <c r="X225" i="13" s="1"/>
  <c r="AX149" i="13"/>
  <c r="AX156" i="13" s="1"/>
  <c r="Q150" i="13"/>
  <c r="H150" i="13"/>
  <c r="BL201" i="13"/>
  <c r="BL205" i="13" s="1"/>
  <c r="BL209" i="13" s="1"/>
  <c r="CH149" i="13"/>
  <c r="CH156" i="13"/>
  <c r="CT201" i="13"/>
  <c r="CT205" i="13" s="1"/>
  <c r="CT209" i="13" s="1"/>
  <c r="AI149" i="13"/>
  <c r="AI156" i="13"/>
  <c r="DB221" i="13"/>
  <c r="DB225" i="13" s="1"/>
  <c r="BZ149" i="13"/>
  <c r="BZ156" i="13"/>
  <c r="AZ201" i="13"/>
  <c r="AZ205" i="13" s="1"/>
  <c r="AZ209" i="13" s="1"/>
  <c r="EA149" i="13"/>
  <c r="EA156" i="13"/>
  <c r="H49" i="13"/>
  <c r="DS149" i="13"/>
  <c r="DS156" i="13" s="1"/>
  <c r="BG149" i="13"/>
  <c r="BG156" i="13" s="1"/>
  <c r="J11" i="13"/>
  <c r="J9" i="13" l="1"/>
  <c r="CW205" i="13"/>
  <c r="CW209" i="13" s="1"/>
  <c r="CW146" i="13"/>
  <c r="H149" i="13"/>
  <c r="BQ187" i="13"/>
  <c r="BQ160" i="13"/>
  <c r="BQ164" i="13" s="1"/>
  <c r="EB160" i="13"/>
  <c r="EB164" i="13" s="1"/>
  <c r="EB187" i="13"/>
  <c r="EE187" i="13"/>
  <c r="EE160" i="13"/>
  <c r="EE164" i="13" s="1"/>
  <c r="CM187" i="13"/>
  <c r="CM160" i="13"/>
  <c r="CM164" i="13" s="1"/>
  <c r="H53" i="13"/>
  <c r="Y146" i="13"/>
  <c r="Y183" i="13"/>
  <c r="H55" i="13"/>
  <c r="CS146" i="13"/>
  <c r="W146" i="13"/>
  <c r="W183" i="13"/>
  <c r="CH146" i="13"/>
  <c r="CC187" i="13"/>
  <c r="CC160" i="13"/>
  <c r="CC164" i="13" s="1"/>
  <c r="EJ146" i="13"/>
  <c r="DT146" i="13"/>
  <c r="L146" i="13"/>
  <c r="DV146" i="13"/>
  <c r="CW187" i="13"/>
  <c r="CW160" i="13"/>
  <c r="CW164" i="13" s="1"/>
  <c r="AM146" i="13"/>
  <c r="BE187" i="13"/>
  <c r="BE160" i="13"/>
  <c r="BE164" i="13" s="1"/>
  <c r="CR187" i="13"/>
  <c r="CR160" i="13"/>
  <c r="CR164" i="13" s="1"/>
  <c r="BK146" i="13"/>
  <c r="AG146" i="13"/>
  <c r="DQ146" i="13"/>
  <c r="BB183" i="13"/>
  <c r="BB146" i="13"/>
  <c r="CF146" i="13"/>
  <c r="CF183" i="13"/>
  <c r="CX146" i="13"/>
  <c r="CY187" i="13"/>
  <c r="CY160" i="13"/>
  <c r="CY164" i="13" s="1"/>
  <c r="H157" i="13"/>
  <c r="H156" i="13"/>
  <c r="DK146" i="13"/>
  <c r="BH146" i="13"/>
  <c r="EK160" i="13"/>
  <c r="EK164" i="13" s="1"/>
  <c r="CQ187" i="13"/>
  <c r="CQ160" i="13"/>
  <c r="CQ164" i="13" s="1"/>
  <c r="DD146" i="13"/>
  <c r="DS187" i="13"/>
  <c r="DS160" i="13"/>
  <c r="DS164" i="13" s="1"/>
  <c r="EE146" i="13"/>
  <c r="AB183" i="13"/>
  <c r="AB146" i="13"/>
  <c r="AN146" i="13"/>
  <c r="BP146" i="13"/>
  <c r="DR146" i="13"/>
  <c r="AC187" i="13"/>
  <c r="AC160" i="13"/>
  <c r="AC164" i="13" s="1"/>
  <c r="EK146" i="13"/>
  <c r="DJ146" i="13"/>
  <c r="DC146" i="13"/>
  <c r="AV146" i="13"/>
  <c r="BY146" i="13"/>
  <c r="R146" i="13"/>
  <c r="CL146" i="13"/>
  <c r="BU146" i="13"/>
  <c r="BU183" i="13"/>
  <c r="CZ146" i="13"/>
  <c r="DZ187" i="13"/>
  <c r="DZ160" i="13"/>
  <c r="DZ164" i="13" s="1"/>
  <c r="EL146" i="13"/>
  <c r="BD183" i="13"/>
  <c r="EI146" i="13"/>
  <c r="EI183" i="13"/>
  <c r="T146" i="13"/>
  <c r="T183" i="13"/>
  <c r="DI146" i="13"/>
  <c r="CR146" i="13"/>
  <c r="DW146" i="13"/>
  <c r="AA146" i="13"/>
  <c r="BL146" i="13"/>
  <c r="DX146" i="13"/>
  <c r="AP160" i="13"/>
  <c r="AP164" i="13" s="1"/>
  <c r="CU146" i="13"/>
  <c r="CU183" i="13"/>
  <c r="AD183" i="13"/>
  <c r="AD146" i="13"/>
  <c r="ED187" i="13"/>
  <c r="ED160" i="13"/>
  <c r="ED164" i="13" s="1"/>
  <c r="DG187" i="13"/>
  <c r="DG160" i="13"/>
  <c r="DG164" i="13" s="1"/>
  <c r="DP187" i="13"/>
  <c r="DP160" i="13"/>
  <c r="DP164" i="13" s="1"/>
  <c r="EA187" i="13"/>
  <c r="EA160" i="13"/>
  <c r="EA164" i="13" s="1"/>
  <c r="BN146" i="13"/>
  <c r="AP146" i="13"/>
  <c r="DB187" i="13"/>
  <c r="DB160" i="13"/>
  <c r="DB164" i="13" s="1"/>
  <c r="AW187" i="13"/>
  <c r="AW160" i="13"/>
  <c r="AW164" i="13" s="1"/>
  <c r="BV146" i="13"/>
  <c r="DL183" i="13"/>
  <c r="DL146" i="13"/>
  <c r="BS183" i="13"/>
  <c r="BS146" i="13"/>
  <c r="DN146" i="13"/>
  <c r="DN183" i="13"/>
  <c r="BC183" i="13"/>
  <c r="BC146" i="13"/>
  <c r="AL146" i="13"/>
  <c r="EH146" i="13"/>
  <c r="K146" i="13"/>
  <c r="EG187" i="13"/>
  <c r="EG160" i="13"/>
  <c r="EG164" i="13" s="1"/>
  <c r="CT146" i="13"/>
  <c r="BQ146" i="13"/>
  <c r="BJ146" i="13"/>
  <c r="BJ183" i="13"/>
  <c r="CM146" i="13"/>
  <c r="AJ187" i="13"/>
  <c r="AJ160" i="13"/>
  <c r="AJ164" i="13" s="1"/>
  <c r="CI187" i="13"/>
  <c r="CI160" i="13"/>
  <c r="CI164" i="13" s="1"/>
  <c r="CJ146" i="13"/>
  <c r="DH187" i="13"/>
  <c r="DH160" i="13"/>
  <c r="DH164" i="13" s="1"/>
  <c r="AY146" i="13"/>
  <c r="H163" i="13"/>
  <c r="U183" i="13"/>
  <c r="U146" i="13"/>
  <c r="BA146" i="13"/>
  <c r="AT187" i="13"/>
  <c r="AT160" i="13"/>
  <c r="AT164" i="13" s="1"/>
  <c r="AZ187" i="13"/>
  <c r="AZ160" i="13"/>
  <c r="AZ164" i="13" s="1"/>
  <c r="K187" i="13"/>
  <c r="K160" i="13"/>
  <c r="K164" i="13" s="1"/>
  <c r="AH146" i="13"/>
  <c r="AU146" i="13"/>
  <c r="AU183" i="13"/>
  <c r="DF160" i="13"/>
  <c r="DF164" i="13" s="1"/>
  <c r="DF187" i="13"/>
  <c r="V146" i="13"/>
  <c r="AR146" i="13"/>
  <c r="P146" i="13"/>
  <c r="CK146" i="13"/>
  <c r="Z187" i="13"/>
  <c r="Z160" i="13"/>
  <c r="Z164" i="13" s="1"/>
  <c r="CD187" i="13"/>
  <c r="CD160" i="13"/>
  <c r="CD164" i="13" s="1"/>
  <c r="AI146" i="13"/>
  <c r="BR183" i="13"/>
  <c r="BR146" i="13"/>
  <c r="M146" i="13"/>
  <c r="DA187" i="13"/>
  <c r="DA160" i="13"/>
  <c r="DA164" i="13" s="1"/>
  <c r="CE146" i="13"/>
  <c r="DB146" i="13"/>
  <c r="BF146" i="13"/>
  <c r="CO187" i="13"/>
  <c r="CO160" i="13"/>
  <c r="CO164" i="13" s="1"/>
  <c r="AE146" i="13"/>
  <c r="AE183" i="13"/>
  <c r="EB146" i="13"/>
  <c r="DO146" i="13"/>
  <c r="CV146" i="13"/>
  <c r="DU146" i="13"/>
  <c r="BT146" i="13"/>
  <c r="DE187" i="13"/>
  <c r="DE160" i="13"/>
  <c r="DE164" i="13" s="1"/>
  <c r="AQ187" i="13"/>
  <c r="AQ160" i="13"/>
  <c r="AQ164" i="13" s="1"/>
  <c r="S160" i="13"/>
  <c r="S164" i="13" s="1"/>
  <c r="BG146" i="13"/>
  <c r="BW187" i="13"/>
  <c r="BW160" i="13"/>
  <c r="BW164" i="13" s="1"/>
  <c r="AO146" i="13"/>
  <c r="AO183" i="13"/>
  <c r="O187" i="13"/>
  <c r="O160" i="13"/>
  <c r="O164" i="13" s="1"/>
  <c r="N187" i="13"/>
  <c r="N160" i="13"/>
  <c r="N164" i="13" s="1"/>
  <c r="AS187" i="13"/>
  <c r="AS160" i="13"/>
  <c r="AS164" i="13" s="1"/>
  <c r="BX146" i="13"/>
  <c r="H159" i="13"/>
  <c r="X146" i="13"/>
  <c r="S146" i="13"/>
  <c r="Q146" i="13"/>
  <c r="CG146" i="13"/>
  <c r="BZ146" i="13"/>
  <c r="BO146" i="13"/>
  <c r="J187" i="13"/>
  <c r="AF187" i="13"/>
  <c r="AF160" i="13"/>
  <c r="AF164" i="13" s="1"/>
  <c r="CN146" i="13"/>
  <c r="CB160" i="13"/>
  <c r="CB164" i="13" s="1"/>
  <c r="CB187" i="13"/>
  <c r="DM146" i="13"/>
  <c r="EC187" i="13"/>
  <c r="EC160" i="13"/>
  <c r="EC164" i="13" s="1"/>
  <c r="CP183" i="13"/>
  <c r="CP146" i="13"/>
  <c r="CS183" i="13"/>
  <c r="AK146" i="13"/>
  <c r="AK183" i="13"/>
  <c r="CA146" i="13"/>
  <c r="BM146" i="13"/>
  <c r="EF187" i="13"/>
  <c r="EF160" i="13"/>
  <c r="EF164" i="13" s="1"/>
  <c r="AX187" i="13"/>
  <c r="AX160" i="13"/>
  <c r="AX164" i="13" s="1"/>
  <c r="DY146" i="13"/>
  <c r="BI146" i="13"/>
  <c r="CH183" i="13"/>
  <c r="AL183" i="13"/>
  <c r="AF146" i="13"/>
  <c r="DD183" i="13"/>
  <c r="CN183" i="13"/>
  <c r="AC146" i="13"/>
  <c r="BH183" i="13"/>
  <c r="AS146" i="13"/>
  <c r="CL183" i="13"/>
  <c r="DE146" i="13"/>
  <c r="BW146" i="13"/>
  <c r="DU160" i="13"/>
  <c r="DU164" i="13" s="1"/>
  <c r="DT183" i="13"/>
  <c r="L160" i="13"/>
  <c r="L164" i="13" s="1"/>
  <c r="DW160" i="13"/>
  <c r="DW164" i="13" s="1"/>
  <c r="AA183" i="13"/>
  <c r="AY183" i="13"/>
  <c r="X183" i="13"/>
  <c r="BZ183" i="13"/>
  <c r="DS146" i="13"/>
  <c r="BE146" i="13"/>
  <c r="DK183" i="13"/>
  <c r="CT183" i="13"/>
  <c r="DA146" i="13"/>
  <c r="EL183" i="13"/>
  <c r="CY146" i="13"/>
  <c r="DJ160" i="13"/>
  <c r="DJ164" i="13" s="1"/>
  <c r="AT146" i="13"/>
  <c r="CQ146" i="13"/>
  <c r="O146" i="13"/>
  <c r="N146" i="13"/>
  <c r="H182" i="13"/>
  <c r="DQ183" i="13"/>
  <c r="Z146" i="13"/>
  <c r="AN183" i="13"/>
  <c r="BI183" i="13"/>
  <c r="CA183" i="13"/>
  <c r="DI183" i="13"/>
  <c r="P183" i="13"/>
  <c r="BT183" i="13"/>
  <c r="J146" i="13"/>
  <c r="AM183" i="13"/>
  <c r="DX183" i="13"/>
  <c r="BK183" i="13"/>
  <c r="DB159" i="13"/>
  <c r="R183" i="13"/>
  <c r="CG183" i="13"/>
  <c r="DM183" i="13"/>
  <c r="AP187" i="13"/>
  <c r="S187" i="13"/>
  <c r="DR183" i="13"/>
  <c r="Q183" i="13"/>
  <c r="BV183" i="13"/>
  <c r="ED146" i="13"/>
  <c r="EC146" i="13"/>
  <c r="AX146" i="13"/>
  <c r="H204" i="13"/>
  <c r="H224" i="13"/>
  <c r="EJ183" i="13"/>
  <c r="CE183" i="13"/>
  <c r="BN183" i="13"/>
  <c r="CV183" i="13"/>
  <c r="BA183" i="13"/>
  <c r="BX183" i="13"/>
  <c r="BL183" i="13"/>
  <c r="AH183" i="13"/>
  <c r="EA146" i="13"/>
  <c r="M183" i="13"/>
  <c r="H184" i="13" s="1"/>
  <c r="DZ146" i="13"/>
  <c r="DG146" i="13"/>
  <c r="DP146" i="13"/>
  <c r="EG146" i="13"/>
  <c r="CI146" i="13"/>
  <c r="AI183" i="13"/>
  <c r="AQ146" i="13"/>
  <c r="H201" i="13"/>
  <c r="H179" i="13"/>
  <c r="H180" i="13"/>
  <c r="BP183" i="13"/>
  <c r="AV183" i="13"/>
  <c r="DH146" i="13"/>
  <c r="CX183" i="13"/>
  <c r="AR183" i="13"/>
  <c r="CJ160" i="13"/>
  <c r="CJ164" i="13" s="1"/>
  <c r="AG183" i="13"/>
  <c r="V183" i="13"/>
  <c r="CC146" i="13"/>
  <c r="BF183" i="13"/>
  <c r="CK183" i="13"/>
  <c r="EK187" i="13"/>
  <c r="BY183" i="13"/>
  <c r="BG183" i="13"/>
  <c r="BD146" i="13"/>
  <c r="BO160" i="13"/>
  <c r="BO164" i="13" s="1"/>
  <c r="AJ146" i="13"/>
  <c r="H186" i="13"/>
  <c r="DO183" i="13"/>
  <c r="AZ146" i="13"/>
  <c r="CD146" i="13"/>
  <c r="CB146" i="13"/>
  <c r="BM183" i="13"/>
  <c r="DF146" i="13"/>
  <c r="AW146" i="13"/>
  <c r="DY183" i="13"/>
  <c r="DC183" i="13"/>
  <c r="DV183" i="13"/>
  <c r="EF146" i="13"/>
  <c r="CZ183" i="13"/>
  <c r="CO146" i="13"/>
  <c r="H221" i="13"/>
  <c r="EH183" i="13"/>
  <c r="H222" i="13"/>
  <c r="J225" i="13"/>
  <c r="J205" i="13"/>
  <c r="J160" i="13" s="1"/>
  <c r="J164" i="13" l="1"/>
  <c r="DO187" i="13"/>
  <c r="DO160" i="13"/>
  <c r="DO164" i="13" s="1"/>
  <c r="BL187" i="13"/>
  <c r="BL160" i="13"/>
  <c r="BL164" i="13" s="1"/>
  <c r="DQ187" i="13"/>
  <c r="DQ160" i="13"/>
  <c r="DQ164" i="13" s="1"/>
  <c r="AY187" i="13"/>
  <c r="AY160" i="13"/>
  <c r="AY164" i="13" s="1"/>
  <c r="CH187" i="13"/>
  <c r="CH160" i="13"/>
  <c r="CH164" i="13" s="1"/>
  <c r="AA187" i="13"/>
  <c r="AA160" i="13"/>
  <c r="AA164" i="13" s="1"/>
  <c r="EI187" i="13"/>
  <c r="EI160" i="13"/>
  <c r="EI164" i="13" s="1"/>
  <c r="CV187" i="13"/>
  <c r="CV160" i="13"/>
  <c r="CV164" i="13" s="1"/>
  <c r="R187" i="13"/>
  <c r="R160" i="13"/>
  <c r="R164" i="13" s="1"/>
  <c r="BD187" i="13"/>
  <c r="BD160" i="13"/>
  <c r="BD164" i="13" s="1"/>
  <c r="BX187" i="13"/>
  <c r="BX160" i="13"/>
  <c r="BX164" i="13" s="1"/>
  <c r="BP187" i="13"/>
  <c r="BP160" i="13"/>
  <c r="BP164" i="13" s="1"/>
  <c r="BN187" i="13"/>
  <c r="BN160" i="13"/>
  <c r="BN164" i="13" s="1"/>
  <c r="DT187" i="13"/>
  <c r="DT160" i="13"/>
  <c r="DT164" i="13" s="1"/>
  <c r="BJ187" i="13"/>
  <c r="BJ160" i="13"/>
  <c r="BJ164" i="13" s="1"/>
  <c r="DL187" i="13"/>
  <c r="DL160" i="13"/>
  <c r="DL164" i="13" s="1"/>
  <c r="AV187" i="13"/>
  <c r="AV160" i="13"/>
  <c r="AV164" i="13" s="1"/>
  <c r="CE187" i="13"/>
  <c r="CE160" i="13"/>
  <c r="CE164" i="13" s="1"/>
  <c r="BK187" i="13"/>
  <c r="BK160" i="13"/>
  <c r="BK164" i="13" s="1"/>
  <c r="AD187" i="13"/>
  <c r="AD160" i="13"/>
  <c r="AD164" i="13" s="1"/>
  <c r="BY187" i="13"/>
  <c r="BY160" i="13"/>
  <c r="BY164" i="13" s="1"/>
  <c r="EJ187" i="13"/>
  <c r="EJ160" i="13"/>
  <c r="EJ164" i="13" s="1"/>
  <c r="DX187" i="13"/>
  <c r="DX160" i="13"/>
  <c r="DX164" i="13" s="1"/>
  <c r="CU187" i="13"/>
  <c r="CU160" i="13"/>
  <c r="CU164" i="13" s="1"/>
  <c r="CF187" i="13"/>
  <c r="CF160" i="13"/>
  <c r="CF164" i="13" s="1"/>
  <c r="EH187" i="13"/>
  <c r="EH160" i="13"/>
  <c r="EH164" i="13" s="1"/>
  <c r="DV187" i="13"/>
  <c r="DV160" i="13"/>
  <c r="DV164" i="13" s="1"/>
  <c r="AI187" i="13"/>
  <c r="AI160" i="13"/>
  <c r="AI164" i="13" s="1"/>
  <c r="AM187" i="13"/>
  <c r="AM160" i="13"/>
  <c r="AM164" i="13" s="1"/>
  <c r="H183" i="13"/>
  <c r="AE187" i="13"/>
  <c r="AE160" i="13"/>
  <c r="AE164" i="13" s="1"/>
  <c r="AB187" i="13"/>
  <c r="AB160" i="13"/>
  <c r="AB164" i="13" s="1"/>
  <c r="BS187" i="13"/>
  <c r="BS160" i="13"/>
  <c r="BS164" i="13" s="1"/>
  <c r="CK187" i="13"/>
  <c r="CK160" i="13"/>
  <c r="CK164" i="13" s="1"/>
  <c r="H146" i="13"/>
  <c r="EL187" i="13"/>
  <c r="EL160" i="13"/>
  <c r="EL164" i="13" s="1"/>
  <c r="CL187" i="13"/>
  <c r="CL160" i="13"/>
  <c r="CL164" i="13" s="1"/>
  <c r="AO187" i="13"/>
  <c r="AO160" i="13"/>
  <c r="AO164" i="13" s="1"/>
  <c r="BU187" i="13"/>
  <c r="BU160" i="13"/>
  <c r="BU164" i="13" s="1"/>
  <c r="H226" i="13"/>
  <c r="H225" i="13"/>
  <c r="DY187" i="13"/>
  <c r="DY160" i="13"/>
  <c r="DY164" i="13" s="1"/>
  <c r="BF187" i="13"/>
  <c r="BF160" i="13"/>
  <c r="BF164" i="13" s="1"/>
  <c r="BT187" i="13"/>
  <c r="BT160" i="13"/>
  <c r="BT164" i="13" s="1"/>
  <c r="AK187" i="13"/>
  <c r="AK160" i="13"/>
  <c r="AK164" i="13" s="1"/>
  <c r="U160" i="13"/>
  <c r="U164" i="13" s="1"/>
  <c r="U187" i="13"/>
  <c r="BB187" i="13"/>
  <c r="BB160" i="13"/>
  <c r="BB164" i="13" s="1"/>
  <c r="BA187" i="13"/>
  <c r="BA160" i="13"/>
  <c r="BA164" i="13" s="1"/>
  <c r="P187" i="13"/>
  <c r="P160" i="13"/>
  <c r="P164" i="13" s="1"/>
  <c r="CT187" i="13"/>
  <c r="CT160" i="13"/>
  <c r="CT164" i="13" s="1"/>
  <c r="BH160" i="13"/>
  <c r="BH164" i="13" s="1"/>
  <c r="BH187" i="13"/>
  <c r="BG187" i="13"/>
  <c r="BG160" i="13"/>
  <c r="BG164" i="13" s="1"/>
  <c r="DI187" i="13"/>
  <c r="DI160" i="13"/>
  <c r="DI164" i="13" s="1"/>
  <c r="DK187" i="13"/>
  <c r="DK160" i="13"/>
  <c r="DK164" i="13" s="1"/>
  <c r="CS187" i="13"/>
  <c r="CS160" i="13"/>
  <c r="CS164" i="13" s="1"/>
  <c r="W187" i="13"/>
  <c r="W160" i="13"/>
  <c r="W164" i="13" s="1"/>
  <c r="DM187" i="13"/>
  <c r="DM160" i="13"/>
  <c r="DM164" i="13" s="1"/>
  <c r="CG187" i="13"/>
  <c r="CG160" i="13"/>
  <c r="CG164" i="13" s="1"/>
  <c r="BR187" i="13"/>
  <c r="BR160" i="13"/>
  <c r="BR164" i="13" s="1"/>
  <c r="DC160" i="13"/>
  <c r="DC164" i="13" s="1"/>
  <c r="DC187" i="13"/>
  <c r="BV187" i="13"/>
  <c r="BV160" i="13"/>
  <c r="BV164" i="13" s="1"/>
  <c r="CA187" i="13"/>
  <c r="CA160" i="13"/>
  <c r="CA164" i="13" s="1"/>
  <c r="CN187" i="13"/>
  <c r="CN160" i="13"/>
  <c r="CN164" i="13" s="1"/>
  <c r="CZ187" i="13"/>
  <c r="CZ160" i="13"/>
  <c r="CZ164" i="13" s="1"/>
  <c r="AG187" i="13"/>
  <c r="AG160" i="13"/>
  <c r="AG164" i="13" s="1"/>
  <c r="M187" i="13"/>
  <c r="M160" i="13"/>
  <c r="M164" i="13" s="1"/>
  <c r="Q187" i="13"/>
  <c r="Q160" i="13"/>
  <c r="Q164" i="13" s="1"/>
  <c r="BI187" i="13"/>
  <c r="BI160" i="13"/>
  <c r="BI164" i="13" s="1"/>
  <c r="DD187" i="13"/>
  <c r="DD160" i="13"/>
  <c r="DD164" i="13" s="1"/>
  <c r="CP187" i="13"/>
  <c r="CP160" i="13"/>
  <c r="CP164" i="13" s="1"/>
  <c r="BM187" i="13"/>
  <c r="BM160" i="13"/>
  <c r="BM164" i="13" s="1"/>
  <c r="DR187" i="13"/>
  <c r="DR160" i="13"/>
  <c r="DR164" i="13" s="1"/>
  <c r="AN187" i="13"/>
  <c r="AN160" i="13"/>
  <c r="AN164" i="13" s="1"/>
  <c r="BZ187" i="13"/>
  <c r="BZ160" i="13"/>
  <c r="BZ164" i="13" s="1"/>
  <c r="AU187" i="13"/>
  <c r="AU160" i="13"/>
  <c r="AU164" i="13" s="1"/>
  <c r="BC187" i="13"/>
  <c r="BC160" i="13"/>
  <c r="BC164" i="13" s="1"/>
  <c r="J116" i="13"/>
  <c r="V160" i="13"/>
  <c r="V164" i="13" s="1"/>
  <c r="V187" i="13"/>
  <c r="AR160" i="13"/>
  <c r="AR164" i="13" s="1"/>
  <c r="AR187" i="13"/>
  <c r="J209" i="13"/>
  <c r="H209" i="13" s="1"/>
  <c r="H205" i="13"/>
  <c r="CX187" i="13"/>
  <c r="CX160" i="13"/>
  <c r="CX164" i="13" s="1"/>
  <c r="AH187" i="13"/>
  <c r="AH160" i="13"/>
  <c r="AH164" i="13" s="1"/>
  <c r="X187" i="13"/>
  <c r="X160" i="13"/>
  <c r="X164" i="13" s="1"/>
  <c r="AL187" i="13"/>
  <c r="AL160" i="13"/>
  <c r="AL164" i="13" s="1"/>
  <c r="DN187" i="13"/>
  <c r="DN160" i="13"/>
  <c r="DN164" i="13" s="1"/>
  <c r="T187" i="13"/>
  <c r="H188" i="13" s="1"/>
  <c r="T160" i="13"/>
  <c r="T164" i="13" s="1"/>
  <c r="Y187" i="13"/>
  <c r="Y160" i="13"/>
  <c r="Y164" i="13" s="1"/>
  <c r="J117" i="13" l="1"/>
  <c r="H187" i="13"/>
  <c r="H160" i="13"/>
  <c r="H161" i="13"/>
  <c r="H164" i="13"/>
  <c r="H165" i="13"/>
  <c r="J119" i="13" l="1"/>
  <c r="J127" i="13"/>
  <c r="J81" i="13" l="1"/>
  <c r="K128" i="13"/>
  <c r="J129" i="13"/>
  <c r="K134" i="13" l="1"/>
  <c r="K126" i="13"/>
  <c r="K94" i="13"/>
  <c r="J71" i="13"/>
  <c r="K83" i="13" l="1"/>
  <c r="K46" i="13"/>
  <c r="J69" i="13"/>
  <c r="J103" i="13" l="1"/>
  <c r="K20" i="13"/>
  <c r="J105" i="13" l="1"/>
  <c r="J107" i="13" l="1"/>
  <c r="K104" i="13"/>
  <c r="K137" i="13" l="1"/>
  <c r="K139" i="13" l="1"/>
  <c r="K140" i="13" l="1"/>
  <c r="K18" i="13" l="1"/>
  <c r="K11" i="13" l="1"/>
  <c r="K9" i="13" l="1"/>
  <c r="K116" i="13" l="1"/>
  <c r="K117" i="13" l="1"/>
  <c r="K119" i="13" l="1"/>
  <c r="K127" i="13"/>
  <c r="K81" i="13" l="1"/>
  <c r="L128" i="13"/>
  <c r="K129" i="13"/>
  <c r="L134" i="13" l="1"/>
  <c r="L126" i="13"/>
  <c r="L94" i="13"/>
  <c r="K71" i="13"/>
  <c r="K69" i="13" l="1"/>
  <c r="L83" i="13"/>
  <c r="L46" i="13"/>
  <c r="L20" i="13" l="1"/>
  <c r="K103" i="13"/>
  <c r="K105" i="13" l="1"/>
  <c r="K107" i="13" l="1"/>
  <c r="L104" i="13"/>
  <c r="L137" i="13" l="1"/>
  <c r="L139" i="13" l="1"/>
  <c r="L140" i="13" l="1"/>
  <c r="L18" i="13" l="1"/>
  <c r="L11" i="13" l="1"/>
  <c r="L9" i="13" l="1"/>
  <c r="L116" i="13" l="1"/>
  <c r="L117" i="13" l="1"/>
  <c r="L119" i="13" l="1"/>
  <c r="L127" i="13"/>
  <c r="L81" i="13" l="1"/>
  <c r="M128" i="13"/>
  <c r="L129" i="13"/>
  <c r="M134" i="13" l="1"/>
  <c r="M126" i="13"/>
  <c r="M94" i="13"/>
  <c r="L71" i="13"/>
  <c r="L69" i="13" l="1"/>
  <c r="M83" i="13"/>
  <c r="M46" i="13"/>
  <c r="M20" i="13" l="1"/>
  <c r="L103" i="13"/>
  <c r="L105" i="13" l="1"/>
  <c r="L107" i="13" l="1"/>
  <c r="M104" i="13"/>
  <c r="M137" i="13" l="1"/>
  <c r="M139" i="13" l="1"/>
  <c r="M140" i="13" l="1"/>
  <c r="M18" i="13" l="1"/>
  <c r="M11" i="13" l="1"/>
  <c r="M9" i="13" l="1"/>
  <c r="M116" i="13" l="1"/>
  <c r="M117" i="13" l="1"/>
  <c r="M119" i="13" l="1"/>
  <c r="M127" i="13"/>
  <c r="M81" i="13" l="1"/>
  <c r="N128" i="13"/>
  <c r="M129" i="13"/>
  <c r="N134" i="13" l="1"/>
  <c r="N126" i="13"/>
  <c r="N94" i="13"/>
  <c r="M71" i="13"/>
  <c r="M69" i="13" l="1"/>
  <c r="N83" i="13"/>
  <c r="N46" i="13"/>
  <c r="N20" i="13" l="1"/>
  <c r="M103" i="13"/>
  <c r="M105" i="13" l="1"/>
  <c r="M107" i="13" l="1"/>
  <c r="N104" i="13"/>
  <c r="N137" i="13" l="1"/>
  <c r="N139" i="13" l="1"/>
  <c r="N140" i="13" l="1"/>
  <c r="N18" i="13" l="1"/>
  <c r="N11" i="13" l="1"/>
  <c r="N9" i="13" s="1"/>
  <c r="N116" i="13" l="1"/>
  <c r="N117" i="13" l="1"/>
  <c r="N119" i="13" l="1"/>
  <c r="N127" i="13"/>
  <c r="N81" i="13" l="1"/>
  <c r="O128" i="13"/>
  <c r="N129" i="13"/>
  <c r="O134" i="13" l="1"/>
  <c r="O126" i="13"/>
  <c r="O94" i="13"/>
  <c r="N71" i="13"/>
  <c r="O83" i="13" l="1"/>
  <c r="N69" i="13"/>
  <c r="O46" i="13"/>
  <c r="N103" i="13" l="1"/>
  <c r="O20" i="13"/>
  <c r="N105" i="13" l="1"/>
  <c r="N107" i="13" l="1"/>
  <c r="O104" i="13"/>
  <c r="O137" i="13" l="1"/>
  <c r="O139" i="13" l="1"/>
  <c r="O140" i="13" l="1"/>
  <c r="O18" i="13" l="1"/>
  <c r="O11" i="13" l="1"/>
  <c r="O9" i="13" s="1"/>
  <c r="O116" i="13" l="1"/>
  <c r="O117" i="13" s="1"/>
  <c r="O119" i="13" l="1"/>
  <c r="O127" i="13"/>
  <c r="O81" i="13" l="1"/>
  <c r="O71" i="13" s="1"/>
  <c r="O69" i="13" s="1"/>
  <c r="O103" i="13" s="1"/>
  <c r="O105" i="13" s="1"/>
  <c r="P128" i="13"/>
  <c r="P94" i="13" s="1"/>
  <c r="P83" i="13" s="1"/>
  <c r="O129" i="13"/>
  <c r="P134" i="13" l="1"/>
  <c r="P46" i="13" s="1"/>
  <c r="P20" i="13" s="1"/>
  <c r="P126" i="13"/>
  <c r="O107" i="13"/>
  <c r="P104" i="13"/>
  <c r="P137" i="13" s="1"/>
  <c r="P139" i="13" s="1"/>
  <c r="P140" i="13" s="1"/>
  <c r="P18" i="13" s="1"/>
  <c r="P11" i="13" s="1"/>
  <c r="P9" i="13" s="1"/>
  <c r="P116" i="13" l="1"/>
  <c r="P117" i="13" s="1"/>
  <c r="P119" i="13" l="1"/>
  <c r="P127" i="13"/>
  <c r="P81" i="13" l="1"/>
  <c r="P71" i="13" s="1"/>
  <c r="P69" i="13" s="1"/>
  <c r="P103" i="13" s="1"/>
  <c r="P105" i="13" s="1"/>
  <c r="Q128" i="13"/>
  <c r="Q94" i="13" s="1"/>
  <c r="Q83" i="13" s="1"/>
  <c r="P129" i="13"/>
  <c r="Q134" i="13" l="1"/>
  <c r="Q46" i="13" s="1"/>
  <c r="Q20" i="13" s="1"/>
  <c r="Q126" i="13"/>
  <c r="P107" i="13"/>
  <c r="Q104" i="13"/>
  <c r="Q137" i="13" s="1"/>
  <c r="Q139" i="13" s="1"/>
  <c r="Q140" i="13" s="1"/>
  <c r="Q18" i="13" s="1"/>
  <c r="Q11" i="13" s="1"/>
  <c r="Q9" i="13" s="1"/>
  <c r="Q116" i="13" l="1"/>
  <c r="Q117" i="13" s="1"/>
  <c r="Q119" i="13" l="1"/>
  <c r="Q127" i="13"/>
  <c r="Q81" i="13" l="1"/>
  <c r="Q71" i="13" s="1"/>
  <c r="Q69" i="13" s="1"/>
  <c r="Q103" i="13" s="1"/>
  <c r="Q105" i="13" s="1"/>
  <c r="R128" i="13"/>
  <c r="R94" i="13" s="1"/>
  <c r="R83" i="13" s="1"/>
  <c r="Q129" i="13"/>
  <c r="R134" i="13" l="1"/>
  <c r="R46" i="13" s="1"/>
  <c r="R20" i="13" s="1"/>
  <c r="R126" i="13"/>
  <c r="Q107" i="13"/>
  <c r="R104" i="13"/>
  <c r="R137" i="13" s="1"/>
  <c r="R139" i="13" s="1"/>
  <c r="R140" i="13" s="1"/>
  <c r="R18" i="13" s="1"/>
  <c r="R11" i="13" s="1"/>
  <c r="R9" i="13" s="1"/>
  <c r="R116" i="13" l="1"/>
  <c r="R117" i="13" s="1"/>
  <c r="R119" i="13" l="1"/>
  <c r="R127" i="13"/>
  <c r="R81" i="13" l="1"/>
  <c r="R71" i="13" s="1"/>
  <c r="R69" i="13" s="1"/>
  <c r="R103" i="13" s="1"/>
  <c r="R105" i="13" s="1"/>
  <c r="S128" i="13"/>
  <c r="S94" i="13" s="1"/>
  <c r="S83" i="13" s="1"/>
  <c r="R129" i="13"/>
  <c r="S134" i="13" l="1"/>
  <c r="S46" i="13" s="1"/>
  <c r="S20" i="13" s="1"/>
  <c r="S126" i="13"/>
  <c r="R107" i="13"/>
  <c r="S104" i="13"/>
  <c r="S137" i="13" s="1"/>
  <c r="S139" i="13" s="1"/>
  <c r="S140" i="13" s="1"/>
  <c r="S18" i="13" s="1"/>
  <c r="S11" i="13" s="1"/>
  <c r="S9" i="13" s="1"/>
  <c r="S116" i="13" l="1"/>
  <c r="S117" i="13" s="1"/>
  <c r="S119" i="13" l="1"/>
  <c r="S127" i="13"/>
  <c r="S81" i="13" l="1"/>
  <c r="S71" i="13" s="1"/>
  <c r="S69" i="13" s="1"/>
  <c r="S103" i="13" s="1"/>
  <c r="S105" i="13" s="1"/>
  <c r="T128" i="13"/>
  <c r="T94" i="13" s="1"/>
  <c r="T83" i="13" s="1"/>
  <c r="S129" i="13"/>
  <c r="T134" i="13" l="1"/>
  <c r="T46" i="13" s="1"/>
  <c r="T20" i="13" s="1"/>
  <c r="T126" i="13"/>
  <c r="S107" i="13"/>
  <c r="T104" i="13"/>
  <c r="T137" i="13" s="1"/>
  <c r="T139" i="13" s="1"/>
  <c r="T140" i="13" s="1"/>
  <c r="T18" i="13" s="1"/>
  <c r="T11" i="13" s="1"/>
  <c r="T9" i="13" s="1"/>
  <c r="T116" i="13" l="1"/>
  <c r="T117" i="13" s="1"/>
  <c r="T119" i="13" l="1"/>
  <c r="T127" i="13"/>
  <c r="T81" i="13" l="1"/>
  <c r="T71" i="13" s="1"/>
  <c r="T69" i="13" s="1"/>
  <c r="T103" i="13" s="1"/>
  <c r="T105" i="13" s="1"/>
  <c r="U128" i="13"/>
  <c r="U94" i="13" s="1"/>
  <c r="U83" i="13" s="1"/>
  <c r="T129" i="13"/>
  <c r="U134" i="13" l="1"/>
  <c r="U46" i="13" s="1"/>
  <c r="U20" i="13" s="1"/>
  <c r="U126" i="13"/>
  <c r="U104" i="13"/>
  <c r="U137" i="13" s="1"/>
  <c r="U139" i="13" s="1"/>
  <c r="U140" i="13" s="1"/>
  <c r="U18" i="13" s="1"/>
  <c r="U11" i="13" s="1"/>
  <c r="U9" i="13" s="1"/>
  <c r="T107" i="13"/>
  <c r="U116" i="13" l="1"/>
  <c r="U117" i="13" s="1"/>
  <c r="U119" i="13" l="1"/>
  <c r="U127" i="13"/>
  <c r="U81" i="13" l="1"/>
  <c r="U71" i="13" s="1"/>
  <c r="U69" i="13" s="1"/>
  <c r="U103" i="13" s="1"/>
  <c r="U105" i="13" s="1"/>
  <c r="V128" i="13"/>
  <c r="V94" i="13" s="1"/>
  <c r="V83" i="13" s="1"/>
  <c r="U129" i="13"/>
  <c r="V134" i="13" l="1"/>
  <c r="V46" i="13" s="1"/>
  <c r="V20" i="13" s="1"/>
  <c r="V126" i="13"/>
  <c r="U107" i="13"/>
  <c r="V104" i="13"/>
  <c r="V137" i="13" s="1"/>
  <c r="V139" i="13" s="1"/>
  <c r="V140" i="13" s="1"/>
  <c r="V18" i="13" s="1"/>
  <c r="V11" i="13" s="1"/>
  <c r="V9" i="13" s="1"/>
  <c r="V116" i="13" l="1"/>
  <c r="V117" i="13" s="1"/>
  <c r="V119" i="13" l="1"/>
  <c r="V127" i="13"/>
  <c r="V81" i="13" l="1"/>
  <c r="V71" i="13" s="1"/>
  <c r="V69" i="13" s="1"/>
  <c r="V103" i="13" s="1"/>
  <c r="V105" i="13" s="1"/>
  <c r="W128" i="13"/>
  <c r="W94" i="13" s="1"/>
  <c r="W83" i="13" s="1"/>
  <c r="V129" i="13"/>
  <c r="W134" i="13" l="1"/>
  <c r="W46" i="13" s="1"/>
  <c r="W20" i="13" s="1"/>
  <c r="W126" i="13"/>
  <c r="V107" i="13"/>
  <c r="W104" i="13"/>
  <c r="W137" i="13" s="1"/>
  <c r="W139" i="13" s="1"/>
  <c r="W140" i="13" s="1"/>
  <c r="W18" i="13" s="1"/>
  <c r="W11" i="13" s="1"/>
  <c r="W9" i="13" s="1"/>
  <c r="W116" i="13" l="1"/>
  <c r="W117" i="13" s="1"/>
  <c r="W119" i="13" l="1"/>
  <c r="W127" i="13"/>
  <c r="W81" i="13" l="1"/>
  <c r="W71" i="13" s="1"/>
  <c r="W69" i="13" s="1"/>
  <c r="W103" i="13" s="1"/>
  <c r="W105" i="13" s="1"/>
  <c r="X128" i="13"/>
  <c r="X94" i="13" s="1"/>
  <c r="X83" i="13" s="1"/>
  <c r="W129" i="13"/>
  <c r="X134" i="13" l="1"/>
  <c r="X46" i="13" s="1"/>
  <c r="X20" i="13" s="1"/>
  <c r="X126" i="13"/>
  <c r="W107" i="13"/>
  <c r="X104" i="13"/>
  <c r="X137" i="13" s="1"/>
  <c r="X139" i="13" s="1"/>
  <c r="X140" i="13" s="1"/>
  <c r="X18" i="13" s="1"/>
  <c r="X11" i="13" s="1"/>
  <c r="X9" i="13" s="1"/>
  <c r="X116" i="13" l="1"/>
  <c r="X117" i="13" s="1"/>
  <c r="X119" i="13" l="1"/>
  <c r="X127" i="13"/>
  <c r="X81" i="13" l="1"/>
  <c r="X71" i="13" s="1"/>
  <c r="X69" i="13" s="1"/>
  <c r="X103" i="13" s="1"/>
  <c r="X105" i="13" s="1"/>
  <c r="Y128" i="13"/>
  <c r="Y94" i="13" s="1"/>
  <c r="Y83" i="13" s="1"/>
  <c r="X129" i="13"/>
  <c r="Y134" i="13" l="1"/>
  <c r="Y46" i="13" s="1"/>
  <c r="Y20" i="13" s="1"/>
  <c r="Y126" i="13"/>
  <c r="X107" i="13"/>
  <c r="Y104" i="13"/>
  <c r="Y137" i="13" s="1"/>
  <c r="Y139" i="13" s="1"/>
  <c r="Y140" i="13" s="1"/>
  <c r="Y18" i="13" s="1"/>
  <c r="Y11" i="13" s="1"/>
  <c r="Y9" i="13" s="1"/>
  <c r="Y116" i="13" l="1"/>
  <c r="Y117" i="13" s="1"/>
  <c r="Y119" i="13" l="1"/>
  <c r="Y127" i="13"/>
  <c r="Y81" i="13" l="1"/>
  <c r="Y71" i="13" s="1"/>
  <c r="Y69" i="13" s="1"/>
  <c r="Y103" i="13" s="1"/>
  <c r="Y105" i="13" s="1"/>
  <c r="Z128" i="13"/>
  <c r="Z94" i="13" s="1"/>
  <c r="Z83" i="13" s="1"/>
  <c r="Y129" i="13"/>
  <c r="Z134" i="13" l="1"/>
  <c r="Z46" i="13" s="1"/>
  <c r="Z20" i="13" s="1"/>
  <c r="Z126" i="13"/>
  <c r="Y107" i="13"/>
  <c r="Z104" i="13"/>
  <c r="Z137" i="13" s="1"/>
  <c r="Z139" i="13" s="1"/>
  <c r="Z140" i="13" s="1"/>
  <c r="Z18" i="13" s="1"/>
  <c r="Z11" i="13" s="1"/>
  <c r="Z9" i="13" s="1"/>
  <c r="Z116" i="13" l="1"/>
  <c r="Z117" i="13" s="1"/>
  <c r="Z119" i="13" l="1"/>
  <c r="Z127" i="13"/>
  <c r="Z81" i="13" l="1"/>
  <c r="Z71" i="13" s="1"/>
  <c r="Z69" i="13" s="1"/>
  <c r="Z103" i="13" s="1"/>
  <c r="Z105" i="13" s="1"/>
  <c r="AA128" i="13"/>
  <c r="AA94" i="13" s="1"/>
  <c r="AA83" i="13" s="1"/>
  <c r="Z129" i="13"/>
  <c r="AA134" i="13" l="1"/>
  <c r="AA46" i="13" s="1"/>
  <c r="AA20" i="13" s="1"/>
  <c r="AA126" i="13"/>
  <c r="AA104" i="13"/>
  <c r="AA137" i="13" s="1"/>
  <c r="AA139" i="13" s="1"/>
  <c r="AA140" i="13" s="1"/>
  <c r="AA18" i="13" s="1"/>
  <c r="AA11" i="13" s="1"/>
  <c r="AA9" i="13" s="1"/>
  <c r="Z107" i="13"/>
  <c r="AA116" i="13" l="1"/>
  <c r="AA117" i="13" s="1"/>
  <c r="AA119" i="13" l="1"/>
  <c r="AA127" i="13"/>
  <c r="AA81" i="13" l="1"/>
  <c r="AA71" i="13" s="1"/>
  <c r="AA69" i="13" s="1"/>
  <c r="AA103" i="13" s="1"/>
  <c r="AA105" i="13" s="1"/>
  <c r="AB128" i="13"/>
  <c r="AB94" i="13" s="1"/>
  <c r="AB83" i="13" s="1"/>
  <c r="AA129" i="13"/>
  <c r="AB134" i="13" l="1"/>
  <c r="AB46" i="13" s="1"/>
  <c r="AB20" i="13" s="1"/>
  <c r="AB126" i="13"/>
  <c r="AA107" i="13"/>
  <c r="AB104" i="13"/>
  <c r="AB137" i="13" s="1"/>
  <c r="AB139" i="13" s="1"/>
  <c r="AB140" i="13" s="1"/>
  <c r="AB18" i="13" s="1"/>
  <c r="AB11" i="13" s="1"/>
  <c r="AB9" i="13" s="1"/>
  <c r="AB116" i="13" l="1"/>
  <c r="AB117" i="13" s="1"/>
  <c r="AB119" i="13" l="1"/>
  <c r="AB127" i="13"/>
  <c r="AB81" i="13" l="1"/>
  <c r="AB71" i="13" s="1"/>
  <c r="AB69" i="13" s="1"/>
  <c r="AB103" i="13" s="1"/>
  <c r="AB105" i="13" s="1"/>
  <c r="AC128" i="13"/>
  <c r="AC94" i="13" s="1"/>
  <c r="AC83" i="13" s="1"/>
  <c r="AB129" i="13"/>
  <c r="AC134" i="13" l="1"/>
  <c r="AC46" i="13" s="1"/>
  <c r="AC20" i="13" s="1"/>
  <c r="AC126" i="13"/>
  <c r="AB107" i="13"/>
  <c r="AC104" i="13"/>
  <c r="AC137" i="13" s="1"/>
  <c r="AC139" i="13" s="1"/>
  <c r="AC140" i="13" s="1"/>
  <c r="AC18" i="13" s="1"/>
  <c r="AC11" i="13" s="1"/>
  <c r="AC9" i="13" s="1"/>
  <c r="AC116" i="13" l="1"/>
  <c r="AC117" i="13" s="1"/>
  <c r="AC119" i="13" l="1"/>
  <c r="AC127" i="13"/>
  <c r="AC81" i="13" l="1"/>
  <c r="AC71" i="13" s="1"/>
  <c r="AC69" i="13" s="1"/>
  <c r="AC103" i="13" s="1"/>
  <c r="AC105" i="13" s="1"/>
  <c r="AD128" i="13"/>
  <c r="AD94" i="13" s="1"/>
  <c r="AD83" i="13" s="1"/>
  <c r="AC129" i="13"/>
  <c r="AD134" i="13" l="1"/>
  <c r="AD46" i="13" s="1"/>
  <c r="AD20" i="13" s="1"/>
  <c r="AD126" i="13"/>
  <c r="AC107" i="13"/>
  <c r="AD104" i="13"/>
  <c r="AD137" i="13" s="1"/>
  <c r="AD139" i="13" s="1"/>
  <c r="AD140" i="13" s="1"/>
  <c r="AD18" i="13" s="1"/>
  <c r="AD11" i="13" s="1"/>
  <c r="AD9" i="13" s="1"/>
  <c r="AD116" i="13" l="1"/>
  <c r="AD117" i="13" s="1"/>
  <c r="AD119" i="13" l="1"/>
  <c r="AD127" i="13"/>
  <c r="AD81" i="13" l="1"/>
  <c r="AD71" i="13" s="1"/>
  <c r="AD69" i="13" s="1"/>
  <c r="AD103" i="13" s="1"/>
  <c r="AD105" i="13" s="1"/>
  <c r="AE128" i="13"/>
  <c r="AE94" i="13" s="1"/>
  <c r="AE83" i="13" s="1"/>
  <c r="AD129" i="13"/>
  <c r="AE134" i="13" l="1"/>
  <c r="AE46" i="13" s="1"/>
  <c r="AE20" i="13" s="1"/>
  <c r="AE126" i="13"/>
  <c r="AD107" i="13"/>
  <c r="AE104" i="13"/>
  <c r="AE137" i="13" s="1"/>
  <c r="AE139" i="13" s="1"/>
  <c r="AE140" i="13" s="1"/>
  <c r="AE18" i="13" s="1"/>
  <c r="AE11" i="13" s="1"/>
  <c r="AE9" i="13" s="1"/>
  <c r="AE116" i="13" l="1"/>
  <c r="AE117" i="13" s="1"/>
  <c r="AE119" i="13" l="1"/>
  <c r="AE127" i="13"/>
  <c r="AE81" i="13" l="1"/>
  <c r="AE71" i="13" s="1"/>
  <c r="AE69" i="13" s="1"/>
  <c r="AE103" i="13" s="1"/>
  <c r="AE105" i="13" s="1"/>
  <c r="AF128" i="13"/>
  <c r="AF94" i="13" s="1"/>
  <c r="AF83" i="13" s="1"/>
  <c r="AE129" i="13"/>
  <c r="AF134" i="13" l="1"/>
  <c r="AF46" i="13" s="1"/>
  <c r="AF20" i="13" s="1"/>
  <c r="AF126" i="13"/>
  <c r="AE107" i="13"/>
  <c r="AF104" i="13"/>
  <c r="AF137" i="13" s="1"/>
  <c r="AF139" i="13" s="1"/>
  <c r="AF140" i="13" s="1"/>
  <c r="AF18" i="13" s="1"/>
  <c r="AF11" i="13" s="1"/>
  <c r="AF9" i="13" s="1"/>
  <c r="AF116" i="13" s="1"/>
  <c r="AF117" i="13" s="1"/>
  <c r="AF119" i="13" l="1"/>
  <c r="AF127" i="13"/>
  <c r="AF129" i="13"/>
  <c r="AG134" i="13" l="1"/>
  <c r="AG46" i="13" s="1"/>
  <c r="AG20" i="13" s="1"/>
  <c r="AG126" i="13"/>
  <c r="AF81" i="13"/>
  <c r="AF71" i="13" s="1"/>
  <c r="AF69" i="13" s="1"/>
  <c r="AF103" i="13" s="1"/>
  <c r="AF105" i="13" s="1"/>
  <c r="AG128" i="13"/>
  <c r="AG94" i="13" s="1"/>
  <c r="AG83" i="13" s="1"/>
  <c r="AF107" i="13" l="1"/>
  <c r="AG104" i="13"/>
  <c r="AG137" i="13" s="1"/>
  <c r="AG139" i="13" s="1"/>
  <c r="AG140" i="13" s="1"/>
  <c r="AG18" i="13" s="1"/>
  <c r="AG11" i="13" s="1"/>
  <c r="AG9" i="13" s="1"/>
  <c r="AG116" i="13" l="1"/>
  <c r="AG117" i="13" s="1"/>
  <c r="AG119" i="13" l="1"/>
  <c r="AG127" i="13"/>
  <c r="AG81" i="13" l="1"/>
  <c r="AG71" i="13" s="1"/>
  <c r="AG69" i="13" s="1"/>
  <c r="AG103" i="13" s="1"/>
  <c r="AG105" i="13" s="1"/>
  <c r="AH128" i="13"/>
  <c r="AH94" i="13" s="1"/>
  <c r="AH83" i="13" s="1"/>
  <c r="AG129" i="13"/>
  <c r="AH134" i="13" l="1"/>
  <c r="AH46" i="13" s="1"/>
  <c r="AH20" i="13" s="1"/>
  <c r="AH126" i="13"/>
  <c r="AG107" i="13"/>
  <c r="AH104" i="13"/>
  <c r="AH137" i="13" s="1"/>
  <c r="AH139" i="13" s="1"/>
  <c r="AH140" i="13" s="1"/>
  <c r="AH18" i="13" s="1"/>
  <c r="AH11" i="13" s="1"/>
  <c r="AH9" i="13" s="1"/>
  <c r="AH116" i="13" l="1"/>
  <c r="AH117" i="13" s="1"/>
  <c r="AH119" i="13" l="1"/>
  <c r="AH127" i="13"/>
  <c r="AH81" i="13" l="1"/>
  <c r="AH71" i="13" s="1"/>
  <c r="AH69" i="13" s="1"/>
  <c r="AH103" i="13" s="1"/>
  <c r="AH105" i="13" s="1"/>
  <c r="AI128" i="13"/>
  <c r="AI94" i="13" s="1"/>
  <c r="AI83" i="13" s="1"/>
  <c r="AH129" i="13"/>
  <c r="AI134" i="13" l="1"/>
  <c r="AI46" i="13" s="1"/>
  <c r="AI20" i="13" s="1"/>
  <c r="AI126" i="13"/>
  <c r="AH107" i="13"/>
  <c r="AI104" i="13"/>
  <c r="AI137" i="13" s="1"/>
  <c r="AI139" i="13" s="1"/>
  <c r="AI140" i="13" s="1"/>
  <c r="AI18" i="13" s="1"/>
  <c r="AI11" i="13" s="1"/>
  <c r="AI9" i="13" s="1"/>
  <c r="AI116" i="13" s="1"/>
  <c r="AI117" i="13" s="1"/>
  <c r="AI119" i="13" l="1"/>
  <c r="AI127" i="13"/>
  <c r="AI129" i="13"/>
  <c r="AJ134" i="13" l="1"/>
  <c r="AJ46" i="13" s="1"/>
  <c r="AJ20" i="13" s="1"/>
  <c r="AJ126" i="13"/>
  <c r="AI81" i="13"/>
  <c r="AI71" i="13" s="1"/>
  <c r="AI69" i="13" s="1"/>
  <c r="AI103" i="13" s="1"/>
  <c r="AI105" i="13" s="1"/>
  <c r="AJ128" i="13"/>
  <c r="AJ94" i="13" s="1"/>
  <c r="AJ83" i="13" s="1"/>
  <c r="AJ104" i="13" l="1"/>
  <c r="AJ137" i="13" s="1"/>
  <c r="AJ139" i="13" s="1"/>
  <c r="AJ140" i="13" s="1"/>
  <c r="AJ18" i="13" s="1"/>
  <c r="AJ11" i="13" s="1"/>
  <c r="AJ9" i="13" s="1"/>
  <c r="AI107" i="13"/>
  <c r="AJ116" i="13" l="1"/>
  <c r="AJ117" i="13" s="1"/>
  <c r="AJ119" i="13" l="1"/>
  <c r="AJ127" i="13"/>
  <c r="AJ81" i="13" l="1"/>
  <c r="AJ71" i="13" s="1"/>
  <c r="AJ69" i="13" s="1"/>
  <c r="AJ103" i="13" s="1"/>
  <c r="AJ105" i="13" s="1"/>
  <c r="AK128" i="13"/>
  <c r="AK94" i="13" s="1"/>
  <c r="AK83" i="13" s="1"/>
  <c r="AJ129" i="13"/>
  <c r="AK134" i="13" l="1"/>
  <c r="AK46" i="13" s="1"/>
  <c r="AK20" i="13" s="1"/>
  <c r="AK126" i="13"/>
  <c r="AJ107" i="13"/>
  <c r="AK104" i="13"/>
  <c r="AK137" i="13" s="1"/>
  <c r="AK139" i="13" s="1"/>
  <c r="AK140" i="13" s="1"/>
  <c r="AK18" i="13" s="1"/>
  <c r="AK11" i="13" s="1"/>
  <c r="AK9" i="13" s="1"/>
  <c r="AK116" i="13" l="1"/>
  <c r="AK117" i="13" s="1"/>
  <c r="AK119" i="13" l="1"/>
  <c r="AK127" i="13"/>
  <c r="AK81" i="13" l="1"/>
  <c r="AK71" i="13" s="1"/>
  <c r="AK69" i="13" s="1"/>
  <c r="AK103" i="13" s="1"/>
  <c r="AK105" i="13" s="1"/>
  <c r="AL128" i="13"/>
  <c r="AL94" i="13" s="1"/>
  <c r="AL83" i="13" s="1"/>
  <c r="AK129" i="13"/>
  <c r="AL134" i="13" l="1"/>
  <c r="AL46" i="13" s="1"/>
  <c r="AL20" i="13" s="1"/>
  <c r="AL126" i="13"/>
  <c r="AK107" i="13"/>
  <c r="AL104" i="13"/>
  <c r="AL137" i="13" s="1"/>
  <c r="AL139" i="13" s="1"/>
  <c r="AL140" i="13" s="1"/>
  <c r="AL18" i="13" s="1"/>
  <c r="AL11" i="13" s="1"/>
  <c r="AL9" i="13" s="1"/>
  <c r="AL116" i="13" l="1"/>
  <c r="AL117" i="13" s="1"/>
  <c r="AL119" i="13" l="1"/>
  <c r="AL127" i="13"/>
  <c r="AL81" i="13" l="1"/>
  <c r="AL71" i="13" s="1"/>
  <c r="AL69" i="13" s="1"/>
  <c r="AL103" i="13" s="1"/>
  <c r="AL105" i="13" s="1"/>
  <c r="AM128" i="13"/>
  <c r="AM94" i="13" s="1"/>
  <c r="AM83" i="13" s="1"/>
  <c r="AL129" i="13"/>
  <c r="AM134" i="13" l="1"/>
  <c r="AM46" i="13" s="1"/>
  <c r="AM20" i="13" s="1"/>
  <c r="AM126" i="13"/>
  <c r="AL107" i="13"/>
  <c r="AL111" i="13"/>
  <c r="AM104" i="13"/>
  <c r="AM137" i="13" s="1"/>
  <c r="AM139" i="13" s="1"/>
  <c r="AM140" i="13" s="1"/>
  <c r="AM18" i="13" s="1"/>
  <c r="AM11" i="13" s="1"/>
  <c r="AM9" i="13" s="1"/>
  <c r="AM116" i="13" l="1"/>
  <c r="AM117" i="13" s="1"/>
  <c r="AM119" i="13" l="1"/>
  <c r="AM127" i="13"/>
  <c r="AM81" i="13" l="1"/>
  <c r="AM71" i="13" s="1"/>
  <c r="AM69" i="13" s="1"/>
  <c r="AM103" i="13" s="1"/>
  <c r="AM105" i="13" s="1"/>
  <c r="AN128" i="13"/>
  <c r="AN94" i="13" s="1"/>
  <c r="AN83" i="13" s="1"/>
  <c r="AM129" i="13"/>
  <c r="AN134" i="13" l="1"/>
  <c r="AN46" i="13" s="1"/>
  <c r="AN20" i="13" s="1"/>
  <c r="AN126" i="13"/>
  <c r="AM107" i="13"/>
  <c r="AM111" i="13"/>
  <c r="AN104" i="13"/>
  <c r="AN137" i="13" s="1"/>
  <c r="AN139" i="13" s="1"/>
  <c r="AN140" i="13" s="1"/>
  <c r="AN18" i="13" s="1"/>
  <c r="AN11" i="13" s="1"/>
  <c r="AN9" i="13" s="1"/>
  <c r="AN116" i="13" l="1"/>
  <c r="AN117" i="13" s="1"/>
  <c r="AN119" i="13" l="1"/>
  <c r="AN127" i="13"/>
  <c r="AN81" i="13" l="1"/>
  <c r="AN71" i="13" s="1"/>
  <c r="AN69" i="13" s="1"/>
  <c r="AN103" i="13" s="1"/>
  <c r="AN105" i="13" s="1"/>
  <c r="AO128" i="13"/>
  <c r="AO94" i="13" s="1"/>
  <c r="AO83" i="13" s="1"/>
  <c r="AN129" i="13"/>
  <c r="AO134" i="13" l="1"/>
  <c r="AO46" i="13" s="1"/>
  <c r="AO20" i="13" s="1"/>
  <c r="AO126" i="13"/>
  <c r="AN107" i="13"/>
  <c r="AN111" i="13"/>
  <c r="AO104" i="13"/>
  <c r="AO137" i="13" s="1"/>
  <c r="AO139" i="13" s="1"/>
  <c r="AO140" i="13" s="1"/>
  <c r="AO18" i="13" s="1"/>
  <c r="AO11" i="13" s="1"/>
  <c r="AO9" i="13" s="1"/>
  <c r="AO116" i="13" l="1"/>
  <c r="AO117" i="13" s="1"/>
  <c r="AO119" i="13" l="1"/>
  <c r="AO127" i="13"/>
  <c r="AO81" i="13" l="1"/>
  <c r="AO71" i="13" s="1"/>
  <c r="AO69" i="13" s="1"/>
  <c r="AO103" i="13" s="1"/>
  <c r="AO105" i="13" s="1"/>
  <c r="AP128" i="13"/>
  <c r="AP94" i="13" s="1"/>
  <c r="AP83" i="13" s="1"/>
  <c r="AO129" i="13"/>
  <c r="AP134" i="13" l="1"/>
  <c r="AP46" i="13" s="1"/>
  <c r="AP20" i="13" s="1"/>
  <c r="AP126" i="13"/>
  <c r="AO107" i="13"/>
  <c r="AP104" i="13"/>
  <c r="AP137" i="13" s="1"/>
  <c r="AP139" i="13" s="1"/>
  <c r="AP140" i="13" s="1"/>
  <c r="AP18" i="13" s="1"/>
  <c r="AP11" i="13" s="1"/>
  <c r="AP9" i="13" s="1"/>
  <c r="AO111" i="13"/>
  <c r="AP116" i="13" l="1"/>
  <c r="AP117" i="13" s="1"/>
  <c r="AP119" i="13" l="1"/>
  <c r="AP127" i="13"/>
  <c r="AP81" i="13" l="1"/>
  <c r="AP71" i="13" s="1"/>
  <c r="AP69" i="13" s="1"/>
  <c r="AP103" i="13" s="1"/>
  <c r="AP105" i="13" s="1"/>
  <c r="AQ128" i="13"/>
  <c r="AQ94" i="13" s="1"/>
  <c r="AQ83" i="13" s="1"/>
  <c r="AP129" i="13"/>
  <c r="AQ134" i="13" l="1"/>
  <c r="AQ46" i="13" s="1"/>
  <c r="AQ20" i="13" s="1"/>
  <c r="AQ126" i="13"/>
  <c r="AP107" i="13"/>
  <c r="AP111" i="13"/>
  <c r="AQ104" i="13"/>
  <c r="AQ137" i="13" s="1"/>
  <c r="AQ139" i="13" s="1"/>
  <c r="AQ140" i="13" s="1"/>
  <c r="AQ18" i="13" s="1"/>
  <c r="AQ11" i="13" s="1"/>
  <c r="AQ9" i="13" s="1"/>
  <c r="AQ116" i="13" l="1"/>
  <c r="AQ117" i="13" s="1"/>
  <c r="AQ119" i="13" l="1"/>
  <c r="AQ127" i="13"/>
  <c r="AQ81" i="13" l="1"/>
  <c r="AQ71" i="13" s="1"/>
  <c r="AQ69" i="13" s="1"/>
  <c r="AQ103" i="13" s="1"/>
  <c r="AQ105" i="13" s="1"/>
  <c r="AR128" i="13"/>
  <c r="AR94" i="13" s="1"/>
  <c r="AR83" i="13" s="1"/>
  <c r="AQ129" i="13"/>
  <c r="AR134" i="13" l="1"/>
  <c r="AR46" i="13" s="1"/>
  <c r="AR20" i="13" s="1"/>
  <c r="AR126" i="13"/>
  <c r="AQ111" i="13"/>
  <c r="AQ107" i="13"/>
  <c r="AR104" i="13"/>
  <c r="AR137" i="13" s="1"/>
  <c r="AR139" i="13" s="1"/>
  <c r="AR140" i="13" s="1"/>
  <c r="AR18" i="13" s="1"/>
  <c r="AR11" i="13" s="1"/>
  <c r="AR9" i="13" s="1"/>
  <c r="AR116" i="13" l="1"/>
  <c r="AR117" i="13" s="1"/>
  <c r="AR119" i="13" l="1"/>
  <c r="AR127" i="13"/>
  <c r="AR81" i="13" l="1"/>
  <c r="AR71" i="13" s="1"/>
  <c r="AR69" i="13" s="1"/>
  <c r="AR103" i="13" s="1"/>
  <c r="AR105" i="13" s="1"/>
  <c r="AS128" i="13"/>
  <c r="AS94" i="13" s="1"/>
  <c r="AS83" i="13" s="1"/>
  <c r="AR129" i="13"/>
  <c r="AS134" i="13" l="1"/>
  <c r="AS46" i="13" s="1"/>
  <c r="AS20" i="13" s="1"/>
  <c r="AS126" i="13"/>
  <c r="AR107" i="13"/>
  <c r="AR111" i="13"/>
  <c r="AS104" i="13"/>
  <c r="AS137" i="13" s="1"/>
  <c r="AS139" i="13" s="1"/>
  <c r="AS140" i="13" s="1"/>
  <c r="AS18" i="13" s="1"/>
  <c r="AS11" i="13" s="1"/>
  <c r="AS9" i="13" s="1"/>
  <c r="AS116" i="13" l="1"/>
  <c r="AS117" i="13" s="1"/>
  <c r="AS119" i="13" l="1"/>
  <c r="AS127" i="13"/>
  <c r="AS81" i="13" l="1"/>
  <c r="AS71" i="13" s="1"/>
  <c r="AS69" i="13" s="1"/>
  <c r="AS103" i="13" s="1"/>
  <c r="AS105" i="13" s="1"/>
  <c r="AT128" i="13"/>
  <c r="AT94" i="13" s="1"/>
  <c r="AT83" i="13" s="1"/>
  <c r="AS129" i="13"/>
  <c r="AT134" i="13" l="1"/>
  <c r="AT46" i="13" s="1"/>
  <c r="AT20" i="13" s="1"/>
  <c r="AT126" i="13"/>
  <c r="AS111" i="13"/>
  <c r="AS107" i="13"/>
  <c r="AT104" i="13"/>
  <c r="AT137" i="13" s="1"/>
  <c r="AT139" i="13" s="1"/>
  <c r="AT140" i="13" s="1"/>
  <c r="AT18" i="13" s="1"/>
  <c r="AT11" i="13" s="1"/>
  <c r="AT9" i="13" s="1"/>
  <c r="AT116" i="13" l="1"/>
  <c r="AT117" i="13" s="1"/>
  <c r="AT119" i="13" l="1"/>
  <c r="AT127" i="13"/>
  <c r="AT81" i="13" l="1"/>
  <c r="AT71" i="13" s="1"/>
  <c r="AT69" i="13" s="1"/>
  <c r="AT103" i="13" s="1"/>
  <c r="AT105" i="13" s="1"/>
  <c r="AU128" i="13"/>
  <c r="AU94" i="13" s="1"/>
  <c r="AU83" i="13" s="1"/>
  <c r="AT129" i="13"/>
  <c r="AU134" i="13" l="1"/>
  <c r="AU46" i="13" s="1"/>
  <c r="AU20" i="13" s="1"/>
  <c r="AU126" i="13"/>
  <c r="AT107" i="13"/>
  <c r="AU104" i="13"/>
  <c r="AU137" i="13" s="1"/>
  <c r="AU139" i="13" s="1"/>
  <c r="AU140" i="13" s="1"/>
  <c r="AU18" i="13" s="1"/>
  <c r="AU11" i="13" s="1"/>
  <c r="AU9" i="13" s="1"/>
  <c r="AT111" i="13"/>
  <c r="AU116" i="13" l="1"/>
  <c r="AU117" i="13" s="1"/>
  <c r="AU119" i="13" l="1"/>
  <c r="AU127" i="13"/>
  <c r="AU81" i="13" l="1"/>
  <c r="AU71" i="13" s="1"/>
  <c r="AU69" i="13" s="1"/>
  <c r="AU103" i="13" s="1"/>
  <c r="AU105" i="13" s="1"/>
  <c r="AV128" i="13"/>
  <c r="AV94" i="13" s="1"/>
  <c r="AV83" i="13" s="1"/>
  <c r="AU129" i="13"/>
  <c r="AV134" i="13" l="1"/>
  <c r="AV46" i="13" s="1"/>
  <c r="AV20" i="13" s="1"/>
  <c r="AV126" i="13"/>
  <c r="AU111" i="13"/>
  <c r="AU107" i="13"/>
  <c r="AV104" i="13"/>
  <c r="AV137" i="13" s="1"/>
  <c r="AV139" i="13" s="1"/>
  <c r="AV140" i="13" s="1"/>
  <c r="AV18" i="13" s="1"/>
  <c r="AV11" i="13" s="1"/>
  <c r="AV9" i="13" s="1"/>
  <c r="AV116" i="13" l="1"/>
  <c r="AV117" i="13" s="1"/>
  <c r="AV119" i="13" l="1"/>
  <c r="AV127" i="13"/>
  <c r="AV81" i="13" l="1"/>
  <c r="AV71" i="13" s="1"/>
  <c r="AV69" i="13" s="1"/>
  <c r="AV103" i="13" s="1"/>
  <c r="AV105" i="13" s="1"/>
  <c r="AW128" i="13"/>
  <c r="AW94" i="13" s="1"/>
  <c r="AW83" i="13" s="1"/>
  <c r="AV129" i="13"/>
  <c r="AW134" i="13" l="1"/>
  <c r="AW46" i="13" s="1"/>
  <c r="AW20" i="13" s="1"/>
  <c r="AW126" i="13"/>
  <c r="AV107" i="13"/>
  <c r="AV111" i="13"/>
  <c r="AW104" i="13"/>
  <c r="AW137" i="13" s="1"/>
  <c r="AW139" i="13" s="1"/>
  <c r="AW140" i="13" s="1"/>
  <c r="AW18" i="13" s="1"/>
  <c r="AW11" i="13" s="1"/>
  <c r="AW9" i="13" s="1"/>
  <c r="AW116" i="13" s="1"/>
  <c r="AW117" i="13" s="1"/>
  <c r="AW119" i="13" l="1"/>
  <c r="AW127" i="13"/>
  <c r="AW129" i="13"/>
  <c r="AX134" i="13" l="1"/>
  <c r="AX46" i="13" s="1"/>
  <c r="AX20" i="13" s="1"/>
  <c r="AX126" i="13"/>
  <c r="AW81" i="13"/>
  <c r="AW71" i="13" s="1"/>
  <c r="AW69" i="13" s="1"/>
  <c r="AW103" i="13" s="1"/>
  <c r="AW105" i="13" s="1"/>
  <c r="AX128" i="13"/>
  <c r="AX94" i="13" s="1"/>
  <c r="AX83" i="13" s="1"/>
  <c r="AW107" i="13" l="1"/>
  <c r="AW111" i="13"/>
  <c r="AX104" i="13"/>
  <c r="AX137" i="13" s="1"/>
  <c r="AX139" i="13" s="1"/>
  <c r="AX140" i="13" s="1"/>
  <c r="AX18" i="13" s="1"/>
  <c r="AX11" i="13" s="1"/>
  <c r="AX9" i="13" s="1"/>
  <c r="AX116" i="13" l="1"/>
  <c r="AX117" i="13" s="1"/>
  <c r="AX119" i="13" l="1"/>
  <c r="AX127" i="13"/>
  <c r="AX81" i="13" l="1"/>
  <c r="AX71" i="13" s="1"/>
  <c r="AX69" i="13" s="1"/>
  <c r="AX103" i="13" s="1"/>
  <c r="AX105" i="13" s="1"/>
  <c r="AY128" i="13"/>
  <c r="AY94" i="13" s="1"/>
  <c r="AY83" i="13" s="1"/>
  <c r="AX129" i="13"/>
  <c r="AY134" i="13" l="1"/>
  <c r="AY46" i="13" s="1"/>
  <c r="AY20" i="13" s="1"/>
  <c r="AY126" i="13"/>
  <c r="AX107" i="13"/>
  <c r="AX111" i="13"/>
  <c r="AY104" i="13"/>
  <c r="AY137" i="13" s="1"/>
  <c r="AY139" i="13" s="1"/>
  <c r="AY140" i="13" s="1"/>
  <c r="AY18" i="13" s="1"/>
  <c r="AY11" i="13" s="1"/>
  <c r="AY9" i="13" s="1"/>
  <c r="AY116" i="13" l="1"/>
  <c r="AY117" i="13" s="1"/>
  <c r="AY119" i="13" l="1"/>
  <c r="AY127" i="13"/>
  <c r="AY81" i="13" l="1"/>
  <c r="AY71" i="13" s="1"/>
  <c r="AY69" i="13" s="1"/>
  <c r="AY103" i="13" s="1"/>
  <c r="AY105" i="13" s="1"/>
  <c r="AZ128" i="13"/>
  <c r="AZ94" i="13" s="1"/>
  <c r="AZ83" i="13" s="1"/>
  <c r="AY129" i="13"/>
  <c r="AZ134" i="13" l="1"/>
  <c r="AZ46" i="13" s="1"/>
  <c r="AZ20" i="13" s="1"/>
  <c r="AZ126" i="13"/>
  <c r="AY111" i="13"/>
  <c r="AY107" i="13"/>
  <c r="AZ104" i="13"/>
  <c r="AZ137" i="13" s="1"/>
  <c r="AZ139" i="13" s="1"/>
  <c r="AZ140" i="13" s="1"/>
  <c r="AZ18" i="13" s="1"/>
  <c r="AZ11" i="13" s="1"/>
  <c r="AZ9" i="13" s="1"/>
  <c r="AZ116" i="13" l="1"/>
  <c r="AZ117" i="13" s="1"/>
  <c r="AZ119" i="13" l="1"/>
  <c r="AZ127" i="13"/>
  <c r="AZ81" i="13" l="1"/>
  <c r="AZ71" i="13" s="1"/>
  <c r="AZ69" i="13" s="1"/>
  <c r="AZ103" i="13" s="1"/>
  <c r="AZ105" i="13" s="1"/>
  <c r="BA128" i="13"/>
  <c r="BA94" i="13" s="1"/>
  <c r="BA83" i="13" s="1"/>
  <c r="AZ129" i="13"/>
  <c r="BA134" i="13" l="1"/>
  <c r="BA46" i="13" s="1"/>
  <c r="BA20" i="13" s="1"/>
  <c r="BA126" i="13"/>
  <c r="AZ111" i="13"/>
  <c r="AZ107" i="13"/>
  <c r="BA104" i="13"/>
  <c r="BA137" i="13" s="1"/>
  <c r="BA139" i="13" s="1"/>
  <c r="BA140" i="13" s="1"/>
  <c r="BA18" i="13" s="1"/>
  <c r="BA11" i="13" s="1"/>
  <c r="BA9" i="13" s="1"/>
  <c r="BA116" i="13" l="1"/>
  <c r="BA117" i="13" s="1"/>
  <c r="BA119" i="13" l="1"/>
  <c r="BA127" i="13"/>
  <c r="BA81" i="13" l="1"/>
  <c r="BA71" i="13" s="1"/>
  <c r="BA69" i="13" s="1"/>
  <c r="BA103" i="13" s="1"/>
  <c r="BA105" i="13" s="1"/>
  <c r="BB128" i="13"/>
  <c r="BB94" i="13" s="1"/>
  <c r="BB83" i="13" s="1"/>
  <c r="BA129" i="13"/>
  <c r="BB134" i="13" l="1"/>
  <c r="BB46" i="13" s="1"/>
  <c r="BB20" i="13" s="1"/>
  <c r="BB126" i="13"/>
  <c r="BA107" i="13"/>
  <c r="BA111" i="13"/>
  <c r="BB104" i="13"/>
  <c r="BB137" i="13" s="1"/>
  <c r="BB139" i="13" s="1"/>
  <c r="BB140" i="13" s="1"/>
  <c r="BB18" i="13" s="1"/>
  <c r="BB11" i="13" s="1"/>
  <c r="BB9" i="13" s="1"/>
  <c r="BB116" i="13" l="1"/>
  <c r="BB117" i="13" s="1"/>
  <c r="BB119" i="13" l="1"/>
  <c r="BB127" i="13"/>
  <c r="BB81" i="13" l="1"/>
  <c r="BB71" i="13" s="1"/>
  <c r="BB69" i="13" s="1"/>
  <c r="BB103" i="13" s="1"/>
  <c r="BB105" i="13" s="1"/>
  <c r="BC128" i="13"/>
  <c r="BC94" i="13" s="1"/>
  <c r="BC83" i="13" s="1"/>
  <c r="BB129" i="13"/>
  <c r="BC134" i="13" l="1"/>
  <c r="BC46" i="13" s="1"/>
  <c r="BC20" i="13" s="1"/>
  <c r="BC126" i="13"/>
  <c r="BB107" i="13"/>
  <c r="BB111" i="13"/>
  <c r="BC104" i="13"/>
  <c r="BC137" i="13" s="1"/>
  <c r="BC139" i="13" s="1"/>
  <c r="BC140" i="13" s="1"/>
  <c r="BC18" i="13" s="1"/>
  <c r="BC11" i="13" s="1"/>
  <c r="BC9" i="13" s="1"/>
  <c r="BC116" i="13" l="1"/>
  <c r="BC117" i="13" s="1"/>
  <c r="BC119" i="13" l="1"/>
  <c r="BC127" i="13"/>
  <c r="BC81" i="13" l="1"/>
  <c r="BC71" i="13" s="1"/>
  <c r="BC69" i="13" s="1"/>
  <c r="BC103" i="13" s="1"/>
  <c r="BC105" i="13" s="1"/>
  <c r="BD128" i="13"/>
  <c r="BD94" i="13" s="1"/>
  <c r="BD83" i="13" s="1"/>
  <c r="BC129" i="13"/>
  <c r="BD134" i="13" l="1"/>
  <c r="BD46" i="13" s="1"/>
  <c r="BD20" i="13" s="1"/>
  <c r="BD126" i="13"/>
  <c r="BC107" i="13"/>
  <c r="BC111" i="13"/>
  <c r="BD104" i="13"/>
  <c r="BD137" i="13" s="1"/>
  <c r="BD139" i="13" s="1"/>
  <c r="BD140" i="13" s="1"/>
  <c r="BD18" i="13" s="1"/>
  <c r="BD11" i="13" s="1"/>
  <c r="BD9" i="13" s="1"/>
  <c r="BD116" i="13" l="1"/>
  <c r="BD117" i="13" s="1"/>
  <c r="BD119" i="13" l="1"/>
  <c r="BD127" i="13"/>
  <c r="BD81" i="13" l="1"/>
  <c r="BD71" i="13" s="1"/>
  <c r="BD69" i="13" s="1"/>
  <c r="BD103" i="13" s="1"/>
  <c r="BD105" i="13" s="1"/>
  <c r="BE128" i="13"/>
  <c r="BE94" i="13" s="1"/>
  <c r="BE83" i="13" s="1"/>
  <c r="BD129" i="13"/>
  <c r="BE134" i="13" l="1"/>
  <c r="BE46" i="13" s="1"/>
  <c r="BE20" i="13" s="1"/>
  <c r="BE126" i="13"/>
  <c r="BD111" i="13"/>
  <c r="BD107" i="13"/>
  <c r="BE104" i="13"/>
  <c r="BE137" i="13" s="1"/>
  <c r="BE139" i="13" s="1"/>
  <c r="BE140" i="13" s="1"/>
  <c r="BE18" i="13" s="1"/>
  <c r="BE11" i="13" s="1"/>
  <c r="BE9" i="13" s="1"/>
  <c r="BE116" i="13" l="1"/>
  <c r="BE117" i="13" s="1"/>
  <c r="BE119" i="13" l="1"/>
  <c r="BE127" i="13"/>
  <c r="BE81" i="13" l="1"/>
  <c r="BE71" i="13" s="1"/>
  <c r="BE69" i="13" s="1"/>
  <c r="BE103" i="13" s="1"/>
  <c r="BE105" i="13" s="1"/>
  <c r="BF128" i="13"/>
  <c r="BF94" i="13" s="1"/>
  <c r="BF83" i="13" s="1"/>
  <c r="BE129" i="13"/>
  <c r="BF134" i="13" l="1"/>
  <c r="BF46" i="13" s="1"/>
  <c r="BF20" i="13" s="1"/>
  <c r="BF126" i="13"/>
  <c r="BE107" i="13"/>
  <c r="BE111" i="13"/>
  <c r="BF104" i="13"/>
  <c r="BF137" i="13" s="1"/>
  <c r="BF139" i="13" s="1"/>
  <c r="BF140" i="13" s="1"/>
  <c r="BF18" i="13" s="1"/>
  <c r="BF11" i="13" s="1"/>
  <c r="BF9" i="13" s="1"/>
  <c r="BF116" i="13" l="1"/>
  <c r="BF117" i="13" s="1"/>
  <c r="BF119" i="13" l="1"/>
  <c r="BF127" i="13"/>
  <c r="BF81" i="13" l="1"/>
  <c r="BF71" i="13" s="1"/>
  <c r="BF69" i="13" s="1"/>
  <c r="BF103" i="13" s="1"/>
  <c r="BF105" i="13" s="1"/>
  <c r="BG128" i="13"/>
  <c r="BG94" i="13" s="1"/>
  <c r="BG83" i="13" s="1"/>
  <c r="BF129" i="13"/>
  <c r="BG134" i="13" l="1"/>
  <c r="BG46" i="13" s="1"/>
  <c r="BG20" i="13" s="1"/>
  <c r="BG126" i="13"/>
  <c r="BF107" i="13"/>
  <c r="BG104" i="13"/>
  <c r="BG137" i="13" s="1"/>
  <c r="BG139" i="13" s="1"/>
  <c r="BG140" i="13" s="1"/>
  <c r="BG18" i="13" s="1"/>
  <c r="BG11" i="13" s="1"/>
  <c r="BG9" i="13" s="1"/>
  <c r="BF111" i="13"/>
  <c r="BG116" i="13" l="1"/>
  <c r="BG117" i="13" s="1"/>
  <c r="BG119" i="13" l="1"/>
  <c r="BG127" i="13"/>
  <c r="BG81" i="13" l="1"/>
  <c r="BG71" i="13" s="1"/>
  <c r="BG69" i="13" s="1"/>
  <c r="BG103" i="13" s="1"/>
  <c r="BG105" i="13" s="1"/>
  <c r="BH128" i="13"/>
  <c r="BH94" i="13" s="1"/>
  <c r="BH83" i="13" s="1"/>
  <c r="BG129" i="13"/>
  <c r="BH134" i="13" l="1"/>
  <c r="BH46" i="13" s="1"/>
  <c r="BH20" i="13" s="1"/>
  <c r="BH126" i="13"/>
  <c r="BG107" i="13"/>
  <c r="BG111" i="13"/>
  <c r="BH104" i="13"/>
  <c r="BH137" i="13" s="1"/>
  <c r="BH139" i="13" s="1"/>
  <c r="BH140" i="13" s="1"/>
  <c r="BH18" i="13" s="1"/>
  <c r="BH11" i="13" s="1"/>
  <c r="BH9" i="13" s="1"/>
  <c r="BH116" i="13" l="1"/>
  <c r="BH117" i="13" s="1"/>
  <c r="BH119" i="13" l="1"/>
  <c r="BH127" i="13"/>
  <c r="BH81" i="13" l="1"/>
  <c r="BH71" i="13" s="1"/>
  <c r="BH69" i="13" s="1"/>
  <c r="BH103" i="13" s="1"/>
  <c r="BH105" i="13" s="1"/>
  <c r="BI128" i="13"/>
  <c r="BI94" i="13" s="1"/>
  <c r="BI83" i="13" s="1"/>
  <c r="BH129" i="13"/>
  <c r="BI134" i="13" l="1"/>
  <c r="BI46" i="13" s="1"/>
  <c r="BI20" i="13" s="1"/>
  <c r="BI126" i="13"/>
  <c r="BH107" i="13"/>
  <c r="BI104" i="13"/>
  <c r="BI137" i="13" s="1"/>
  <c r="BI139" i="13" s="1"/>
  <c r="BI140" i="13" s="1"/>
  <c r="BI18" i="13" s="1"/>
  <c r="BI11" i="13" s="1"/>
  <c r="BI9" i="13" s="1"/>
  <c r="BH111" i="13"/>
  <c r="BI116" i="13" l="1"/>
  <c r="BI117" i="13" s="1"/>
  <c r="BI119" i="13" l="1"/>
  <c r="BI127" i="13"/>
  <c r="BI81" i="13" l="1"/>
  <c r="BI71" i="13" s="1"/>
  <c r="BI69" i="13" s="1"/>
  <c r="BI103" i="13" s="1"/>
  <c r="BI105" i="13" s="1"/>
  <c r="BJ128" i="13"/>
  <c r="BJ94" i="13" s="1"/>
  <c r="BJ83" i="13" s="1"/>
  <c r="BI129" i="13"/>
  <c r="BJ134" i="13" l="1"/>
  <c r="BJ46" i="13" s="1"/>
  <c r="BJ20" i="13" s="1"/>
  <c r="BJ126" i="13"/>
  <c r="BI107" i="13"/>
  <c r="BI111" i="13"/>
  <c r="BJ104" i="13"/>
  <c r="BJ137" i="13" s="1"/>
  <c r="BJ139" i="13" s="1"/>
  <c r="BJ140" i="13" s="1"/>
  <c r="BJ18" i="13" s="1"/>
  <c r="BJ11" i="13" s="1"/>
  <c r="BJ9" i="13" s="1"/>
  <c r="BJ116" i="13" l="1"/>
  <c r="BJ117" i="13" s="1"/>
  <c r="BJ119" i="13" l="1"/>
  <c r="BJ127" i="13"/>
  <c r="BJ81" i="13" l="1"/>
  <c r="BJ71" i="13" s="1"/>
  <c r="BJ69" i="13" s="1"/>
  <c r="BJ103" i="13" s="1"/>
  <c r="BJ105" i="13" s="1"/>
  <c r="BK128" i="13"/>
  <c r="BK94" i="13" s="1"/>
  <c r="BK83" i="13" s="1"/>
  <c r="BJ129" i="13"/>
  <c r="BK134" i="13" l="1"/>
  <c r="BK46" i="13" s="1"/>
  <c r="BK20" i="13" s="1"/>
  <c r="BK126" i="13"/>
  <c r="BJ107" i="13"/>
  <c r="BJ111" i="13"/>
  <c r="BK104" i="13"/>
  <c r="BK137" i="13" s="1"/>
  <c r="BK139" i="13" s="1"/>
  <c r="BK140" i="13" s="1"/>
  <c r="BK18" i="13" s="1"/>
  <c r="BK11" i="13" s="1"/>
  <c r="BK9" i="13" s="1"/>
  <c r="BK116" i="13" l="1"/>
  <c r="BK117" i="13" s="1"/>
  <c r="BK119" i="13" l="1"/>
  <c r="BK127" i="13"/>
  <c r="BK81" i="13" l="1"/>
  <c r="BK71" i="13" s="1"/>
  <c r="BK69" i="13" s="1"/>
  <c r="BK103" i="13" s="1"/>
  <c r="BK105" i="13" s="1"/>
  <c r="BL128" i="13"/>
  <c r="BL94" i="13" s="1"/>
  <c r="BL83" i="13" s="1"/>
  <c r="BK129" i="13"/>
  <c r="BL134" i="13" l="1"/>
  <c r="BL46" i="13" s="1"/>
  <c r="BL20" i="13" s="1"/>
  <c r="BL126" i="13"/>
  <c r="BK111" i="13"/>
  <c r="BK107" i="13"/>
  <c r="BL104" i="13"/>
  <c r="BL137" i="13" s="1"/>
  <c r="BL139" i="13" s="1"/>
  <c r="BL140" i="13" s="1"/>
  <c r="BL18" i="13" s="1"/>
  <c r="BL11" i="13" s="1"/>
  <c r="BL9" i="13" s="1"/>
  <c r="BL116" i="13" l="1"/>
  <c r="BL117" i="13" s="1"/>
  <c r="BL119" i="13" l="1"/>
  <c r="BL127" i="13"/>
  <c r="BL81" i="13" l="1"/>
  <c r="BL71" i="13" s="1"/>
  <c r="BL69" i="13" s="1"/>
  <c r="BL103" i="13" s="1"/>
  <c r="BL105" i="13" s="1"/>
  <c r="BM128" i="13"/>
  <c r="BM94" i="13" s="1"/>
  <c r="BM83" i="13" s="1"/>
  <c r="BL129" i="13"/>
  <c r="BM134" i="13" l="1"/>
  <c r="BM46" i="13" s="1"/>
  <c r="BM20" i="13" s="1"/>
  <c r="BM126" i="13"/>
  <c r="BL107" i="13"/>
  <c r="BL111" i="13"/>
  <c r="BM104" i="13"/>
  <c r="BM137" i="13" s="1"/>
  <c r="BM139" i="13" s="1"/>
  <c r="BM140" i="13" s="1"/>
  <c r="BM18" i="13" s="1"/>
  <c r="BM11" i="13" s="1"/>
  <c r="BM9" i="13" s="1"/>
  <c r="BM116" i="13" s="1"/>
  <c r="BM117" i="13" s="1"/>
  <c r="BM119" i="13" l="1"/>
  <c r="BM127" i="13"/>
  <c r="BM129" i="13"/>
  <c r="BN134" i="13" l="1"/>
  <c r="BN46" i="13" s="1"/>
  <c r="BN20" i="13" s="1"/>
  <c r="BN126" i="13"/>
  <c r="BM81" i="13"/>
  <c r="BM71" i="13" s="1"/>
  <c r="BM69" i="13" s="1"/>
  <c r="BM103" i="13" s="1"/>
  <c r="BM105" i="13" s="1"/>
  <c r="BN128" i="13"/>
  <c r="BN94" i="13" s="1"/>
  <c r="BN83" i="13" s="1"/>
  <c r="BM107" i="13" l="1"/>
  <c r="BM111" i="13"/>
  <c r="BN104" i="13"/>
  <c r="BN137" i="13" s="1"/>
  <c r="BN139" i="13" s="1"/>
  <c r="BN140" i="13" s="1"/>
  <c r="BN18" i="13" s="1"/>
  <c r="BN11" i="13" s="1"/>
  <c r="BN9" i="13" s="1"/>
  <c r="BN116" i="13" l="1"/>
  <c r="BN117" i="13" s="1"/>
  <c r="BN119" i="13" l="1"/>
  <c r="BN127" i="13"/>
  <c r="BN81" i="13" l="1"/>
  <c r="BN71" i="13" s="1"/>
  <c r="BN69" i="13" s="1"/>
  <c r="BN103" i="13" s="1"/>
  <c r="BN105" i="13" s="1"/>
  <c r="BO128" i="13"/>
  <c r="BO94" i="13" s="1"/>
  <c r="BO83" i="13" s="1"/>
  <c r="BN129" i="13"/>
  <c r="BO134" i="13" l="1"/>
  <c r="BO46" i="13" s="1"/>
  <c r="BO20" i="13" s="1"/>
  <c r="BO126" i="13"/>
  <c r="BN107" i="13"/>
  <c r="BN111" i="13"/>
  <c r="BO104" i="13"/>
  <c r="BO137" i="13" s="1"/>
  <c r="BO139" i="13" s="1"/>
  <c r="BO140" i="13" s="1"/>
  <c r="BO18" i="13" s="1"/>
  <c r="BO11" i="13" s="1"/>
  <c r="BO9" i="13" s="1"/>
  <c r="BO116" i="13" l="1"/>
  <c r="BO117" i="13" s="1"/>
  <c r="BO119" i="13" l="1"/>
  <c r="BO127" i="13"/>
  <c r="BO81" i="13" l="1"/>
  <c r="BO71" i="13" s="1"/>
  <c r="BO69" i="13" s="1"/>
  <c r="BO103" i="13" s="1"/>
  <c r="BO105" i="13" s="1"/>
  <c r="BP128" i="13"/>
  <c r="BP94" i="13" s="1"/>
  <c r="BP83" i="13" s="1"/>
  <c r="BO129" i="13"/>
  <c r="BP134" i="13" l="1"/>
  <c r="BP46" i="13" s="1"/>
  <c r="BP20" i="13" s="1"/>
  <c r="BP126" i="13"/>
  <c r="BO111" i="13"/>
  <c r="BO107" i="13"/>
  <c r="BP104" i="13"/>
  <c r="BP137" i="13" s="1"/>
  <c r="BP139" i="13" s="1"/>
  <c r="BP140" i="13" s="1"/>
  <c r="BP18" i="13" s="1"/>
  <c r="BP11" i="13" s="1"/>
  <c r="BP9" i="13" s="1"/>
  <c r="BP116" i="13" l="1"/>
  <c r="BP117" i="13" s="1"/>
  <c r="BP119" i="13" l="1"/>
  <c r="BP127" i="13"/>
  <c r="BP81" i="13" l="1"/>
  <c r="BP71" i="13" s="1"/>
  <c r="BP69" i="13" s="1"/>
  <c r="BP103" i="13" s="1"/>
  <c r="BP105" i="13" s="1"/>
  <c r="BQ128" i="13"/>
  <c r="BQ94" i="13" s="1"/>
  <c r="BQ83" i="13" s="1"/>
  <c r="BP129" i="13"/>
  <c r="BQ134" i="13" l="1"/>
  <c r="BQ46" i="13" s="1"/>
  <c r="BQ20" i="13" s="1"/>
  <c r="BQ126" i="13"/>
  <c r="BP111" i="13"/>
  <c r="BP107" i="13"/>
  <c r="BQ104" i="13"/>
  <c r="BQ137" i="13" s="1"/>
  <c r="BQ139" i="13" s="1"/>
  <c r="BQ140" i="13" s="1"/>
  <c r="BQ18" i="13" s="1"/>
  <c r="BQ11" i="13" s="1"/>
  <c r="BQ9" i="13" s="1"/>
  <c r="BQ116" i="13" l="1"/>
  <c r="BQ117" i="13" s="1"/>
  <c r="BQ119" i="13" l="1"/>
  <c r="BQ127" i="13"/>
  <c r="BQ81" i="13" l="1"/>
  <c r="BQ71" i="13" s="1"/>
  <c r="BQ69" i="13" s="1"/>
  <c r="BQ103" i="13" s="1"/>
  <c r="BQ105" i="13" s="1"/>
  <c r="BR128" i="13"/>
  <c r="BR94" i="13" s="1"/>
  <c r="BR83" i="13" s="1"/>
  <c r="BQ129" i="13"/>
  <c r="BR134" i="13" l="1"/>
  <c r="BR46" i="13" s="1"/>
  <c r="BR20" i="13" s="1"/>
  <c r="BR126" i="13"/>
  <c r="BQ111" i="13"/>
  <c r="BQ107" i="13"/>
  <c r="BR104" i="13"/>
  <c r="BR137" i="13" s="1"/>
  <c r="BR139" i="13" s="1"/>
  <c r="BR140" i="13" s="1"/>
  <c r="BR18" i="13" s="1"/>
  <c r="BR11" i="13" s="1"/>
  <c r="BR9" i="13" s="1"/>
  <c r="BR116" i="13" l="1"/>
  <c r="BR117" i="13" s="1"/>
  <c r="BR119" i="13" l="1"/>
  <c r="BR127" i="13"/>
  <c r="BR81" i="13" l="1"/>
  <c r="BR71" i="13" s="1"/>
  <c r="BR69" i="13" s="1"/>
  <c r="BR103" i="13" s="1"/>
  <c r="BR105" i="13" s="1"/>
  <c r="BS128" i="13"/>
  <c r="BS94" i="13" s="1"/>
  <c r="BS83" i="13" s="1"/>
  <c r="BR129" i="13"/>
  <c r="BS134" i="13" l="1"/>
  <c r="BS46" i="13" s="1"/>
  <c r="BS20" i="13" s="1"/>
  <c r="BS126" i="13"/>
  <c r="BR111" i="13"/>
  <c r="BR107" i="13"/>
  <c r="BS104" i="13"/>
  <c r="BS137" i="13" s="1"/>
  <c r="BS139" i="13" s="1"/>
  <c r="BS140" i="13" s="1"/>
  <c r="BS18" i="13" s="1"/>
  <c r="BS11" i="13" s="1"/>
  <c r="BS9" i="13" s="1"/>
  <c r="BS116" i="13" l="1"/>
  <c r="BS117" i="13" s="1"/>
  <c r="BS119" i="13" l="1"/>
  <c r="BS127" i="13"/>
  <c r="BS81" i="13" l="1"/>
  <c r="BS71" i="13" s="1"/>
  <c r="BS69" i="13" s="1"/>
  <c r="BS103" i="13" s="1"/>
  <c r="BS105" i="13" s="1"/>
  <c r="BT128" i="13"/>
  <c r="BT94" i="13" s="1"/>
  <c r="BT83" i="13" s="1"/>
  <c r="BS129" i="13"/>
  <c r="BT134" i="13" l="1"/>
  <c r="BT46" i="13" s="1"/>
  <c r="BT20" i="13" s="1"/>
  <c r="BT126" i="13"/>
  <c r="BS107" i="13"/>
  <c r="BS111" i="13"/>
  <c r="BT104" i="13"/>
  <c r="BT137" i="13" s="1"/>
  <c r="BT139" i="13" s="1"/>
  <c r="BT140" i="13" s="1"/>
  <c r="BT18" i="13" s="1"/>
  <c r="BT11" i="13" s="1"/>
  <c r="BT9" i="13" s="1"/>
  <c r="BT116" i="13" s="1"/>
  <c r="BT117" i="13" s="1"/>
  <c r="BT119" i="13" l="1"/>
  <c r="BT127" i="13"/>
  <c r="BT129" i="13"/>
  <c r="BU134" i="13" l="1"/>
  <c r="BU46" i="13" s="1"/>
  <c r="BU20" i="13" s="1"/>
  <c r="BU126" i="13"/>
  <c r="BT81" i="13"/>
  <c r="BT71" i="13" s="1"/>
  <c r="BT69" i="13" s="1"/>
  <c r="BT103" i="13" s="1"/>
  <c r="BT105" i="13" s="1"/>
  <c r="BU128" i="13"/>
  <c r="BU94" i="13" s="1"/>
  <c r="BU83" i="13" s="1"/>
  <c r="BT111" i="13" l="1"/>
  <c r="BT107" i="13"/>
  <c r="BU104" i="13"/>
  <c r="BU137" i="13" s="1"/>
  <c r="BU139" i="13" s="1"/>
  <c r="BU140" i="13" s="1"/>
  <c r="BU18" i="13" s="1"/>
  <c r="BU11" i="13" s="1"/>
  <c r="BU9" i="13" s="1"/>
  <c r="BU116" i="13" l="1"/>
  <c r="BU117" i="13" s="1"/>
  <c r="BU119" i="13" l="1"/>
  <c r="BU127" i="13"/>
  <c r="BU81" i="13" l="1"/>
  <c r="BU71" i="13" s="1"/>
  <c r="BU69" i="13" s="1"/>
  <c r="BU103" i="13" s="1"/>
  <c r="BU105" i="13" s="1"/>
  <c r="BV128" i="13"/>
  <c r="BV94" i="13" s="1"/>
  <c r="BV83" i="13" s="1"/>
  <c r="BU129" i="13"/>
  <c r="BV134" i="13" l="1"/>
  <c r="BV46" i="13" s="1"/>
  <c r="BV20" i="13" s="1"/>
  <c r="BV126" i="13"/>
  <c r="BU111" i="13"/>
  <c r="BU107" i="13"/>
  <c r="BV104" i="13"/>
  <c r="BV137" i="13" s="1"/>
  <c r="BV139" i="13" s="1"/>
  <c r="BV140" i="13" s="1"/>
  <c r="BV18" i="13" s="1"/>
  <c r="BV11" i="13" s="1"/>
  <c r="BV9" i="13" s="1"/>
  <c r="BV116" i="13" l="1"/>
  <c r="BV117" i="13" s="1"/>
  <c r="BV119" i="13" l="1"/>
  <c r="BV127" i="13"/>
  <c r="BV81" i="13" l="1"/>
  <c r="BV71" i="13" s="1"/>
  <c r="BV69" i="13" s="1"/>
  <c r="BV103" i="13" s="1"/>
  <c r="BV105" i="13" s="1"/>
  <c r="BW128" i="13"/>
  <c r="BW94" i="13" s="1"/>
  <c r="BW83" i="13" s="1"/>
  <c r="BV129" i="13"/>
  <c r="BW134" i="13" l="1"/>
  <c r="BW46" i="13" s="1"/>
  <c r="BW20" i="13" s="1"/>
  <c r="BW126" i="13"/>
  <c r="BV107" i="13"/>
  <c r="BV111" i="13"/>
  <c r="BW104" i="13"/>
  <c r="BW137" i="13" s="1"/>
  <c r="BW139" i="13" s="1"/>
  <c r="BW140" i="13" s="1"/>
  <c r="BW18" i="13" s="1"/>
  <c r="BW11" i="13" s="1"/>
  <c r="BW9" i="13" s="1"/>
  <c r="BW116" i="13" s="1"/>
  <c r="BW117" i="13" s="1"/>
  <c r="BW119" i="13" l="1"/>
  <c r="BW127" i="13"/>
  <c r="BW129" i="13"/>
  <c r="BX134" i="13" l="1"/>
  <c r="BX46" i="13" s="1"/>
  <c r="BX20" i="13" s="1"/>
  <c r="BX126" i="13"/>
  <c r="BW81" i="13"/>
  <c r="BW71" i="13" s="1"/>
  <c r="BW69" i="13" s="1"/>
  <c r="BW103" i="13" s="1"/>
  <c r="BW105" i="13" s="1"/>
  <c r="BX128" i="13"/>
  <c r="BX94" i="13" s="1"/>
  <c r="BX83" i="13" s="1"/>
  <c r="BW107" i="13" l="1"/>
  <c r="BW111" i="13"/>
  <c r="BX104" i="13"/>
  <c r="BX137" i="13" s="1"/>
  <c r="BX139" i="13" s="1"/>
  <c r="BX140" i="13" s="1"/>
  <c r="BX18" i="13" s="1"/>
  <c r="BX11" i="13" s="1"/>
  <c r="BX9" i="13" s="1"/>
  <c r="BX116" i="13" l="1"/>
  <c r="BX117" i="13" s="1"/>
  <c r="BX119" i="13" l="1"/>
  <c r="BX127" i="13"/>
  <c r="BX81" i="13" l="1"/>
  <c r="BX71" i="13" s="1"/>
  <c r="BX69" i="13" s="1"/>
  <c r="BX103" i="13" s="1"/>
  <c r="BX105" i="13" s="1"/>
  <c r="BY128" i="13"/>
  <c r="BY94" i="13" s="1"/>
  <c r="BY83" i="13" s="1"/>
  <c r="BX129" i="13"/>
  <c r="BY134" i="13" l="1"/>
  <c r="BY46" i="13" s="1"/>
  <c r="BY20" i="13" s="1"/>
  <c r="BY126" i="13"/>
  <c r="BX111" i="13"/>
  <c r="BX107" i="13"/>
  <c r="BY104" i="13"/>
  <c r="BY137" i="13" s="1"/>
  <c r="BY139" i="13" s="1"/>
  <c r="BY140" i="13" s="1"/>
  <c r="BY18" i="13" s="1"/>
  <c r="BY11" i="13" s="1"/>
  <c r="BY9" i="13" s="1"/>
  <c r="BY116" i="13" l="1"/>
  <c r="BY117" i="13" s="1"/>
  <c r="BY119" i="13" l="1"/>
  <c r="BY127" i="13"/>
  <c r="BY81" i="13" l="1"/>
  <c r="BY71" i="13" s="1"/>
  <c r="BY69" i="13" s="1"/>
  <c r="BY103" i="13" s="1"/>
  <c r="BY105" i="13" s="1"/>
  <c r="BZ128" i="13"/>
  <c r="BZ94" i="13" s="1"/>
  <c r="BZ83" i="13" s="1"/>
  <c r="BY129" i="13"/>
  <c r="BZ134" i="13" l="1"/>
  <c r="BZ46" i="13" s="1"/>
  <c r="BZ20" i="13" s="1"/>
  <c r="BZ126" i="13"/>
  <c r="BY107" i="13"/>
  <c r="BY111" i="13"/>
  <c r="BZ104" i="13"/>
  <c r="BZ137" i="13" s="1"/>
  <c r="BZ139" i="13" s="1"/>
  <c r="BZ140" i="13" s="1"/>
  <c r="BZ18" i="13" s="1"/>
  <c r="BZ11" i="13" s="1"/>
  <c r="BZ9" i="13" s="1"/>
  <c r="BZ116" i="13" l="1"/>
  <c r="BZ117" i="13" s="1"/>
  <c r="BZ119" i="13" l="1"/>
  <c r="BZ127" i="13"/>
  <c r="BZ81" i="13" l="1"/>
  <c r="BZ71" i="13" s="1"/>
  <c r="BZ69" i="13" s="1"/>
  <c r="BZ103" i="13" s="1"/>
  <c r="BZ105" i="13" s="1"/>
  <c r="CA128" i="13"/>
  <c r="CA94" i="13" s="1"/>
  <c r="CA83" i="13" s="1"/>
  <c r="BZ129" i="13"/>
  <c r="CA134" i="13" l="1"/>
  <c r="CA46" i="13" s="1"/>
  <c r="CA20" i="13" s="1"/>
  <c r="CA126" i="13"/>
  <c r="BZ111" i="13"/>
  <c r="BZ107" i="13"/>
  <c r="CA104" i="13"/>
  <c r="CA137" i="13" s="1"/>
  <c r="CA139" i="13" s="1"/>
  <c r="CA140" i="13" s="1"/>
  <c r="CA18" i="13" s="1"/>
  <c r="CA11" i="13" s="1"/>
  <c r="CA9" i="13" s="1"/>
  <c r="CA116" i="13" l="1"/>
  <c r="CA117" i="13" s="1"/>
  <c r="CA119" i="13" l="1"/>
  <c r="CA127" i="13"/>
  <c r="CA81" i="13" l="1"/>
  <c r="CA71" i="13" s="1"/>
  <c r="CA69" i="13" s="1"/>
  <c r="CA103" i="13" s="1"/>
  <c r="CA105" i="13" s="1"/>
  <c r="CB128" i="13"/>
  <c r="CB94" i="13" s="1"/>
  <c r="CB83" i="13" s="1"/>
  <c r="CA129" i="13"/>
  <c r="CB134" i="13" l="1"/>
  <c r="CB46" i="13" s="1"/>
  <c r="CB20" i="13" s="1"/>
  <c r="CB126" i="13"/>
  <c r="CA107" i="13"/>
  <c r="CA111" i="13"/>
  <c r="CB104" i="13"/>
  <c r="CB137" i="13" s="1"/>
  <c r="CB139" i="13" s="1"/>
  <c r="CB140" i="13" s="1"/>
  <c r="CB18" i="13" s="1"/>
  <c r="CB11" i="13" s="1"/>
  <c r="CB9" i="13" s="1"/>
  <c r="CB116" i="13" l="1"/>
  <c r="CB117" i="13" s="1"/>
  <c r="CB119" i="13" l="1"/>
  <c r="CB127" i="13"/>
  <c r="CB81" i="13" l="1"/>
  <c r="CB71" i="13" s="1"/>
  <c r="CB69" i="13" s="1"/>
  <c r="CB103" i="13" s="1"/>
  <c r="CB105" i="13" s="1"/>
  <c r="CC128" i="13"/>
  <c r="CC94" i="13" s="1"/>
  <c r="CC83" i="13" s="1"/>
  <c r="CB129" i="13"/>
  <c r="CC134" i="13" l="1"/>
  <c r="CC46" i="13" s="1"/>
  <c r="CC20" i="13" s="1"/>
  <c r="CC126" i="13"/>
  <c r="CB107" i="13"/>
  <c r="CB111" i="13"/>
  <c r="CC104" i="13"/>
  <c r="CC137" i="13" s="1"/>
  <c r="CC139" i="13" s="1"/>
  <c r="CC140" i="13" s="1"/>
  <c r="CC18" i="13" s="1"/>
  <c r="CC11" i="13" s="1"/>
  <c r="CC9" i="13" s="1"/>
  <c r="CC116" i="13" l="1"/>
  <c r="CC117" i="13" s="1"/>
  <c r="CC119" i="13" l="1"/>
  <c r="CC127" i="13"/>
  <c r="CC81" i="13" l="1"/>
  <c r="CC71" i="13" s="1"/>
  <c r="CC69" i="13" s="1"/>
  <c r="CC103" i="13" s="1"/>
  <c r="CC105" i="13" s="1"/>
  <c r="CD128" i="13"/>
  <c r="CD94" i="13" s="1"/>
  <c r="CD83" i="13" s="1"/>
  <c r="CC129" i="13"/>
  <c r="CD134" i="13" l="1"/>
  <c r="CD46" i="13" s="1"/>
  <c r="CD20" i="13" s="1"/>
  <c r="CD126" i="13"/>
  <c r="CC107" i="13"/>
  <c r="CC111" i="13"/>
  <c r="CD104" i="13"/>
  <c r="CD137" i="13" s="1"/>
  <c r="CD139" i="13" s="1"/>
  <c r="CD140" i="13" s="1"/>
  <c r="CD18" i="13" s="1"/>
  <c r="CD11" i="13" s="1"/>
  <c r="CD9" i="13" s="1"/>
  <c r="CD116" i="13" l="1"/>
  <c r="CD117" i="13" s="1"/>
  <c r="CD119" i="13" l="1"/>
  <c r="CD127" i="13"/>
  <c r="CD81" i="13" l="1"/>
  <c r="CD71" i="13" s="1"/>
  <c r="CD69" i="13" s="1"/>
  <c r="CD103" i="13" s="1"/>
  <c r="CD105" i="13" s="1"/>
  <c r="CE128" i="13"/>
  <c r="CE94" i="13" s="1"/>
  <c r="CE83" i="13" s="1"/>
  <c r="CD129" i="13"/>
  <c r="CE134" i="13" l="1"/>
  <c r="CE46" i="13" s="1"/>
  <c r="CE20" i="13" s="1"/>
  <c r="CE126" i="13"/>
  <c r="CD107" i="13"/>
  <c r="CD111" i="13"/>
  <c r="CE104" i="13"/>
  <c r="CE137" i="13" s="1"/>
  <c r="CE139" i="13" s="1"/>
  <c r="CE140" i="13" s="1"/>
  <c r="CE18" i="13" s="1"/>
  <c r="CE11" i="13" s="1"/>
  <c r="CE9" i="13" s="1"/>
  <c r="CE116" i="13" l="1"/>
  <c r="CE117" i="13" s="1"/>
  <c r="CE119" i="13" l="1"/>
  <c r="CE127" i="13"/>
  <c r="CE81" i="13" l="1"/>
  <c r="CE71" i="13" s="1"/>
  <c r="CE69" i="13" s="1"/>
  <c r="CE103" i="13" s="1"/>
  <c r="CE105" i="13" s="1"/>
  <c r="CF128" i="13"/>
  <c r="CF94" i="13" s="1"/>
  <c r="CF83" i="13" s="1"/>
  <c r="CE129" i="13"/>
  <c r="CF134" i="13" l="1"/>
  <c r="CF46" i="13" s="1"/>
  <c r="CF20" i="13" s="1"/>
  <c r="CF126" i="13"/>
  <c r="CE111" i="13"/>
  <c r="CE107" i="13"/>
  <c r="CF104" i="13"/>
  <c r="CF137" i="13" s="1"/>
  <c r="CF139" i="13" s="1"/>
  <c r="CF140" i="13" s="1"/>
  <c r="CF18" i="13" s="1"/>
  <c r="CF11" i="13" s="1"/>
  <c r="CF9" i="13" s="1"/>
  <c r="CF116" i="13" l="1"/>
  <c r="CF117" i="13" s="1"/>
  <c r="CF119" i="13" l="1"/>
  <c r="CF127" i="13"/>
  <c r="CF81" i="13" l="1"/>
  <c r="CF71" i="13" s="1"/>
  <c r="CF69" i="13" s="1"/>
  <c r="CF103" i="13" s="1"/>
  <c r="CF105" i="13" s="1"/>
  <c r="CG128" i="13"/>
  <c r="CG94" i="13" s="1"/>
  <c r="CG83" i="13" s="1"/>
  <c r="CF129" i="13"/>
  <c r="CG134" i="13" l="1"/>
  <c r="CG46" i="13" s="1"/>
  <c r="CG20" i="13" s="1"/>
  <c r="CG126" i="13"/>
  <c r="CF107" i="13"/>
  <c r="CF111" i="13"/>
  <c r="CG104" i="13"/>
  <c r="CG137" i="13" s="1"/>
  <c r="CG139" i="13" s="1"/>
  <c r="CG140" i="13" s="1"/>
  <c r="CG18" i="13" s="1"/>
  <c r="CG11" i="13" s="1"/>
  <c r="CG9" i="13" s="1"/>
  <c r="CG116" i="13" l="1"/>
  <c r="CG117" i="13" s="1"/>
  <c r="CG119" i="13" l="1"/>
  <c r="CG127" i="13"/>
  <c r="CG81" i="13" l="1"/>
  <c r="CG71" i="13" s="1"/>
  <c r="CG69" i="13" s="1"/>
  <c r="CG103" i="13" s="1"/>
  <c r="CG105" i="13" s="1"/>
  <c r="CH128" i="13"/>
  <c r="CH94" i="13" s="1"/>
  <c r="CH83" i="13" s="1"/>
  <c r="CG129" i="13"/>
  <c r="CH134" i="13" l="1"/>
  <c r="CH46" i="13" s="1"/>
  <c r="CH20" i="13" s="1"/>
  <c r="CH126" i="13"/>
  <c r="CG107" i="13"/>
  <c r="CG111" i="13"/>
  <c r="CH104" i="13"/>
  <c r="CH137" i="13" s="1"/>
  <c r="CH139" i="13" s="1"/>
  <c r="CH140" i="13" s="1"/>
  <c r="CH18" i="13" s="1"/>
  <c r="CH11" i="13" s="1"/>
  <c r="CH9" i="13" s="1"/>
  <c r="CH116" i="13" l="1"/>
  <c r="CH117" i="13" s="1"/>
  <c r="CH119" i="13" l="1"/>
  <c r="CH127" i="13"/>
  <c r="CH81" i="13" l="1"/>
  <c r="CH71" i="13" s="1"/>
  <c r="CH69" i="13" s="1"/>
  <c r="CH103" i="13" s="1"/>
  <c r="CH105" i="13" s="1"/>
  <c r="CI128" i="13"/>
  <c r="CI94" i="13" s="1"/>
  <c r="CI83" i="13" s="1"/>
  <c r="CH129" i="13"/>
  <c r="CI134" i="13" l="1"/>
  <c r="CI46" i="13" s="1"/>
  <c r="CI20" i="13" s="1"/>
  <c r="CI126" i="13"/>
  <c r="CH107" i="13"/>
  <c r="CH111" i="13"/>
  <c r="CI104" i="13"/>
  <c r="CI137" i="13" s="1"/>
  <c r="CI139" i="13" s="1"/>
  <c r="CI140" i="13" s="1"/>
  <c r="CI18" i="13" s="1"/>
  <c r="CI11" i="13" s="1"/>
  <c r="CI9" i="13" s="1"/>
  <c r="CI116" i="13" l="1"/>
  <c r="CI117" i="13" s="1"/>
  <c r="CI119" i="13" l="1"/>
  <c r="CI127" i="13"/>
  <c r="CI81" i="13" l="1"/>
  <c r="CI71" i="13" s="1"/>
  <c r="CI69" i="13" s="1"/>
  <c r="CI103" i="13" s="1"/>
  <c r="CI105" i="13" s="1"/>
  <c r="CJ128" i="13"/>
  <c r="CJ94" i="13" s="1"/>
  <c r="CJ83" i="13" s="1"/>
  <c r="CI129" i="13"/>
  <c r="CJ134" i="13" l="1"/>
  <c r="CJ46" i="13" s="1"/>
  <c r="CJ20" i="13" s="1"/>
  <c r="CJ126" i="13"/>
  <c r="CI107" i="13"/>
  <c r="CI111" i="13"/>
  <c r="CJ104" i="13"/>
  <c r="CJ137" i="13" s="1"/>
  <c r="CJ139" i="13" s="1"/>
  <c r="CJ140" i="13" s="1"/>
  <c r="CJ18" i="13" s="1"/>
  <c r="CJ11" i="13" s="1"/>
  <c r="CJ9" i="13" s="1"/>
  <c r="CJ116" i="13" l="1"/>
  <c r="CJ117" i="13" s="1"/>
  <c r="CJ119" i="13" l="1"/>
  <c r="CJ127" i="13"/>
  <c r="CJ81" i="13" l="1"/>
  <c r="CJ71" i="13" s="1"/>
  <c r="CJ69" i="13" s="1"/>
  <c r="CJ103" i="13" s="1"/>
  <c r="CJ105" i="13" s="1"/>
  <c r="CK128" i="13"/>
  <c r="CK94" i="13" s="1"/>
  <c r="CK83" i="13" s="1"/>
  <c r="CJ129" i="13"/>
  <c r="CK134" i="13" l="1"/>
  <c r="CK46" i="13" s="1"/>
  <c r="CK20" i="13" s="1"/>
  <c r="CK126" i="13"/>
  <c r="CJ107" i="13"/>
  <c r="CJ111" i="13"/>
  <c r="CK104" i="13"/>
  <c r="CK137" i="13" s="1"/>
  <c r="CK139" i="13" s="1"/>
  <c r="CK140" i="13" s="1"/>
  <c r="CK18" i="13" s="1"/>
  <c r="CK11" i="13" s="1"/>
  <c r="CK9" i="13" s="1"/>
  <c r="CK116" i="13" l="1"/>
  <c r="CK117" i="13" s="1"/>
  <c r="CK119" i="13" l="1"/>
  <c r="CK127" i="13"/>
  <c r="CK81" i="13" l="1"/>
  <c r="CK71" i="13" s="1"/>
  <c r="CK69" i="13" s="1"/>
  <c r="CK103" i="13" s="1"/>
  <c r="CK105" i="13" s="1"/>
  <c r="CL128" i="13"/>
  <c r="CL94" i="13" s="1"/>
  <c r="CL83" i="13" s="1"/>
  <c r="CK129" i="13"/>
  <c r="CL134" i="13" l="1"/>
  <c r="CL46" i="13" s="1"/>
  <c r="CL20" i="13" s="1"/>
  <c r="CL126" i="13"/>
  <c r="CK107" i="13"/>
  <c r="CK111" i="13"/>
  <c r="CL104" i="13"/>
  <c r="CL137" i="13" s="1"/>
  <c r="CL139" i="13" s="1"/>
  <c r="CL140" i="13" s="1"/>
  <c r="CL18" i="13" s="1"/>
  <c r="CL11" i="13" s="1"/>
  <c r="CL9" i="13" s="1"/>
  <c r="CL116" i="13" l="1"/>
  <c r="CL117" i="13" s="1"/>
  <c r="CL119" i="13" l="1"/>
  <c r="CL127" i="13"/>
  <c r="CL81" i="13" l="1"/>
  <c r="CL71" i="13" s="1"/>
  <c r="CL69" i="13" s="1"/>
  <c r="CL103" i="13" s="1"/>
  <c r="CL105" i="13" s="1"/>
  <c r="CM128" i="13"/>
  <c r="CM94" i="13" s="1"/>
  <c r="CM83" i="13" s="1"/>
  <c r="CL129" i="13"/>
  <c r="CM134" i="13" l="1"/>
  <c r="CM46" i="13" s="1"/>
  <c r="CM20" i="13" s="1"/>
  <c r="CM126" i="13"/>
  <c r="CL111" i="13"/>
  <c r="CL107" i="13"/>
  <c r="CM104" i="13"/>
  <c r="CM137" i="13" s="1"/>
  <c r="CM139" i="13" s="1"/>
  <c r="CM140" i="13" s="1"/>
  <c r="CM18" i="13" s="1"/>
  <c r="CM11" i="13" s="1"/>
  <c r="CM9" i="13" s="1"/>
  <c r="CM116" i="13" l="1"/>
  <c r="CM117" i="13" s="1"/>
  <c r="CM119" i="13" l="1"/>
  <c r="CM127" i="13"/>
  <c r="CM81" i="13" l="1"/>
  <c r="CM71" i="13" s="1"/>
  <c r="CM69" i="13" s="1"/>
  <c r="CM103" i="13" s="1"/>
  <c r="CM105" i="13" s="1"/>
  <c r="CN128" i="13"/>
  <c r="CN94" i="13" s="1"/>
  <c r="CN83" i="13" s="1"/>
  <c r="CM129" i="13"/>
  <c r="CN134" i="13" l="1"/>
  <c r="CN46" i="13" s="1"/>
  <c r="CN20" i="13" s="1"/>
  <c r="CN126" i="13"/>
  <c r="CM111" i="13"/>
  <c r="CM107" i="13"/>
  <c r="CN104" i="13"/>
  <c r="CN137" i="13" s="1"/>
  <c r="CN139" i="13" s="1"/>
  <c r="CN140" i="13" s="1"/>
  <c r="CN18" i="13" s="1"/>
  <c r="CN11" i="13" s="1"/>
  <c r="CN9" i="13" s="1"/>
  <c r="CN116" i="13" l="1"/>
  <c r="CN117" i="13" s="1"/>
  <c r="CN119" i="13" l="1"/>
  <c r="CN127" i="13"/>
  <c r="CN81" i="13" l="1"/>
  <c r="CN71" i="13" s="1"/>
  <c r="CN69" i="13" s="1"/>
  <c r="CN103" i="13" s="1"/>
  <c r="CN105" i="13" s="1"/>
  <c r="CO128" i="13"/>
  <c r="CO94" i="13" s="1"/>
  <c r="CO83" i="13" s="1"/>
  <c r="CN129" i="13"/>
  <c r="CO134" i="13" l="1"/>
  <c r="CO46" i="13" s="1"/>
  <c r="CO20" i="13" s="1"/>
  <c r="CO126" i="13"/>
  <c r="CN107" i="13"/>
  <c r="CN111" i="13"/>
  <c r="CO104" i="13"/>
  <c r="CO137" i="13" s="1"/>
  <c r="CO139" i="13" s="1"/>
  <c r="CO140" i="13" s="1"/>
  <c r="CO18" i="13" s="1"/>
  <c r="CO11" i="13" s="1"/>
  <c r="CO9" i="13" s="1"/>
  <c r="CO116" i="13" l="1"/>
  <c r="CO117" i="13" s="1"/>
  <c r="CO119" i="13" l="1"/>
  <c r="CO127" i="13"/>
  <c r="CO81" i="13" l="1"/>
  <c r="CO71" i="13" s="1"/>
  <c r="CO69" i="13" s="1"/>
  <c r="CO103" i="13" s="1"/>
  <c r="CO105" i="13" s="1"/>
  <c r="CP128" i="13"/>
  <c r="CP94" i="13" s="1"/>
  <c r="CP83" i="13" s="1"/>
  <c r="CO129" i="13"/>
  <c r="CP134" i="13" l="1"/>
  <c r="CP46" i="13" s="1"/>
  <c r="CP20" i="13" s="1"/>
  <c r="CP126" i="13"/>
  <c r="CO111" i="13"/>
  <c r="CO107" i="13"/>
  <c r="CP104" i="13"/>
  <c r="CP137" i="13" s="1"/>
  <c r="CP139" i="13" s="1"/>
  <c r="CP140" i="13" s="1"/>
  <c r="CP18" i="13" s="1"/>
  <c r="CP11" i="13" s="1"/>
  <c r="CP9" i="13" s="1"/>
  <c r="CP116" i="13" s="1"/>
  <c r="CP117" i="13" s="1"/>
  <c r="CP119" i="13" l="1"/>
  <c r="CP127" i="13"/>
  <c r="CP129" i="13"/>
  <c r="CQ134" i="13" l="1"/>
  <c r="CQ46" i="13" s="1"/>
  <c r="CQ20" i="13" s="1"/>
  <c r="CQ126" i="13"/>
  <c r="CP81" i="13"/>
  <c r="CP71" i="13" s="1"/>
  <c r="CP69" i="13" s="1"/>
  <c r="CP103" i="13" s="1"/>
  <c r="CP105" i="13" s="1"/>
  <c r="CQ128" i="13"/>
  <c r="CQ94" i="13" s="1"/>
  <c r="CQ83" i="13" s="1"/>
  <c r="CP111" i="13" l="1"/>
  <c r="CP107" i="13"/>
  <c r="CQ104" i="13"/>
  <c r="CQ137" i="13" s="1"/>
  <c r="CQ139" i="13" s="1"/>
  <c r="CQ140" i="13" s="1"/>
  <c r="CQ18" i="13" s="1"/>
  <c r="CQ11" i="13" s="1"/>
  <c r="CQ9" i="13" s="1"/>
  <c r="CQ116" i="13" s="1"/>
  <c r="CQ117" i="13" s="1"/>
  <c r="CQ119" i="13" l="1"/>
  <c r="CQ127" i="13"/>
  <c r="CQ81" i="13" l="1"/>
  <c r="CQ71" i="13" s="1"/>
  <c r="CQ69" i="13" s="1"/>
  <c r="CQ103" i="13" s="1"/>
  <c r="CQ105" i="13" s="1"/>
  <c r="CR128" i="13"/>
  <c r="CR94" i="13" s="1"/>
  <c r="CR83" i="13" s="1"/>
  <c r="CQ129" i="13"/>
  <c r="CR134" i="13" l="1"/>
  <c r="CR46" i="13" s="1"/>
  <c r="CR20" i="13" s="1"/>
  <c r="CR126" i="13"/>
  <c r="CQ107" i="13"/>
  <c r="CQ111" i="13"/>
  <c r="CR104" i="13"/>
  <c r="CR137" i="13" s="1"/>
  <c r="CR139" i="13" s="1"/>
  <c r="CR140" i="13" s="1"/>
  <c r="CR18" i="13" s="1"/>
  <c r="CR11" i="13" s="1"/>
  <c r="CR9" i="13" s="1"/>
  <c r="CR116" i="13" l="1"/>
  <c r="CR117" i="13" s="1"/>
  <c r="CR119" i="13" l="1"/>
  <c r="CR127" i="13"/>
  <c r="CR81" i="13" l="1"/>
  <c r="CR71" i="13" s="1"/>
  <c r="CR69" i="13" s="1"/>
  <c r="CR103" i="13" s="1"/>
  <c r="CR105" i="13" s="1"/>
  <c r="CS128" i="13"/>
  <c r="CS94" i="13" s="1"/>
  <c r="CS83" i="13" s="1"/>
  <c r="CR129" i="13"/>
  <c r="CS134" i="13" l="1"/>
  <c r="CS46" i="13" s="1"/>
  <c r="CS20" i="13" s="1"/>
  <c r="CS126" i="13"/>
  <c r="CR107" i="13"/>
  <c r="CR111" i="13"/>
  <c r="CS104" i="13"/>
  <c r="CS137" i="13" s="1"/>
  <c r="CS139" i="13" s="1"/>
  <c r="CS140" i="13" s="1"/>
  <c r="CS18" i="13" s="1"/>
  <c r="CS11" i="13" s="1"/>
  <c r="CS9" i="13" s="1"/>
  <c r="CS116" i="13" l="1"/>
  <c r="CS117" i="13" s="1"/>
  <c r="CS119" i="13" l="1"/>
  <c r="CS127" i="13"/>
  <c r="CS81" i="13" l="1"/>
  <c r="CS71" i="13" s="1"/>
  <c r="CS69" i="13" s="1"/>
  <c r="CS103" i="13" s="1"/>
  <c r="CS105" i="13" s="1"/>
  <c r="CT128" i="13"/>
  <c r="CT94" i="13" s="1"/>
  <c r="CT83" i="13" s="1"/>
  <c r="CS129" i="13"/>
  <c r="CT134" i="13" l="1"/>
  <c r="CT46" i="13" s="1"/>
  <c r="CT20" i="13" s="1"/>
  <c r="CT126" i="13"/>
  <c r="CS107" i="13"/>
  <c r="CS111" i="13"/>
  <c r="CT104" i="13"/>
  <c r="CT137" i="13" s="1"/>
  <c r="CT139" i="13" s="1"/>
  <c r="CT140" i="13" s="1"/>
  <c r="CT18" i="13" s="1"/>
  <c r="CT11" i="13" s="1"/>
  <c r="CT9" i="13" s="1"/>
  <c r="CT116" i="13" l="1"/>
  <c r="CT117" i="13" s="1"/>
  <c r="CT119" i="13" l="1"/>
  <c r="CT127" i="13"/>
  <c r="CT81" i="13" l="1"/>
  <c r="CT71" i="13" s="1"/>
  <c r="CT69" i="13" s="1"/>
  <c r="CT103" i="13" s="1"/>
  <c r="CT105" i="13" s="1"/>
  <c r="CU128" i="13"/>
  <c r="CU94" i="13" s="1"/>
  <c r="CU83" i="13" s="1"/>
  <c r="CT129" i="13"/>
  <c r="CU134" i="13" l="1"/>
  <c r="CU46" i="13" s="1"/>
  <c r="CU20" i="13" s="1"/>
  <c r="CU126" i="13"/>
  <c r="CT107" i="13"/>
  <c r="CU104" i="13"/>
  <c r="CU137" i="13" s="1"/>
  <c r="CU139" i="13" s="1"/>
  <c r="CU140" i="13" s="1"/>
  <c r="CU18" i="13" s="1"/>
  <c r="CU11" i="13" s="1"/>
  <c r="CU9" i="13" s="1"/>
  <c r="CT111" i="13"/>
  <c r="CU116" i="13" l="1"/>
  <c r="CU117" i="13" s="1"/>
  <c r="CU119" i="13" l="1"/>
  <c r="CU127" i="13"/>
  <c r="CU81" i="13" l="1"/>
  <c r="CU71" i="13" s="1"/>
  <c r="CU69" i="13" s="1"/>
  <c r="CU103" i="13" s="1"/>
  <c r="CU105" i="13" s="1"/>
  <c r="CV128" i="13"/>
  <c r="CV94" i="13" s="1"/>
  <c r="CV83" i="13" s="1"/>
  <c r="CU129" i="13"/>
  <c r="CV134" i="13" l="1"/>
  <c r="CV46" i="13" s="1"/>
  <c r="CV20" i="13" s="1"/>
  <c r="CV126" i="13"/>
  <c r="CU107" i="13"/>
  <c r="CU111" i="13"/>
  <c r="CV104" i="13"/>
  <c r="CV137" i="13" s="1"/>
  <c r="CV139" i="13" s="1"/>
  <c r="CV140" i="13" s="1"/>
  <c r="CV18" i="13" s="1"/>
  <c r="CV11" i="13" s="1"/>
  <c r="CV9" i="13" s="1"/>
  <c r="CV116" i="13" l="1"/>
  <c r="CV117" i="13" s="1"/>
  <c r="CV119" i="13" l="1"/>
  <c r="CV127" i="13"/>
  <c r="CV81" i="13" l="1"/>
  <c r="CV71" i="13" s="1"/>
  <c r="CV69" i="13" s="1"/>
  <c r="CV103" i="13" s="1"/>
  <c r="CV105" i="13" s="1"/>
  <c r="CW128" i="13"/>
  <c r="CW94" i="13" s="1"/>
  <c r="CW83" i="13" s="1"/>
  <c r="CV129" i="13"/>
  <c r="CW134" i="13" l="1"/>
  <c r="CW46" i="13" s="1"/>
  <c r="CW20" i="13" s="1"/>
  <c r="CW126" i="13"/>
  <c r="CV111" i="13"/>
  <c r="CV107" i="13"/>
  <c r="CW104" i="13"/>
  <c r="CW137" i="13" s="1"/>
  <c r="CW139" i="13" s="1"/>
  <c r="CW140" i="13" s="1"/>
  <c r="CW18" i="13" s="1"/>
  <c r="CW11" i="13" s="1"/>
  <c r="CW9" i="13" s="1"/>
  <c r="CW116" i="13" l="1"/>
  <c r="CW117" i="13" s="1"/>
  <c r="CW119" i="13" l="1"/>
  <c r="CW127" i="13"/>
  <c r="CW81" i="13" l="1"/>
  <c r="CW71" i="13" s="1"/>
  <c r="CW69" i="13" s="1"/>
  <c r="CW103" i="13" s="1"/>
  <c r="CW105" i="13" s="1"/>
  <c r="CX128" i="13"/>
  <c r="CX94" i="13" s="1"/>
  <c r="CX83" i="13" s="1"/>
  <c r="CW129" i="13"/>
  <c r="CX134" i="13" l="1"/>
  <c r="CX46" i="13" s="1"/>
  <c r="CX20" i="13" s="1"/>
  <c r="CX126" i="13"/>
  <c r="CW107" i="13"/>
  <c r="CW111" i="13"/>
  <c r="CX104" i="13"/>
  <c r="CX137" i="13" s="1"/>
  <c r="CX139" i="13" s="1"/>
  <c r="CX140" i="13" s="1"/>
  <c r="CX18" i="13" s="1"/>
  <c r="CX11" i="13" s="1"/>
  <c r="CX9" i="13" s="1"/>
  <c r="CX116" i="13" l="1"/>
  <c r="CX117" i="13" s="1"/>
  <c r="CX119" i="13" l="1"/>
  <c r="CX127" i="13"/>
  <c r="CX81" i="13" l="1"/>
  <c r="CX71" i="13" s="1"/>
  <c r="CX69" i="13" s="1"/>
  <c r="CX103" i="13" s="1"/>
  <c r="CX105" i="13" s="1"/>
  <c r="CY128" i="13"/>
  <c r="CY94" i="13" s="1"/>
  <c r="CY83" i="13" s="1"/>
  <c r="CX129" i="13"/>
  <c r="CY134" i="13" l="1"/>
  <c r="CY46" i="13" s="1"/>
  <c r="CY20" i="13" s="1"/>
  <c r="CY126" i="13"/>
  <c r="CX107" i="13"/>
  <c r="CX111" i="13"/>
  <c r="CY104" i="13"/>
  <c r="CY137" i="13" s="1"/>
  <c r="CY139" i="13" s="1"/>
  <c r="CY140" i="13" s="1"/>
  <c r="CY18" i="13" s="1"/>
  <c r="CY11" i="13" s="1"/>
  <c r="CY9" i="13" s="1"/>
  <c r="CY116" i="13" s="1"/>
  <c r="CY117" i="13" s="1"/>
  <c r="CY119" i="13" l="1"/>
  <c r="CY127" i="13"/>
  <c r="CY129" i="13"/>
  <c r="CZ134" i="13" l="1"/>
  <c r="CZ46" i="13" s="1"/>
  <c r="CZ20" i="13" s="1"/>
  <c r="CZ126" i="13"/>
  <c r="CY81" i="13"/>
  <c r="CY71" i="13" s="1"/>
  <c r="CY69" i="13" s="1"/>
  <c r="CY103" i="13" s="1"/>
  <c r="CY105" i="13" s="1"/>
  <c r="CZ128" i="13"/>
  <c r="CZ94" i="13" s="1"/>
  <c r="CZ83" i="13" s="1"/>
  <c r="CY107" i="13" l="1"/>
  <c r="CY111" i="13"/>
  <c r="CZ104" i="13"/>
  <c r="CZ137" i="13" s="1"/>
  <c r="CZ139" i="13" s="1"/>
  <c r="CZ140" i="13" s="1"/>
  <c r="CZ18" i="13" s="1"/>
  <c r="CZ11" i="13" s="1"/>
  <c r="CZ9" i="13" s="1"/>
  <c r="CZ116" i="13" l="1"/>
  <c r="CZ117" i="13" s="1"/>
  <c r="CZ119" i="13" l="1"/>
  <c r="CZ127" i="13"/>
  <c r="CZ81" i="13" l="1"/>
  <c r="CZ71" i="13" s="1"/>
  <c r="CZ69" i="13" s="1"/>
  <c r="CZ103" i="13" s="1"/>
  <c r="CZ105" i="13" s="1"/>
  <c r="DA128" i="13"/>
  <c r="DA94" i="13" s="1"/>
  <c r="DA83" i="13" s="1"/>
  <c r="CZ129" i="13"/>
  <c r="DA134" i="13" l="1"/>
  <c r="DA46" i="13" s="1"/>
  <c r="DA20" i="13" s="1"/>
  <c r="DA126" i="13"/>
  <c r="CZ107" i="13"/>
  <c r="CZ111" i="13"/>
  <c r="DA104" i="13"/>
  <c r="DA137" i="13" s="1"/>
  <c r="DA139" i="13" s="1"/>
  <c r="DA140" i="13" s="1"/>
  <c r="DA18" i="13" s="1"/>
  <c r="DA11" i="13" s="1"/>
  <c r="DA9" i="13" s="1"/>
  <c r="DA116" i="13" l="1"/>
  <c r="DA117" i="13" s="1"/>
  <c r="DA119" i="13" l="1"/>
  <c r="DA127" i="13"/>
  <c r="DA81" i="13" l="1"/>
  <c r="DA71" i="13" s="1"/>
  <c r="DA69" i="13" s="1"/>
  <c r="DA103" i="13" s="1"/>
  <c r="DA105" i="13" s="1"/>
  <c r="DB128" i="13"/>
  <c r="DB94" i="13" s="1"/>
  <c r="DB83" i="13" s="1"/>
  <c r="DA129" i="13"/>
  <c r="DB134" i="13" l="1"/>
  <c r="DB46" i="13" s="1"/>
  <c r="DB20" i="13" s="1"/>
  <c r="DB126" i="13"/>
  <c r="DA111" i="13"/>
  <c r="DA107" i="13"/>
  <c r="DB104" i="13"/>
  <c r="DB137" i="13" s="1"/>
  <c r="DB139" i="13" s="1"/>
  <c r="DB140" i="13" s="1"/>
  <c r="DB18" i="13" s="1"/>
  <c r="DB11" i="13" s="1"/>
  <c r="DB9" i="13" s="1"/>
  <c r="DB116" i="13" l="1"/>
  <c r="DB117" i="13" s="1"/>
  <c r="DB119" i="13" l="1"/>
  <c r="DB127" i="13"/>
  <c r="DB81" i="13" l="1"/>
  <c r="DB71" i="13" s="1"/>
  <c r="DB69" i="13" s="1"/>
  <c r="DB103" i="13" s="1"/>
  <c r="DB105" i="13" s="1"/>
  <c r="DC128" i="13"/>
  <c r="DC94" i="13" s="1"/>
  <c r="DC83" i="13" s="1"/>
  <c r="DB129" i="13"/>
  <c r="DC134" i="13" l="1"/>
  <c r="DC46" i="13" s="1"/>
  <c r="DC20" i="13" s="1"/>
  <c r="DC126" i="13"/>
  <c r="DB107" i="13"/>
  <c r="DB111" i="13"/>
  <c r="DC104" i="13"/>
  <c r="DC137" i="13" s="1"/>
  <c r="DC139" i="13" s="1"/>
  <c r="DC140" i="13" s="1"/>
  <c r="DC18" i="13" s="1"/>
  <c r="DC11" i="13" s="1"/>
  <c r="DC9" i="13" s="1"/>
  <c r="DC116" i="13" l="1"/>
  <c r="DC117" i="13" s="1"/>
  <c r="DC119" i="13" l="1"/>
  <c r="DC127" i="13"/>
  <c r="DC81" i="13" l="1"/>
  <c r="DC71" i="13" s="1"/>
  <c r="DC69" i="13" s="1"/>
  <c r="DC103" i="13" s="1"/>
  <c r="DC105" i="13" s="1"/>
  <c r="DD128" i="13"/>
  <c r="DD94" i="13" s="1"/>
  <c r="DD83" i="13" s="1"/>
  <c r="DC129" i="13"/>
  <c r="DD134" i="13" l="1"/>
  <c r="DD46" i="13" s="1"/>
  <c r="DD20" i="13" s="1"/>
  <c r="DD126" i="13"/>
  <c r="DC107" i="13"/>
  <c r="DC111" i="13"/>
  <c r="DD104" i="13"/>
  <c r="DD137" i="13" s="1"/>
  <c r="DD139" i="13" s="1"/>
  <c r="DD140" i="13" s="1"/>
  <c r="DD18" i="13" s="1"/>
  <c r="DD11" i="13" s="1"/>
  <c r="DD9" i="13" s="1"/>
  <c r="DD116" i="13" l="1"/>
  <c r="DD117" i="13" s="1"/>
  <c r="DD119" i="13" l="1"/>
  <c r="DD127" i="13"/>
  <c r="DD81" i="13" l="1"/>
  <c r="DD71" i="13" s="1"/>
  <c r="DD69" i="13" s="1"/>
  <c r="DD103" i="13" s="1"/>
  <c r="DD105" i="13" s="1"/>
  <c r="DE128" i="13"/>
  <c r="DE94" i="13" s="1"/>
  <c r="DE83" i="13" s="1"/>
  <c r="DD129" i="13"/>
  <c r="DE134" i="13" l="1"/>
  <c r="DE46" i="13" s="1"/>
  <c r="DE20" i="13" s="1"/>
  <c r="DE126" i="13"/>
  <c r="DD111" i="13"/>
  <c r="DD107" i="13"/>
  <c r="DE104" i="13"/>
  <c r="DE137" i="13" s="1"/>
  <c r="DE139" i="13" s="1"/>
  <c r="DE140" i="13" s="1"/>
  <c r="DE18" i="13" s="1"/>
  <c r="DE11" i="13" s="1"/>
  <c r="DE9" i="13" s="1"/>
  <c r="DE116" i="13" l="1"/>
  <c r="DE117" i="13" s="1"/>
  <c r="DE119" i="13" l="1"/>
  <c r="DE127" i="13"/>
  <c r="DE81" i="13" l="1"/>
  <c r="DE71" i="13" s="1"/>
  <c r="DE69" i="13" s="1"/>
  <c r="DE103" i="13" s="1"/>
  <c r="DE105" i="13" s="1"/>
  <c r="DF128" i="13"/>
  <c r="DF94" i="13" s="1"/>
  <c r="DF83" i="13" s="1"/>
  <c r="DE129" i="13"/>
  <c r="DF126" i="13" l="1"/>
  <c r="DF134" i="13"/>
  <c r="DF46" i="13" s="1"/>
  <c r="DF20" i="13" s="1"/>
  <c r="DE107" i="13"/>
  <c r="DE111" i="13"/>
  <c r="DF104" i="13"/>
  <c r="DF137" i="13" s="1"/>
  <c r="DF139" i="13" s="1"/>
  <c r="DF140" i="13" s="1"/>
  <c r="DF18" i="13" s="1"/>
  <c r="DF11" i="13" s="1"/>
  <c r="DF9" i="13" s="1"/>
  <c r="DF116" i="13" l="1"/>
  <c r="DF117" i="13" s="1"/>
  <c r="DF119" i="13" l="1"/>
  <c r="DF127" i="13"/>
  <c r="DF81" i="13" l="1"/>
  <c r="DF71" i="13" s="1"/>
  <c r="DF69" i="13" s="1"/>
  <c r="DF103" i="13" s="1"/>
  <c r="DF105" i="13" s="1"/>
  <c r="DG128" i="13"/>
  <c r="DG94" i="13" s="1"/>
  <c r="DG83" i="13" s="1"/>
  <c r="DF129" i="13"/>
  <c r="DG134" i="13" l="1"/>
  <c r="DG46" i="13" s="1"/>
  <c r="DG20" i="13" s="1"/>
  <c r="DG126" i="13"/>
  <c r="DF111" i="13"/>
  <c r="DF107" i="13"/>
  <c r="DG104" i="13"/>
  <c r="DG137" i="13" s="1"/>
  <c r="DG139" i="13" s="1"/>
  <c r="DG140" i="13" s="1"/>
  <c r="DG18" i="13" s="1"/>
  <c r="DG11" i="13" s="1"/>
  <c r="DG9" i="13" s="1"/>
  <c r="DG116" i="13" l="1"/>
  <c r="DG117" i="13" s="1"/>
  <c r="DG119" i="13" l="1"/>
  <c r="DG127" i="13"/>
  <c r="DG81" i="13" l="1"/>
  <c r="DG71" i="13" s="1"/>
  <c r="DG69" i="13" s="1"/>
  <c r="DG103" i="13" s="1"/>
  <c r="DG105" i="13" s="1"/>
  <c r="DH128" i="13"/>
  <c r="DH94" i="13" s="1"/>
  <c r="DH83" i="13" s="1"/>
  <c r="DG129" i="13"/>
  <c r="DH134" i="13" l="1"/>
  <c r="DH46" i="13" s="1"/>
  <c r="DH20" i="13" s="1"/>
  <c r="DH126" i="13"/>
  <c r="DG107" i="13"/>
  <c r="DG111" i="13"/>
  <c r="DH104" i="13"/>
  <c r="DH137" i="13" s="1"/>
  <c r="DH139" i="13" s="1"/>
  <c r="DH140" i="13" s="1"/>
  <c r="DH18" i="13" s="1"/>
  <c r="DH11" i="13" s="1"/>
  <c r="DH9" i="13" s="1"/>
  <c r="DH116" i="13" l="1"/>
  <c r="DH117" i="13" s="1"/>
  <c r="DH119" i="13" l="1"/>
  <c r="DH127" i="13"/>
  <c r="DH81" i="13" l="1"/>
  <c r="DH71" i="13" s="1"/>
  <c r="DH69" i="13" s="1"/>
  <c r="DH103" i="13" s="1"/>
  <c r="DH105" i="13" s="1"/>
  <c r="DI128" i="13"/>
  <c r="DI94" i="13" s="1"/>
  <c r="DI83" i="13" s="1"/>
  <c r="DH129" i="13"/>
  <c r="DI134" i="13" l="1"/>
  <c r="DI46" i="13" s="1"/>
  <c r="DI20" i="13" s="1"/>
  <c r="DI126" i="13"/>
  <c r="DH107" i="13"/>
  <c r="DH111" i="13"/>
  <c r="DI104" i="13"/>
  <c r="DI137" i="13" s="1"/>
  <c r="DI139" i="13" s="1"/>
  <c r="DI140" i="13" s="1"/>
  <c r="DI18" i="13" s="1"/>
  <c r="DI11" i="13" s="1"/>
  <c r="DI9" i="13" s="1"/>
  <c r="DI116" i="13" l="1"/>
  <c r="DI117" i="13" s="1"/>
  <c r="DI119" i="13" l="1"/>
  <c r="DI127" i="13"/>
  <c r="DI81" i="13" l="1"/>
  <c r="DI71" i="13" s="1"/>
  <c r="DI69" i="13" s="1"/>
  <c r="DI103" i="13" s="1"/>
  <c r="DI105" i="13" s="1"/>
  <c r="DJ128" i="13"/>
  <c r="DJ94" i="13" s="1"/>
  <c r="DJ83" i="13" s="1"/>
  <c r="DI129" i="13"/>
  <c r="DJ134" i="13" l="1"/>
  <c r="DJ46" i="13" s="1"/>
  <c r="DJ20" i="13" s="1"/>
  <c r="DJ126" i="13"/>
  <c r="DI107" i="13"/>
  <c r="DI111" i="13"/>
  <c r="DJ104" i="13"/>
  <c r="DJ137" i="13" s="1"/>
  <c r="DJ139" i="13" s="1"/>
  <c r="DJ140" i="13" s="1"/>
  <c r="DJ18" i="13" s="1"/>
  <c r="DJ11" i="13" s="1"/>
  <c r="DJ9" i="13" s="1"/>
  <c r="DJ116" i="13" l="1"/>
  <c r="DJ117" i="13" s="1"/>
  <c r="DJ119" i="13" l="1"/>
  <c r="DJ127" i="13"/>
  <c r="DJ81" i="13" l="1"/>
  <c r="DJ71" i="13" s="1"/>
  <c r="DJ69" i="13" s="1"/>
  <c r="DJ103" i="13" s="1"/>
  <c r="DJ105" i="13" s="1"/>
  <c r="DK128" i="13"/>
  <c r="DK94" i="13" s="1"/>
  <c r="DK83" i="13" s="1"/>
  <c r="DJ129" i="13"/>
  <c r="DK134" i="13" l="1"/>
  <c r="DK46" i="13" s="1"/>
  <c r="DK20" i="13" s="1"/>
  <c r="DK126" i="13"/>
  <c r="DJ111" i="13"/>
  <c r="DJ107" i="13"/>
  <c r="DK104" i="13"/>
  <c r="DK137" i="13" s="1"/>
  <c r="DK139" i="13" s="1"/>
  <c r="DK140" i="13" s="1"/>
  <c r="DK18" i="13" s="1"/>
  <c r="DK11" i="13" s="1"/>
  <c r="DK9" i="13" s="1"/>
  <c r="DK116" i="13" l="1"/>
  <c r="DK117" i="13" s="1"/>
  <c r="DK119" i="13" l="1"/>
  <c r="DK127" i="13"/>
  <c r="DK81" i="13" l="1"/>
  <c r="DK71" i="13" s="1"/>
  <c r="DK69" i="13" s="1"/>
  <c r="DK103" i="13" s="1"/>
  <c r="DK105" i="13" s="1"/>
  <c r="DL128" i="13"/>
  <c r="DL94" i="13" s="1"/>
  <c r="DL83" i="13" s="1"/>
  <c r="DK129" i="13"/>
  <c r="DL134" i="13" l="1"/>
  <c r="DL46" i="13" s="1"/>
  <c r="DL20" i="13" s="1"/>
  <c r="DL126" i="13"/>
  <c r="DK107" i="13"/>
  <c r="DK111" i="13"/>
  <c r="DL104" i="13"/>
  <c r="DL137" i="13" s="1"/>
  <c r="DL139" i="13" s="1"/>
  <c r="DL140" i="13" s="1"/>
  <c r="DL18" i="13" s="1"/>
  <c r="DL11" i="13" s="1"/>
  <c r="DL9" i="13" s="1"/>
  <c r="DL116" i="13" l="1"/>
  <c r="DL117" i="13" s="1"/>
  <c r="DL119" i="13" l="1"/>
  <c r="DL127" i="13"/>
  <c r="DL81" i="13" l="1"/>
  <c r="DL71" i="13" s="1"/>
  <c r="DL69" i="13" s="1"/>
  <c r="DL103" i="13" s="1"/>
  <c r="DL105" i="13" s="1"/>
  <c r="DM128" i="13"/>
  <c r="DM94" i="13" s="1"/>
  <c r="DM83" i="13" s="1"/>
  <c r="DL129" i="13"/>
  <c r="DM134" i="13" l="1"/>
  <c r="DM46" i="13" s="1"/>
  <c r="DM20" i="13" s="1"/>
  <c r="DM126" i="13"/>
  <c r="DL111" i="13"/>
  <c r="DL107" i="13"/>
  <c r="DM104" i="13"/>
  <c r="DM137" i="13" s="1"/>
  <c r="DM139" i="13" s="1"/>
  <c r="DM140" i="13" s="1"/>
  <c r="DM18" i="13" s="1"/>
  <c r="DM11" i="13" s="1"/>
  <c r="DM9" i="13" s="1"/>
  <c r="DM116" i="13" l="1"/>
  <c r="DM117" i="13" s="1"/>
  <c r="DM119" i="13" l="1"/>
  <c r="DM127" i="13"/>
  <c r="DM81" i="13" l="1"/>
  <c r="DM71" i="13" s="1"/>
  <c r="DM69" i="13" s="1"/>
  <c r="DM103" i="13" s="1"/>
  <c r="DM105" i="13" s="1"/>
  <c r="DN128" i="13"/>
  <c r="DN94" i="13" s="1"/>
  <c r="DN83" i="13" s="1"/>
  <c r="DM129" i="13"/>
  <c r="DN126" i="13" l="1"/>
  <c r="DN134" i="13"/>
  <c r="DN46" i="13" s="1"/>
  <c r="DN20" i="13" s="1"/>
  <c r="DM107" i="13"/>
  <c r="DM111" i="13"/>
  <c r="DN104" i="13"/>
  <c r="DN137" i="13" s="1"/>
  <c r="DN139" i="13" s="1"/>
  <c r="DN140" i="13" s="1"/>
  <c r="DN18" i="13" s="1"/>
  <c r="DN11" i="13" s="1"/>
  <c r="DN9" i="13" s="1"/>
  <c r="DN116" i="13" l="1"/>
  <c r="DN117" i="13" s="1"/>
  <c r="DN119" i="13" l="1"/>
  <c r="DN127" i="13"/>
  <c r="DN81" i="13" l="1"/>
  <c r="DN71" i="13" s="1"/>
  <c r="DN69" i="13" s="1"/>
  <c r="DN103" i="13" s="1"/>
  <c r="DN105" i="13" s="1"/>
  <c r="DO128" i="13"/>
  <c r="DO94" i="13" s="1"/>
  <c r="DO83" i="13" s="1"/>
  <c r="DN129" i="13"/>
  <c r="DO134" i="13" l="1"/>
  <c r="DO46" i="13" s="1"/>
  <c r="DO20" i="13" s="1"/>
  <c r="DO126" i="13"/>
  <c r="DN111" i="13"/>
  <c r="DN107" i="13"/>
  <c r="DO104" i="13"/>
  <c r="DO137" i="13" s="1"/>
  <c r="DO139" i="13" s="1"/>
  <c r="DO140" i="13" s="1"/>
  <c r="DO18" i="13" s="1"/>
  <c r="DO11" i="13" s="1"/>
  <c r="DO9" i="13" s="1"/>
  <c r="DO116" i="13" l="1"/>
  <c r="DO117" i="13" s="1"/>
  <c r="DO119" i="13" l="1"/>
  <c r="DO127" i="13"/>
  <c r="DO81" i="13" l="1"/>
  <c r="DO71" i="13" s="1"/>
  <c r="DO69" i="13" s="1"/>
  <c r="DO103" i="13" s="1"/>
  <c r="DO105" i="13" s="1"/>
  <c r="DP128" i="13"/>
  <c r="DP94" i="13" s="1"/>
  <c r="DP83" i="13" s="1"/>
  <c r="DO129" i="13"/>
  <c r="DP134" i="13" l="1"/>
  <c r="DP46" i="13" s="1"/>
  <c r="DP20" i="13" s="1"/>
  <c r="DP126" i="13"/>
  <c r="DO111" i="13"/>
  <c r="DO107" i="13"/>
  <c r="DP104" i="13"/>
  <c r="DP137" i="13" s="1"/>
  <c r="DP139" i="13" s="1"/>
  <c r="DP140" i="13" s="1"/>
  <c r="DP18" i="13" s="1"/>
  <c r="DP11" i="13" s="1"/>
  <c r="DP9" i="13" s="1"/>
  <c r="DP116" i="13" l="1"/>
  <c r="DP117" i="13" s="1"/>
  <c r="DP119" i="13" l="1"/>
  <c r="DP127" i="13"/>
  <c r="DP81" i="13" l="1"/>
  <c r="DP71" i="13" s="1"/>
  <c r="DP69" i="13" s="1"/>
  <c r="DP103" i="13" s="1"/>
  <c r="DP105" i="13" s="1"/>
  <c r="DQ128" i="13"/>
  <c r="DQ94" i="13" s="1"/>
  <c r="DQ83" i="13" s="1"/>
  <c r="DP129" i="13"/>
  <c r="DQ134" i="13" l="1"/>
  <c r="DQ46" i="13" s="1"/>
  <c r="DQ20" i="13" s="1"/>
  <c r="DQ126" i="13"/>
  <c r="DP107" i="13"/>
  <c r="DP111" i="13"/>
  <c r="DQ104" i="13"/>
  <c r="DQ137" i="13" s="1"/>
  <c r="DQ139" i="13" s="1"/>
  <c r="DQ140" i="13" s="1"/>
  <c r="DQ18" i="13" s="1"/>
  <c r="DQ11" i="13" s="1"/>
  <c r="DQ9" i="13" s="1"/>
  <c r="DQ116" i="13" l="1"/>
  <c r="DQ117" i="13" s="1"/>
  <c r="DQ119" i="13" l="1"/>
  <c r="DQ127" i="13"/>
  <c r="DQ81" i="13" l="1"/>
  <c r="DQ71" i="13" s="1"/>
  <c r="DQ69" i="13" s="1"/>
  <c r="DQ103" i="13" s="1"/>
  <c r="DQ105" i="13" s="1"/>
  <c r="DR128" i="13"/>
  <c r="DR94" i="13" s="1"/>
  <c r="DR83" i="13" s="1"/>
  <c r="DQ129" i="13"/>
  <c r="DR134" i="13" l="1"/>
  <c r="DR46" i="13" s="1"/>
  <c r="DR20" i="13" s="1"/>
  <c r="DR126" i="13"/>
  <c r="DQ111" i="13"/>
  <c r="DQ107" i="13"/>
  <c r="DR104" i="13"/>
  <c r="DR137" i="13" s="1"/>
  <c r="DR139" i="13" s="1"/>
  <c r="DR140" i="13" s="1"/>
  <c r="DR18" i="13" s="1"/>
  <c r="DR11" i="13" s="1"/>
  <c r="DR9" i="13" s="1"/>
  <c r="DR116" i="13" l="1"/>
  <c r="DR117" i="13" s="1"/>
  <c r="DR119" i="13" l="1"/>
  <c r="DR127" i="13"/>
  <c r="DR81" i="13" l="1"/>
  <c r="DR71" i="13" s="1"/>
  <c r="DR69" i="13" s="1"/>
  <c r="DR103" i="13" s="1"/>
  <c r="DR105" i="13" s="1"/>
  <c r="DS128" i="13"/>
  <c r="DS94" i="13" s="1"/>
  <c r="DS83" i="13" s="1"/>
  <c r="DR129" i="13"/>
  <c r="DS134" i="13" l="1"/>
  <c r="DS46" i="13" s="1"/>
  <c r="DS20" i="13" s="1"/>
  <c r="DS126" i="13"/>
  <c r="DR107" i="13"/>
  <c r="DR111" i="13"/>
  <c r="DS104" i="13"/>
  <c r="DS137" i="13" s="1"/>
  <c r="DS139" i="13" s="1"/>
  <c r="DS140" i="13" s="1"/>
  <c r="DS18" i="13" s="1"/>
  <c r="DS11" i="13" s="1"/>
  <c r="DS9" i="13" s="1"/>
  <c r="DS116" i="13" l="1"/>
  <c r="DS117" i="13" s="1"/>
  <c r="DS119" i="13" l="1"/>
  <c r="DS127" i="13"/>
  <c r="DS81" i="13" l="1"/>
  <c r="DS71" i="13" s="1"/>
  <c r="DS69" i="13" s="1"/>
  <c r="DS103" i="13" s="1"/>
  <c r="DS105" i="13" s="1"/>
  <c r="DT128" i="13"/>
  <c r="DT94" i="13" s="1"/>
  <c r="DT83" i="13" s="1"/>
  <c r="DS129" i="13"/>
  <c r="DT134" i="13" l="1"/>
  <c r="DT46" i="13" s="1"/>
  <c r="DT20" i="13" s="1"/>
  <c r="DT126" i="13"/>
  <c r="DS111" i="13"/>
  <c r="DS107" i="13"/>
  <c r="DT104" i="13"/>
  <c r="DT137" i="13" s="1"/>
  <c r="DT139" i="13" s="1"/>
  <c r="DT140" i="13" s="1"/>
  <c r="DT18" i="13" s="1"/>
  <c r="DT11" i="13" s="1"/>
  <c r="DT9" i="13" s="1"/>
  <c r="DT116" i="13" l="1"/>
  <c r="DT117" i="13" s="1"/>
  <c r="DT119" i="13" l="1"/>
  <c r="DT127" i="13"/>
  <c r="DT81" i="13" l="1"/>
  <c r="DT71" i="13" s="1"/>
  <c r="DT69" i="13" s="1"/>
  <c r="DT103" i="13" s="1"/>
  <c r="DT105" i="13" s="1"/>
  <c r="DU128" i="13"/>
  <c r="DU94" i="13" s="1"/>
  <c r="DU83" i="13" s="1"/>
  <c r="DT129" i="13"/>
  <c r="DU134" i="13" l="1"/>
  <c r="DU46" i="13" s="1"/>
  <c r="DU20" i="13" s="1"/>
  <c r="DU126" i="13"/>
  <c r="DT107" i="13"/>
  <c r="DT111" i="13"/>
  <c r="DU104" i="13"/>
  <c r="DU137" i="13" s="1"/>
  <c r="DU139" i="13" s="1"/>
  <c r="DU140" i="13" s="1"/>
  <c r="DU18" i="13" s="1"/>
  <c r="DU11" i="13" s="1"/>
  <c r="DU9" i="13" s="1"/>
  <c r="DU116" i="13" l="1"/>
  <c r="DU117" i="13" s="1"/>
  <c r="DU119" i="13" l="1"/>
  <c r="DU127" i="13"/>
  <c r="DU81" i="13" l="1"/>
  <c r="DU71" i="13" s="1"/>
  <c r="DU69" i="13" s="1"/>
  <c r="DU103" i="13" s="1"/>
  <c r="DU105" i="13" s="1"/>
  <c r="DV128" i="13"/>
  <c r="DV94" i="13" s="1"/>
  <c r="DV83" i="13" s="1"/>
  <c r="DU129" i="13"/>
  <c r="DV134" i="13" l="1"/>
  <c r="DV46" i="13" s="1"/>
  <c r="DV20" i="13" s="1"/>
  <c r="DV126" i="13"/>
  <c r="DU107" i="13"/>
  <c r="DU111" i="13"/>
  <c r="DV104" i="13"/>
  <c r="DV137" i="13" s="1"/>
  <c r="DV139" i="13" s="1"/>
  <c r="DV140" i="13" s="1"/>
  <c r="DV18" i="13" s="1"/>
  <c r="DV11" i="13" s="1"/>
  <c r="DV9" i="13" s="1"/>
  <c r="DV116" i="13" l="1"/>
  <c r="DV117" i="13" s="1"/>
  <c r="DV119" i="13" l="1"/>
  <c r="DV127" i="13"/>
  <c r="DV81" i="13" l="1"/>
  <c r="DV71" i="13" s="1"/>
  <c r="DV69" i="13" s="1"/>
  <c r="DV103" i="13" s="1"/>
  <c r="DV105" i="13" s="1"/>
  <c r="DW128" i="13"/>
  <c r="DW94" i="13" s="1"/>
  <c r="DW83" i="13" s="1"/>
  <c r="DV129" i="13"/>
  <c r="DW134" i="13" l="1"/>
  <c r="DW46" i="13" s="1"/>
  <c r="DW20" i="13" s="1"/>
  <c r="DW126" i="13"/>
  <c r="DV111" i="13"/>
  <c r="DV107" i="13"/>
  <c r="DW104" i="13"/>
  <c r="DW137" i="13" s="1"/>
  <c r="DW139" i="13" s="1"/>
  <c r="DW140" i="13" s="1"/>
  <c r="DW18" i="13" s="1"/>
  <c r="DW11" i="13" s="1"/>
  <c r="DW9" i="13" s="1"/>
  <c r="DW116" i="13" l="1"/>
  <c r="DW117" i="13" s="1"/>
  <c r="DW119" i="13" l="1"/>
  <c r="DW127" i="13"/>
  <c r="DW81" i="13" l="1"/>
  <c r="DW71" i="13" s="1"/>
  <c r="DW69" i="13" s="1"/>
  <c r="DW103" i="13" s="1"/>
  <c r="DW105" i="13" s="1"/>
  <c r="DX128" i="13"/>
  <c r="DX94" i="13" s="1"/>
  <c r="DX83" i="13" s="1"/>
  <c r="DW129" i="13"/>
  <c r="DX134" i="13" l="1"/>
  <c r="DX46" i="13" s="1"/>
  <c r="DX20" i="13" s="1"/>
  <c r="DX126" i="13"/>
  <c r="DW107" i="13"/>
  <c r="DW111" i="13"/>
  <c r="DX104" i="13"/>
  <c r="DX137" i="13" s="1"/>
  <c r="DX139" i="13" s="1"/>
  <c r="DX140" i="13" s="1"/>
  <c r="DX18" i="13" s="1"/>
  <c r="DX11" i="13" s="1"/>
  <c r="DX9" i="13" s="1"/>
  <c r="DX116" i="13" l="1"/>
  <c r="DX117" i="13" s="1"/>
  <c r="DX119" i="13" l="1"/>
  <c r="DX127" i="13"/>
  <c r="DX81" i="13" l="1"/>
  <c r="DX71" i="13" s="1"/>
  <c r="DX69" i="13" s="1"/>
  <c r="DX103" i="13" s="1"/>
  <c r="DX105" i="13" s="1"/>
  <c r="DY128" i="13"/>
  <c r="DY94" i="13" s="1"/>
  <c r="DY83" i="13" s="1"/>
  <c r="DX129" i="13"/>
  <c r="DY134" i="13" l="1"/>
  <c r="DY46" i="13" s="1"/>
  <c r="DY20" i="13" s="1"/>
  <c r="DY126" i="13"/>
  <c r="DX107" i="13"/>
  <c r="DX111" i="13"/>
  <c r="DY104" i="13"/>
  <c r="DY137" i="13" s="1"/>
  <c r="DY139" i="13" s="1"/>
  <c r="DY140" i="13" s="1"/>
  <c r="DY18" i="13" s="1"/>
  <c r="DY11" i="13" s="1"/>
  <c r="DY9" i="13" s="1"/>
  <c r="DY116" i="13" l="1"/>
  <c r="DY117" i="13" s="1"/>
  <c r="DY119" i="13" l="1"/>
  <c r="DY127" i="13"/>
  <c r="DY81" i="13" l="1"/>
  <c r="DY71" i="13" s="1"/>
  <c r="DY69" i="13" s="1"/>
  <c r="DY103" i="13" s="1"/>
  <c r="DY105" i="13" s="1"/>
  <c r="DZ128" i="13"/>
  <c r="DZ94" i="13" s="1"/>
  <c r="DZ83" i="13" s="1"/>
  <c r="DY129" i="13"/>
  <c r="DZ126" i="13" l="1"/>
  <c r="DZ134" i="13"/>
  <c r="DZ46" i="13" s="1"/>
  <c r="DZ20" i="13" s="1"/>
  <c r="DY107" i="13"/>
  <c r="DY111" i="13"/>
  <c r="DZ104" i="13"/>
  <c r="DZ137" i="13" s="1"/>
  <c r="DZ139" i="13" s="1"/>
  <c r="DZ140" i="13" s="1"/>
  <c r="DZ18" i="13" s="1"/>
  <c r="DZ11" i="13" s="1"/>
  <c r="DZ9" i="13" s="1"/>
  <c r="DZ116" i="13" l="1"/>
  <c r="DZ117" i="13" s="1"/>
  <c r="H111" i="13"/>
  <c r="J112" i="13" l="1"/>
  <c r="DZ119" i="13"/>
  <c r="DZ127" i="13"/>
  <c r="K112" i="13" l="1"/>
  <c r="DZ81" i="13"/>
  <c r="DZ71" i="13" s="1"/>
  <c r="DZ69" i="13" s="1"/>
  <c r="DZ103" i="13" s="1"/>
  <c r="DZ105" i="13" s="1"/>
  <c r="EA128" i="13"/>
  <c r="EA94" i="13" s="1"/>
  <c r="EA83" i="13" s="1"/>
  <c r="DZ129" i="13"/>
  <c r="L112" i="13" l="1"/>
  <c r="DZ107" i="13"/>
  <c r="EA104" i="13"/>
  <c r="EA137" i="13" s="1"/>
  <c r="EA139" i="13" s="1"/>
  <c r="EA140" i="13" s="1"/>
  <c r="EA18" i="13" s="1"/>
  <c r="EA11" i="13" s="1"/>
  <c r="EA9" i="13" s="1"/>
  <c r="EA116" i="13" s="1"/>
  <c r="EA117" i="13" s="1"/>
  <c r="EA134" i="13"/>
  <c r="EA46" i="13" s="1"/>
  <c r="EA20" i="13" s="1"/>
  <c r="EA126" i="13"/>
  <c r="EA119" i="13" l="1"/>
  <c r="EA127" i="13"/>
  <c r="M112" i="13"/>
  <c r="N112" i="13" l="1"/>
  <c r="EA81" i="13"/>
  <c r="EA71" i="13" s="1"/>
  <c r="EA69" i="13" s="1"/>
  <c r="EA103" i="13" s="1"/>
  <c r="EA105" i="13" s="1"/>
  <c r="EB128" i="13"/>
  <c r="EB94" i="13" s="1"/>
  <c r="EB83" i="13" s="1"/>
  <c r="EA129" i="13"/>
  <c r="O112" i="13" l="1"/>
  <c r="P112" i="13"/>
  <c r="EA107" i="13"/>
  <c r="EB104" i="13"/>
  <c r="EB137" i="13" s="1"/>
  <c r="EB139" i="13" s="1"/>
  <c r="EB140" i="13" s="1"/>
  <c r="EB18" i="13" s="1"/>
  <c r="EB11" i="13" s="1"/>
  <c r="EB9" i="13" s="1"/>
  <c r="EB134" i="13"/>
  <c r="EB46" i="13" s="1"/>
  <c r="EB20" i="13" s="1"/>
  <c r="EB126" i="13"/>
  <c r="Q112" i="13" l="1"/>
  <c r="R112" i="13" s="1"/>
  <c r="S112" i="13" s="1"/>
  <c r="T112" i="13" s="1"/>
  <c r="U112" i="13" s="1"/>
  <c r="V112" i="13" s="1"/>
  <c r="W112" i="13" s="1"/>
  <c r="X112" i="13" s="1"/>
  <c r="EB116" i="13"/>
  <c r="EB117" i="13" s="1"/>
  <c r="EB119" i="13" l="1"/>
  <c r="EB127" i="13"/>
  <c r="Y112" i="13"/>
  <c r="Z112" i="13" s="1"/>
  <c r="AA112" i="13" s="1"/>
  <c r="AB112" i="13" s="1"/>
  <c r="AC112" i="13" s="1"/>
  <c r="AD112" i="13" s="1"/>
  <c r="AE112" i="13" s="1"/>
  <c r="AF112" i="13" s="1"/>
  <c r="AG112" i="13" s="1"/>
  <c r="AH112" i="13" s="1"/>
  <c r="AI112" i="13" s="1"/>
  <c r="AJ112" i="13" s="1"/>
  <c r="AK112" i="13" s="1"/>
  <c r="AL112" i="13" s="1"/>
  <c r="AM112" i="13" s="1"/>
  <c r="AN112" i="13" s="1"/>
  <c r="AO112" i="13" s="1"/>
  <c r="AP112" i="13" s="1"/>
  <c r="AQ112" i="13" s="1"/>
  <c r="AR112" i="13" s="1"/>
  <c r="AS112" i="13" s="1"/>
  <c r="AT112" i="13" s="1"/>
  <c r="AU112" i="13" s="1"/>
  <c r="AV112" i="13" s="1"/>
  <c r="AW112" i="13" s="1"/>
  <c r="AX112" i="13" s="1"/>
  <c r="AY112" i="13" s="1"/>
  <c r="AZ112" i="13" s="1"/>
  <c r="BA112" i="13" s="1"/>
  <c r="BB112" i="13" s="1"/>
  <c r="BC112" i="13" s="1"/>
  <c r="BD112" i="13" s="1"/>
  <c r="BE112" i="13" s="1"/>
  <c r="BF112" i="13" s="1"/>
  <c r="BG112" i="13" s="1"/>
  <c r="BH112" i="13" s="1"/>
  <c r="BI112" i="13" s="1"/>
  <c r="BJ112" i="13" s="1"/>
  <c r="BK112" i="13" s="1"/>
  <c r="BL112" i="13" s="1"/>
  <c r="BM112" i="13" s="1"/>
  <c r="BN112" i="13" s="1"/>
  <c r="BO112" i="13" s="1"/>
  <c r="BP112" i="13" s="1"/>
  <c r="BQ112" i="13" s="1"/>
  <c r="BR112" i="13" s="1"/>
  <c r="BS112" i="13" s="1"/>
  <c r="BT112" i="13" s="1"/>
  <c r="BU112" i="13" s="1"/>
  <c r="BV112" i="13" s="1"/>
  <c r="BW112" i="13" s="1"/>
  <c r="BX112" i="13" s="1"/>
  <c r="BY112" i="13" s="1"/>
  <c r="BZ112" i="13" s="1"/>
  <c r="CA112" i="13" s="1"/>
  <c r="CB112" i="13" s="1"/>
  <c r="CC112" i="13" s="1"/>
  <c r="CD112" i="13" s="1"/>
  <c r="CE112" i="13" s="1"/>
  <c r="CF112" i="13" s="1"/>
  <c r="CG112" i="13" s="1"/>
  <c r="CH112" i="13" s="1"/>
  <c r="CI112" i="13" s="1"/>
  <c r="CJ112" i="13" s="1"/>
  <c r="CK112" i="13" s="1"/>
  <c r="CL112" i="13" s="1"/>
  <c r="CM112" i="13" s="1"/>
  <c r="CN112" i="13" s="1"/>
  <c r="CO112" i="13" s="1"/>
  <c r="CP112" i="13" s="1"/>
  <c r="CQ112" i="13" s="1"/>
  <c r="CR112" i="13" s="1"/>
  <c r="CS112" i="13" s="1"/>
  <c r="CT112" i="13" s="1"/>
  <c r="CU112" i="13" s="1"/>
  <c r="CV112" i="13" s="1"/>
  <c r="CW112" i="13" s="1"/>
  <c r="CX112" i="13" s="1"/>
  <c r="CY112" i="13" s="1"/>
  <c r="CZ112" i="13" s="1"/>
  <c r="DA112" i="13" s="1"/>
  <c r="DB112" i="13" s="1"/>
  <c r="DC112" i="13" s="1"/>
  <c r="DD112" i="13" s="1"/>
  <c r="DE112" i="13" s="1"/>
  <c r="DF112" i="13" s="1"/>
  <c r="DG112" i="13" s="1"/>
  <c r="DH112" i="13" s="1"/>
  <c r="DI112" i="13" s="1"/>
  <c r="DJ112" i="13" s="1"/>
  <c r="DK112" i="13" s="1"/>
  <c r="DL112" i="13" s="1"/>
  <c r="DM112" i="13" s="1"/>
  <c r="DN112" i="13" s="1"/>
  <c r="DO112" i="13" s="1"/>
  <c r="DP112" i="13" s="1"/>
  <c r="DQ112" i="13" s="1"/>
  <c r="DR112" i="13" s="1"/>
  <c r="DS112" i="13" s="1"/>
  <c r="DT112" i="13" s="1"/>
  <c r="DU112" i="13" s="1"/>
  <c r="DV112" i="13" s="1"/>
  <c r="DW112" i="13" s="1"/>
  <c r="DX112" i="13" s="1"/>
  <c r="DY112" i="13" s="1"/>
  <c r="DZ112" i="13" s="1"/>
  <c r="EA112" i="13" s="1"/>
  <c r="EB112" i="13" s="1"/>
  <c r="EC112" i="13" s="1"/>
  <c r="ED112" i="13" s="1"/>
  <c r="EE112" i="13" s="1"/>
  <c r="EF112" i="13" s="1"/>
  <c r="EG112" i="13" s="1"/>
  <c r="EH112" i="13" s="1"/>
  <c r="EI112" i="13" s="1"/>
  <c r="EJ112" i="13" s="1"/>
  <c r="EK112" i="13" s="1"/>
  <c r="EL112" i="13" s="1"/>
  <c r="H112" i="13" s="1"/>
  <c r="G111" i="13" s="1"/>
  <c r="EB81" i="13" l="1"/>
  <c r="EB71" i="13" s="1"/>
  <c r="EB69" i="13" s="1"/>
  <c r="EB103" i="13" s="1"/>
  <c r="EB105" i="13" s="1"/>
  <c r="EC128" i="13"/>
  <c r="EC94" i="13" s="1"/>
  <c r="EC83" i="13" s="1"/>
  <c r="EB129" i="13"/>
  <c r="EC126" i="13" l="1"/>
  <c r="EC134" i="13"/>
  <c r="EC46" i="13" s="1"/>
  <c r="EC20" i="13" s="1"/>
  <c r="EB107" i="13"/>
  <c r="EC104" i="13"/>
  <c r="EC137" i="13" s="1"/>
  <c r="EC139" i="13" s="1"/>
  <c r="EC140" i="13" s="1"/>
  <c r="EC18" i="13" s="1"/>
  <c r="EC11" i="13" s="1"/>
  <c r="EC9" i="13" s="1"/>
  <c r="EC116" i="13" l="1"/>
  <c r="EC117" i="13" s="1"/>
  <c r="EC119" i="13" l="1"/>
  <c r="EC127" i="13"/>
  <c r="EC81" i="13" l="1"/>
  <c r="EC71" i="13" s="1"/>
  <c r="EC69" i="13" s="1"/>
  <c r="EC103" i="13" s="1"/>
  <c r="EC105" i="13" s="1"/>
  <c r="ED128" i="13"/>
  <c r="ED94" i="13" s="1"/>
  <c r="ED83" i="13" s="1"/>
  <c r="EC129" i="13"/>
  <c r="ED126" i="13" l="1"/>
  <c r="ED134" i="13"/>
  <c r="ED46" i="13" s="1"/>
  <c r="ED20" i="13" s="1"/>
  <c r="EC107" i="13"/>
  <c r="ED104" i="13"/>
  <c r="ED137" i="13" s="1"/>
  <c r="ED139" i="13" s="1"/>
  <c r="ED140" i="13" s="1"/>
  <c r="ED18" i="13" s="1"/>
  <c r="ED11" i="13" s="1"/>
  <c r="ED9" i="13" s="1"/>
  <c r="ED116" i="13" s="1"/>
  <c r="ED117" i="13" s="1"/>
  <c r="ED119" i="13" l="1"/>
  <c r="ED127" i="13"/>
  <c r="ED129" i="13"/>
  <c r="EE134" i="13" l="1"/>
  <c r="EE46" i="13" s="1"/>
  <c r="EE20" i="13" s="1"/>
  <c r="EE126" i="13"/>
  <c r="ED81" i="13"/>
  <c r="ED71" i="13" s="1"/>
  <c r="ED69" i="13" s="1"/>
  <c r="ED103" i="13" s="1"/>
  <c r="ED105" i="13" s="1"/>
  <c r="EE128" i="13"/>
  <c r="EE94" i="13" s="1"/>
  <c r="EE83" i="13" s="1"/>
  <c r="ED107" i="13" l="1"/>
  <c r="EE104" i="13"/>
  <c r="EE137" i="13" s="1"/>
  <c r="EE139" i="13" s="1"/>
  <c r="EE140" i="13" s="1"/>
  <c r="EE18" i="13" s="1"/>
  <c r="EE11" i="13" s="1"/>
  <c r="EE9" i="13" s="1"/>
  <c r="EE116" i="13" l="1"/>
  <c r="EE117" i="13" s="1"/>
  <c r="EE119" i="13" l="1"/>
  <c r="EE127" i="13"/>
  <c r="EE81" i="13" l="1"/>
  <c r="EE71" i="13" s="1"/>
  <c r="EE69" i="13" s="1"/>
  <c r="EE103" i="13" s="1"/>
  <c r="EE105" i="13" s="1"/>
  <c r="EF128" i="13"/>
  <c r="EF94" i="13" s="1"/>
  <c r="EF83" i="13" s="1"/>
  <c r="EE129" i="13"/>
  <c r="EF134" i="13" l="1"/>
  <c r="EF46" i="13" s="1"/>
  <c r="EF20" i="13" s="1"/>
  <c r="EF126" i="13"/>
  <c r="EE107" i="13"/>
  <c r="EF104" i="13"/>
  <c r="EF137" i="13" s="1"/>
  <c r="EF139" i="13" s="1"/>
  <c r="EF140" i="13" s="1"/>
  <c r="EF18" i="13" s="1"/>
  <c r="EF11" i="13" s="1"/>
  <c r="EF9" i="13" s="1"/>
  <c r="EF116" i="13" l="1"/>
  <c r="EF117" i="13" s="1"/>
  <c r="EF119" i="13" l="1"/>
  <c r="EF127" i="13"/>
  <c r="EG128" i="13" l="1"/>
  <c r="EG94" i="13" s="1"/>
  <c r="EG83" i="13" s="1"/>
  <c r="EF81" i="13"/>
  <c r="EF71" i="13" s="1"/>
  <c r="EF69" i="13" s="1"/>
  <c r="EF103" i="13" s="1"/>
  <c r="EF105" i="13" s="1"/>
  <c r="EF129" i="13"/>
  <c r="EG134" i="13" l="1"/>
  <c r="EG46" i="13" s="1"/>
  <c r="EG20" i="13" s="1"/>
  <c r="EG126" i="13"/>
  <c r="EF107" i="13"/>
  <c r="EG104" i="13"/>
  <c r="EG137" i="13" s="1"/>
  <c r="EG139" i="13" s="1"/>
  <c r="EG140" i="13" s="1"/>
  <c r="EG18" i="13" s="1"/>
  <c r="EG11" i="13" s="1"/>
  <c r="EG9" i="13" s="1"/>
  <c r="EG116" i="13" l="1"/>
  <c r="EG117" i="13" s="1"/>
  <c r="EG119" i="13" l="1"/>
  <c r="EG127" i="13"/>
  <c r="EG81" i="13" l="1"/>
  <c r="EG71" i="13" s="1"/>
  <c r="EG69" i="13" s="1"/>
  <c r="EG103" i="13" s="1"/>
  <c r="EG105" i="13" s="1"/>
  <c r="EH128" i="13"/>
  <c r="EH94" i="13" s="1"/>
  <c r="EH83" i="13" s="1"/>
  <c r="EG129" i="13"/>
  <c r="EH126" i="13" l="1"/>
  <c r="EH134" i="13"/>
  <c r="EH46" i="13" s="1"/>
  <c r="EH20" i="13" s="1"/>
  <c r="EH104" i="13"/>
  <c r="EH137" i="13" s="1"/>
  <c r="EH139" i="13" s="1"/>
  <c r="EH140" i="13" s="1"/>
  <c r="EH18" i="13" s="1"/>
  <c r="EH11" i="13" s="1"/>
  <c r="EH9" i="13" s="1"/>
  <c r="EG107" i="13"/>
  <c r="EH116" i="13" l="1"/>
  <c r="EH117" i="13" s="1"/>
  <c r="EH119" i="13" l="1"/>
  <c r="EH127" i="13"/>
  <c r="EH81" i="13" l="1"/>
  <c r="EH71" i="13" s="1"/>
  <c r="EH69" i="13" s="1"/>
  <c r="EH103" i="13" s="1"/>
  <c r="EH105" i="13" s="1"/>
  <c r="EI128" i="13"/>
  <c r="EI94" i="13" s="1"/>
  <c r="EI83" i="13" s="1"/>
  <c r="EH129" i="13"/>
  <c r="EI134" i="13" l="1"/>
  <c r="EI46" i="13" s="1"/>
  <c r="EI20" i="13" s="1"/>
  <c r="EI126" i="13"/>
  <c r="EH107" i="13"/>
  <c r="EI104" i="13"/>
  <c r="EI137" i="13" s="1"/>
  <c r="EI139" i="13" s="1"/>
  <c r="EI140" i="13" s="1"/>
  <c r="EI18" i="13" s="1"/>
  <c r="EI11" i="13" s="1"/>
  <c r="EI9" i="13" s="1"/>
  <c r="EI116" i="13" l="1"/>
  <c r="EI117" i="13" s="1"/>
  <c r="EI119" i="13" l="1"/>
  <c r="EI127" i="13"/>
  <c r="EI81" i="13" l="1"/>
  <c r="EI71" i="13" s="1"/>
  <c r="EI69" i="13" s="1"/>
  <c r="EI103" i="13" s="1"/>
  <c r="EI105" i="13" s="1"/>
  <c r="EJ128" i="13"/>
  <c r="EJ94" i="13" s="1"/>
  <c r="EJ83" i="13" s="1"/>
  <c r="EI129" i="13"/>
  <c r="EJ134" i="13" l="1"/>
  <c r="EJ46" i="13" s="1"/>
  <c r="EJ20" i="13" s="1"/>
  <c r="EJ126" i="13"/>
  <c r="EI107" i="13"/>
  <c r="EJ104" i="13"/>
  <c r="EJ137" i="13" s="1"/>
  <c r="EJ139" i="13" s="1"/>
  <c r="EJ140" i="13" s="1"/>
  <c r="EJ18" i="13" s="1"/>
  <c r="EJ11" i="13" s="1"/>
  <c r="EJ9" i="13" s="1"/>
  <c r="EJ116" i="13" l="1"/>
  <c r="EJ117" i="13" s="1"/>
  <c r="EJ119" i="13" l="1"/>
  <c r="EJ127" i="13"/>
  <c r="EK128" i="13" l="1"/>
  <c r="EK94" i="13" s="1"/>
  <c r="EK83" i="13" s="1"/>
  <c r="EJ81" i="13"/>
  <c r="EJ71" i="13" s="1"/>
  <c r="EJ69" i="13" s="1"/>
  <c r="EJ103" i="13" s="1"/>
  <c r="EJ105" i="13" s="1"/>
  <c r="EJ129" i="13"/>
  <c r="EK126" i="13" l="1"/>
  <c r="EK134" i="13"/>
  <c r="EK46" i="13" s="1"/>
  <c r="EK20" i="13" s="1"/>
  <c r="EJ107" i="13"/>
  <c r="EK104" i="13"/>
  <c r="EK137" i="13" s="1"/>
  <c r="EK139" i="13" s="1"/>
  <c r="EK140" i="13" s="1"/>
  <c r="EK18" i="13" s="1"/>
  <c r="EK11" i="13" s="1"/>
  <c r="EK9" i="13" s="1"/>
  <c r="EK116" i="13" s="1"/>
  <c r="EK117" i="13" s="1"/>
  <c r="EK119" i="13" l="1"/>
  <c r="EK127" i="13"/>
  <c r="EK129" i="13"/>
  <c r="EL134" i="13" l="1"/>
  <c r="EL126" i="13"/>
  <c r="EK81" i="13"/>
  <c r="EK71" i="13" s="1"/>
  <c r="EK69" i="13" s="1"/>
  <c r="EK103" i="13" s="1"/>
  <c r="EK105" i="13" s="1"/>
  <c r="EL128" i="13"/>
  <c r="EL94" i="13" l="1"/>
  <c r="H128" i="13"/>
  <c r="EK107" i="13"/>
  <c r="EL104" i="13"/>
  <c r="H126" i="13"/>
  <c r="EL46" i="13"/>
  <c r="H134" i="13"/>
  <c r="EL137" i="13" l="1"/>
  <c r="H104" i="13"/>
  <c r="EL20" i="13"/>
  <c r="H20" i="13" s="1"/>
  <c r="H46" i="13"/>
  <c r="EL83" i="13"/>
  <c r="H94" i="13"/>
  <c r="H83" i="13" l="1"/>
  <c r="EL139" i="13"/>
  <c r="H137" i="13"/>
  <c r="EL140" i="13" l="1"/>
  <c r="H139" i="13"/>
  <c r="EL18" i="13" l="1"/>
  <c r="H140" i="13"/>
  <c r="EL11" i="13" l="1"/>
  <c r="H18" i="13"/>
  <c r="EL9" i="13" l="1"/>
  <c r="H11" i="13"/>
  <c r="H9" i="13" l="1"/>
  <c r="EL116" i="13"/>
  <c r="EL117" i="13" l="1"/>
  <c r="H116" i="13"/>
  <c r="EL119" i="13" l="1"/>
  <c r="H119" i="13" s="1"/>
  <c r="H121" i="13" s="1"/>
  <c r="EL127" i="13"/>
  <c r="H120" i="13"/>
  <c r="H117" i="13"/>
  <c r="DX121" i="13" l="1"/>
  <c r="CV121" i="13"/>
  <c r="BF121" i="13"/>
  <c r="Z121" i="13"/>
  <c r="EG121" i="13"/>
  <c r="DA121" i="13"/>
  <c r="BU121" i="13"/>
  <c r="AO121" i="13"/>
  <c r="ED121" i="13"/>
  <c r="EJ121" i="13"/>
  <c r="CT121" i="13"/>
  <c r="BT121" i="13"/>
  <c r="AN121" i="13"/>
  <c r="EE121" i="13"/>
  <c r="CY121" i="13"/>
  <c r="BS121" i="13"/>
  <c r="AM121" i="13"/>
  <c r="BW121" i="13"/>
  <c r="CR121" i="13"/>
  <c r="BP121" i="13"/>
  <c r="AJ121" i="13"/>
  <c r="EA121" i="13"/>
  <c r="CU121" i="13"/>
  <c r="BO121" i="13"/>
  <c r="AI121" i="13"/>
  <c r="DC121" i="13"/>
  <c r="DD121" i="13"/>
  <c r="BN121" i="13"/>
  <c r="AH121" i="13"/>
  <c r="DY121" i="13"/>
  <c r="CS121" i="13"/>
  <c r="BM121" i="13"/>
  <c r="AG121" i="13"/>
  <c r="CH121" i="13"/>
  <c r="DS121" i="13"/>
  <c r="BL121" i="13"/>
  <c r="AF121" i="13"/>
  <c r="DW121" i="13"/>
  <c r="CQ121" i="13"/>
  <c r="BK121" i="13"/>
  <c r="AE121" i="13"/>
  <c r="DB121" i="13"/>
  <c r="CX121" i="13"/>
  <c r="BX121" i="13"/>
  <c r="AR121" i="13"/>
  <c r="L121" i="13"/>
  <c r="BZ121" i="13"/>
  <c r="DV121" i="13"/>
  <c r="AA121" i="13"/>
  <c r="DP121" i="13"/>
  <c r="AK121" i="13"/>
  <c r="U121" i="13"/>
  <c r="BQ121" i="13"/>
  <c r="DM121" i="13"/>
  <c r="M121" i="13"/>
  <c r="BI121" i="13"/>
  <c r="DE121" i="13"/>
  <c r="DL121" i="13"/>
  <c r="BV121" i="13"/>
  <c r="CW121" i="13"/>
  <c r="CP121" i="13"/>
  <c r="EL121" i="13"/>
  <c r="AQ121" i="13"/>
  <c r="CM121" i="13"/>
  <c r="EI121" i="13"/>
  <c r="DJ121" i="13"/>
  <c r="CJ121" i="13"/>
  <c r="AP121" i="13"/>
  <c r="J121" i="13"/>
  <c r="DQ121" i="13"/>
  <c r="CK121" i="13"/>
  <c r="BE121" i="13"/>
  <c r="EH121" i="13"/>
  <c r="DH121" i="13"/>
  <c r="CF121" i="13"/>
  <c r="BD121" i="13"/>
  <c r="X121" i="13"/>
  <c r="DO121" i="13"/>
  <c r="CI121" i="13"/>
  <c r="BC121" i="13"/>
  <c r="Y121" i="13"/>
  <c r="DT121" i="13"/>
  <c r="CD121" i="13"/>
  <c r="AZ121" i="13"/>
  <c r="T121" i="13"/>
  <c r="DK121" i="13"/>
  <c r="CE121" i="13"/>
  <c r="AY121" i="13"/>
  <c r="W121" i="13"/>
  <c r="V121" i="13"/>
  <c r="CB121" i="13"/>
  <c r="AX121" i="13"/>
  <c r="R121" i="13"/>
  <c r="DI121" i="13"/>
  <c r="CC121" i="13"/>
  <c r="AW121" i="13"/>
  <c r="S121" i="13"/>
  <c r="DR121" i="13"/>
  <c r="BB121" i="13"/>
  <c r="CN121" i="13"/>
  <c r="AV121" i="13"/>
  <c r="P121" i="13"/>
  <c r="DG121" i="13"/>
  <c r="CA121" i="13"/>
  <c r="AU121" i="13"/>
  <c r="Q121" i="13"/>
  <c r="EF121" i="13"/>
  <c r="CG121" i="13"/>
  <c r="BR121" i="13"/>
  <c r="BH121" i="13"/>
  <c r="AB121" i="13"/>
  <c r="EC121" i="13"/>
  <c r="AC121" i="13"/>
  <c r="BY121" i="13"/>
  <c r="O121" i="13"/>
  <c r="EB121" i="13"/>
  <c r="CL121" i="13"/>
  <c r="BA121" i="13"/>
  <c r="DN121" i="13"/>
  <c r="N121" i="13"/>
  <c r="BJ121" i="13"/>
  <c r="DF121" i="13"/>
  <c r="K121" i="13"/>
  <c r="DU121" i="13"/>
  <c r="DZ121" i="13"/>
  <c r="CZ121" i="13"/>
  <c r="AD121" i="13"/>
  <c r="AT121" i="13"/>
  <c r="AS121" i="13"/>
  <c r="CO121" i="13"/>
  <c r="EK121" i="13"/>
  <c r="AL121" i="13"/>
  <c r="BG121" i="13"/>
  <c r="EL81" i="13"/>
  <c r="H127" i="13"/>
  <c r="EL129" i="13"/>
  <c r="H129" i="13" s="1"/>
  <c r="EL71" i="13" l="1"/>
  <c r="H81" i="13"/>
  <c r="EL69" i="13" l="1"/>
  <c r="H71" i="13"/>
  <c r="H69" i="13" l="1"/>
  <c r="EL103" i="13"/>
  <c r="EL105" i="13" l="1"/>
  <c r="H103" i="13"/>
  <c r="EL107" i="13" l="1"/>
  <c r="H107" i="13" s="1"/>
  <c r="F107" i="13" s="1"/>
  <c r="H105" i="13"/>
</calcChain>
</file>

<file path=xl/comments1.xml><?xml version="1.0" encoding="utf-8"?>
<comments xmlns="http://schemas.openxmlformats.org/spreadsheetml/2006/main">
  <authors>
    <author>다.김수현</author>
  </authors>
  <commentList>
    <comment ref="I83" authorId="0" shapeId="0">
      <text>
        <r>
          <rPr>
            <b/>
            <sz val="9"/>
            <color indexed="81"/>
            <rFont val="돋움"/>
            <family val="3"/>
            <charset val="129"/>
          </rPr>
          <t>반영완료 22.1Q부터</t>
        </r>
      </text>
    </comment>
  </commentList>
</comments>
</file>

<file path=xl/comments2.xml><?xml version="1.0" encoding="utf-8"?>
<comments xmlns="http://schemas.openxmlformats.org/spreadsheetml/2006/main">
  <authors>
    <author>다.정윤화</author>
  </authors>
  <commentList>
    <comment ref="E4" authorId="0" shapeId="0">
      <text>
        <r>
          <rPr>
            <b/>
            <sz val="9"/>
            <color indexed="81"/>
            <rFont val="돋움"/>
            <family val="3"/>
            <charset val="129"/>
          </rPr>
          <t>삼성증권</t>
        </r>
        <r>
          <rPr>
            <b/>
            <sz val="9"/>
            <color indexed="81"/>
            <rFont val="Tahoma"/>
            <family val="2"/>
          </rPr>
          <t xml:space="preserve"> </t>
        </r>
        <r>
          <rPr>
            <b/>
            <sz val="9"/>
            <color indexed="81"/>
            <rFont val="돋움"/>
            <family val="3"/>
            <charset val="129"/>
          </rPr>
          <t>보통주</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모두</t>
        </r>
        <r>
          <rPr>
            <b/>
            <sz val="9"/>
            <color indexed="81"/>
            <rFont val="Tahoma"/>
            <family val="2"/>
          </rPr>
          <t xml:space="preserve"> </t>
        </r>
        <r>
          <rPr>
            <b/>
            <sz val="9"/>
            <color indexed="81"/>
            <rFont val="돋움"/>
            <family val="3"/>
            <charset val="129"/>
          </rPr>
          <t>투자</t>
        </r>
        <r>
          <rPr>
            <b/>
            <sz val="9"/>
            <color indexed="81"/>
            <rFont val="Tahoma"/>
            <family val="2"/>
          </rPr>
          <t xml:space="preserve"> but </t>
        </r>
        <r>
          <rPr>
            <b/>
            <sz val="9"/>
            <color indexed="81"/>
            <rFont val="돋움"/>
            <family val="3"/>
            <charset val="129"/>
          </rPr>
          <t>내용</t>
        </r>
        <r>
          <rPr>
            <b/>
            <sz val="9"/>
            <color indexed="81"/>
            <rFont val="Tahoma"/>
            <family val="2"/>
          </rPr>
          <t xml:space="preserve"> </t>
        </r>
        <r>
          <rPr>
            <b/>
            <sz val="9"/>
            <color indexed="81"/>
            <rFont val="돋움"/>
            <family val="3"/>
            <charset val="129"/>
          </rPr>
          <t>같음</t>
        </r>
      </text>
    </comment>
    <comment ref="L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 ref="P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List>
</comments>
</file>

<file path=xl/comments3.xml><?xml version="1.0" encoding="utf-8"?>
<comments xmlns="http://schemas.openxmlformats.org/spreadsheetml/2006/main">
  <authors>
    <author>다.정윤화</author>
    <author>다.김수현</author>
  </authors>
  <commentList>
    <comment ref="D39"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D40"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O90" authorId="1" shapeId="0">
      <text>
        <r>
          <rPr>
            <b/>
            <sz val="9"/>
            <color indexed="81"/>
            <rFont val="돋움"/>
            <family val="3"/>
            <charset val="129"/>
          </rPr>
          <t>반영완료 22.1Q부터</t>
        </r>
      </text>
    </comment>
  </commentList>
</comments>
</file>

<file path=xl/comments4.xml><?xml version="1.0" encoding="utf-8"?>
<comments xmlns="http://schemas.openxmlformats.org/spreadsheetml/2006/main">
  <authors>
    <author>다.김수현</author>
  </authors>
  <commentList>
    <comment ref="AD107"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신모델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(4</t>
        </r>
        <r>
          <rPr>
            <sz val="9"/>
            <color indexed="81"/>
            <rFont val="돋움"/>
            <family val="3"/>
            <charset val="129"/>
          </rPr>
          <t>기</t>
        </r>
        <r>
          <rPr>
            <sz val="9"/>
            <color indexed="81"/>
            <rFont val="Tahoma"/>
            <family val="2"/>
          </rPr>
          <t>~21</t>
        </r>
        <r>
          <rPr>
            <sz val="9"/>
            <color indexed="81"/>
            <rFont val="돋움"/>
            <family val="3"/>
            <charset val="129"/>
          </rPr>
          <t>기</t>
        </r>
        <r>
          <rPr>
            <sz val="9"/>
            <color indexed="81"/>
            <rFont val="Tahoma"/>
            <family val="2"/>
          </rPr>
          <t>) : 130,680</t>
        </r>
        <r>
          <rPr>
            <sz val="9"/>
            <color indexed="81"/>
            <rFont val="돋움"/>
            <family val="3"/>
            <charset val="129"/>
          </rPr>
          <t>백만원</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 131,309</t>
        </r>
        <r>
          <rPr>
            <sz val="9"/>
            <color indexed="81"/>
            <rFont val="돋움"/>
            <family val="3"/>
            <charset val="129"/>
          </rPr>
          <t>백만원</t>
        </r>
      </text>
    </comment>
    <comment ref="AD129"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보통주</t>
        </r>
        <r>
          <rPr>
            <sz val="9"/>
            <color indexed="81"/>
            <rFont val="Tahoma"/>
            <family val="2"/>
          </rPr>
          <t xml:space="preserve"> </t>
        </r>
        <r>
          <rPr>
            <sz val="9"/>
            <color indexed="81"/>
            <rFont val="돋움"/>
            <family val="3"/>
            <charset val="129"/>
          </rPr>
          <t>운영배당</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없는것</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필요</t>
        </r>
        <r>
          <rPr>
            <sz val="9"/>
            <color indexed="81"/>
            <rFont val="Tahoma"/>
            <family val="2"/>
          </rPr>
          <t xml:space="preserve">!!!
</t>
        </r>
      </text>
    </comment>
  </commentList>
</comments>
</file>

<file path=xl/comments5.xml><?xml version="1.0" encoding="utf-8"?>
<comments xmlns="http://schemas.openxmlformats.org/spreadsheetml/2006/main">
  <authors>
    <author>유정</author>
  </authors>
  <commentList>
    <comment ref="Q70" authorId="0" shapeId="0">
      <text>
        <r>
          <rPr>
            <sz val="9"/>
            <color indexed="81"/>
            <rFont val="돋움"/>
            <family val="3"/>
            <charset val="129"/>
          </rPr>
          <t>월</t>
        </r>
        <r>
          <rPr>
            <sz val="9"/>
            <color indexed="81"/>
            <rFont val="Tahoma"/>
            <family val="2"/>
          </rPr>
          <t xml:space="preserve"> 1</t>
        </r>
        <r>
          <rPr>
            <sz val="9"/>
            <color indexed="81"/>
            <rFont val="돋움"/>
            <family val="3"/>
            <charset val="129"/>
          </rPr>
          <t>백만원</t>
        </r>
        <r>
          <rPr>
            <sz val="9"/>
            <color indexed="81"/>
            <rFont val="Tahoma"/>
            <family val="2"/>
          </rPr>
          <t xml:space="preserve"> </t>
        </r>
        <r>
          <rPr>
            <sz val="9"/>
            <color indexed="81"/>
            <rFont val="돋움"/>
            <family val="3"/>
            <charset val="129"/>
          </rPr>
          <t>수준</t>
        </r>
      </text>
    </comment>
  </commentList>
</comments>
</file>

<file path=xl/comments6.xml><?xml version="1.0" encoding="utf-8"?>
<comments xmlns="http://schemas.openxmlformats.org/spreadsheetml/2006/main">
  <authors>
    <author>다.정윤화</author>
  </authors>
  <commentList>
    <comment ref="C4" authorId="0" shapeId="0">
      <text>
        <r>
          <rPr>
            <b/>
            <sz val="9"/>
            <color indexed="81"/>
            <rFont val="Tahoma"/>
            <family val="2"/>
          </rPr>
          <t>D-2month</t>
        </r>
        <r>
          <rPr>
            <b/>
            <sz val="9"/>
            <color indexed="81"/>
            <rFont val="돋움"/>
            <family val="3"/>
            <charset val="129"/>
          </rPr>
          <t>의</t>
        </r>
        <r>
          <rPr>
            <b/>
            <sz val="9"/>
            <color indexed="81"/>
            <rFont val="Tahoma"/>
            <family val="2"/>
          </rPr>
          <t xml:space="preserve"> </t>
        </r>
        <r>
          <rPr>
            <b/>
            <sz val="9"/>
            <color indexed="81"/>
            <rFont val="돋움"/>
            <family val="3"/>
            <charset val="129"/>
          </rPr>
          <t>파라미터를</t>
        </r>
        <r>
          <rPr>
            <b/>
            <sz val="9"/>
            <color indexed="81"/>
            <rFont val="Tahoma"/>
            <family val="2"/>
          </rPr>
          <t xml:space="preserve"> </t>
        </r>
        <r>
          <rPr>
            <b/>
            <sz val="9"/>
            <color indexed="81"/>
            <rFont val="돋움"/>
            <family val="3"/>
            <charset val="129"/>
          </rPr>
          <t>사용하지만</t>
        </r>
        <r>
          <rPr>
            <b/>
            <sz val="9"/>
            <color indexed="81"/>
            <rFont val="Tahoma"/>
            <family val="2"/>
          </rPr>
          <t xml:space="preserve"> </t>
        </r>
        <r>
          <rPr>
            <b/>
            <sz val="9"/>
            <color indexed="81"/>
            <rFont val="돋움"/>
            <family val="3"/>
            <charset val="129"/>
          </rPr>
          <t>평가시점</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도과된바</t>
        </r>
        <r>
          <rPr>
            <b/>
            <sz val="9"/>
            <color indexed="81"/>
            <rFont val="Tahoma"/>
            <family val="2"/>
          </rPr>
          <t xml:space="preserve"> </t>
        </r>
        <r>
          <rPr>
            <b/>
            <sz val="9"/>
            <color indexed="81"/>
            <rFont val="돋움"/>
            <family val="3"/>
            <charset val="129"/>
          </rPr>
          <t>해당</t>
        </r>
        <r>
          <rPr>
            <b/>
            <sz val="9"/>
            <color indexed="81"/>
            <rFont val="Tahoma"/>
            <family val="2"/>
          </rPr>
          <t xml:space="preserve"> </t>
        </r>
        <r>
          <rPr>
            <b/>
            <sz val="9"/>
            <color indexed="81"/>
            <rFont val="돋움"/>
            <family val="3"/>
            <charset val="129"/>
          </rPr>
          <t>시점의</t>
        </r>
        <r>
          <rPr>
            <b/>
            <sz val="9"/>
            <color indexed="81"/>
            <rFont val="Tahoma"/>
            <family val="2"/>
          </rPr>
          <t xml:space="preserve"> rf, mrp</t>
        </r>
        <r>
          <rPr>
            <b/>
            <sz val="9"/>
            <color indexed="81"/>
            <rFont val="돋움"/>
            <family val="3"/>
            <charset val="129"/>
          </rPr>
          <t>를</t>
        </r>
        <r>
          <rPr>
            <b/>
            <sz val="9"/>
            <color indexed="81"/>
            <rFont val="Tahoma"/>
            <family val="2"/>
          </rPr>
          <t xml:space="preserve"> </t>
        </r>
        <r>
          <rPr>
            <b/>
            <sz val="9"/>
            <color indexed="81"/>
            <rFont val="돋움"/>
            <family val="3"/>
            <charset val="129"/>
          </rPr>
          <t>사용함</t>
        </r>
      </text>
    </comment>
  </commentList>
</comments>
</file>

<file path=xl/sharedStrings.xml><?xml version="1.0" encoding="utf-8"?>
<sst xmlns="http://schemas.openxmlformats.org/spreadsheetml/2006/main" count="3701" uniqueCount="2326">
  <si>
    <r>
      <t>케이원1</t>
    </r>
    <r>
      <rPr>
        <sz val="11"/>
        <color theme="1"/>
        <rFont val="맑은 고딕"/>
        <family val="2"/>
        <charset val="129"/>
        <scheme val="minor"/>
      </rPr>
      <t>5호 리츠</t>
    </r>
    <phoneticPr fontId="3" type="noConversion"/>
  </si>
  <si>
    <t>3) 배당금 산정내역</t>
    <phoneticPr fontId="3" type="noConversion"/>
  </si>
  <si>
    <t>평가시점</t>
    <phoneticPr fontId="3" type="noConversion"/>
  </si>
  <si>
    <t>최신 재무모델임 확인 完</t>
    <phoneticPr fontId="3" type="noConversion"/>
  </si>
  <si>
    <t>해당 투자자의 현금 흐름 산정(운용보고서 상 상이하므로 반드시 아래의 수식에서 계산된 값, 운용보고서 상 실제 배당액, 주총결의된 배당액, 재무모델 상 예정배당액을 검토할 것)</t>
    <phoneticPr fontId="3" type="noConversion"/>
  </si>
  <si>
    <t>RE</t>
    <phoneticPr fontId="3" type="noConversion"/>
  </si>
  <si>
    <t>ㅇ 투자보고서(배당에 관한 사항)</t>
    <phoneticPr fontId="3" type="noConversion"/>
  </si>
  <si>
    <r>
      <t>(1)</t>
    </r>
    <r>
      <rPr>
        <b/>
        <sz val="7"/>
        <color rgb="FF000000"/>
        <rFont val="Times New Roman"/>
        <family val="1"/>
      </rPr>
      <t xml:space="preserve">  </t>
    </r>
    <r>
      <rPr>
        <b/>
        <sz val="11"/>
        <color rgb="FF000000"/>
        <rFont val="맑은 고딕"/>
        <family val="3"/>
        <charset val="129"/>
      </rPr>
      <t>운영배당</t>
    </r>
  </si>
  <si>
    <t>(한 열 늘림)배당시작?</t>
    <phoneticPr fontId="3" type="noConversion"/>
  </si>
  <si>
    <t>구분</t>
    <phoneticPr fontId="3" type="noConversion"/>
  </si>
  <si>
    <t>제1기</t>
    <phoneticPr fontId="3" type="noConversion"/>
  </si>
  <si>
    <t>제2기</t>
    <phoneticPr fontId="3" type="noConversion"/>
  </si>
  <si>
    <t>제3기</t>
    <phoneticPr fontId="3" type="noConversion"/>
  </si>
  <si>
    <t>제4기</t>
    <phoneticPr fontId="3" type="noConversion"/>
  </si>
  <si>
    <t>제5기</t>
    <phoneticPr fontId="3" type="noConversion"/>
  </si>
  <si>
    <t>제6기</t>
    <phoneticPr fontId="3" type="noConversion"/>
  </si>
  <si>
    <t>제7기</t>
    <phoneticPr fontId="3" type="noConversion"/>
  </si>
  <si>
    <t>제8기</t>
    <phoneticPr fontId="3" type="noConversion"/>
  </si>
  <si>
    <t>제9기</t>
    <phoneticPr fontId="3" type="noConversion"/>
  </si>
  <si>
    <t>제10기</t>
    <phoneticPr fontId="3" type="noConversion"/>
  </si>
  <si>
    <t>제11기</t>
    <phoneticPr fontId="3" type="noConversion"/>
  </si>
  <si>
    <t>제12기</t>
    <phoneticPr fontId="3" type="noConversion"/>
  </si>
  <si>
    <t>제13기</t>
    <phoneticPr fontId="3" type="noConversion"/>
  </si>
  <si>
    <t>제14기</t>
    <phoneticPr fontId="3" type="noConversion"/>
  </si>
  <si>
    <t>제15기</t>
  </si>
  <si>
    <t>제16기</t>
  </si>
  <si>
    <t>제17기</t>
  </si>
  <si>
    <t>제18기</t>
  </si>
  <si>
    <t>제19기</t>
  </si>
  <si>
    <t>제20기</t>
  </si>
  <si>
    <t>제21기</t>
  </si>
  <si>
    <t>배당시점</t>
  </si>
  <si>
    <t>수기입력, 값 업데이트</t>
    <phoneticPr fontId="3" type="noConversion"/>
  </si>
  <si>
    <t>(+)영업수익</t>
  </si>
  <si>
    <t>(-)영업비용</t>
  </si>
  <si>
    <t>영업이익</t>
  </si>
  <si>
    <t>(+)영업외수익</t>
  </si>
  <si>
    <t>(-)영업외비용</t>
  </si>
  <si>
    <t>당기순이익</t>
  </si>
  <si>
    <t>(+)감가상각비</t>
  </si>
  <si>
    <t>배당가능현금</t>
  </si>
  <si>
    <t>CHECK</t>
    <phoneticPr fontId="3" type="noConversion"/>
  </si>
  <si>
    <r>
      <t>운영배당</t>
    </r>
    <r>
      <rPr>
        <b/>
        <vertAlign val="superscript"/>
        <sz val="11"/>
        <color rgb="FF000000"/>
        <rFont val="맑은 고딕"/>
        <family val="3"/>
        <charset val="129"/>
      </rPr>
      <t>1*)</t>
    </r>
    <phoneticPr fontId="3" type="noConversion"/>
  </si>
  <si>
    <r>
      <t>&lt;- 재무모델 및 운용보고서상 확인되는 운영배당금 확인</t>
    </r>
    <r>
      <rPr>
        <b/>
        <sz val="10"/>
        <color rgb="FFFF0000"/>
        <rFont val="맑은 고딕"/>
        <family val="3"/>
        <charset val="129"/>
        <scheme val="minor"/>
      </rPr>
      <t>(배당가능현금≥운영배당금)</t>
    </r>
    <phoneticPr fontId="3" type="noConversion"/>
  </si>
  <si>
    <t>보통주 운영배당</t>
    <phoneticPr fontId="3" type="noConversion"/>
  </si>
  <si>
    <t>1종 종류주 배당</t>
    <phoneticPr fontId="3" type="noConversion"/>
  </si>
  <si>
    <t>검토용</t>
    <phoneticPr fontId="3" type="noConversion"/>
  </si>
  <si>
    <t>1종 종류주 배당, 보통주 배당</t>
    <phoneticPr fontId="3" type="noConversion"/>
  </si>
  <si>
    <r>
      <t>a.</t>
    </r>
    <r>
      <rPr>
        <sz val="7"/>
        <color theme="0" tint="-0.34998626667073579"/>
        <rFont val="Times New Roman"/>
        <family val="1"/>
      </rPr>
      <t xml:space="preserve">     </t>
    </r>
    <r>
      <rPr>
        <sz val="10"/>
        <color theme="0" tint="-0.34998626667073579"/>
        <rFont val="맑은 고딕"/>
        <family val="3"/>
        <charset val="129"/>
      </rPr>
      <t>1종 종류주 50,000,000주 넘지 않는 범위내 발행가능</t>
    </r>
    <phoneticPr fontId="3" type="noConversion"/>
  </si>
  <si>
    <r>
      <t>b.</t>
    </r>
    <r>
      <rPr>
        <sz val="7"/>
        <color theme="0" tint="-0.34998626667073579"/>
        <rFont val="Times New Roman"/>
        <family val="1"/>
      </rPr>
      <t xml:space="preserve">     </t>
    </r>
    <r>
      <rPr>
        <sz val="10"/>
        <color theme="0" tint="-0.34998626667073579"/>
        <rFont val="맑은 고딕"/>
        <family val="3"/>
        <charset val="129"/>
      </rPr>
      <t>1종종류주 요구배당률 5.8%</t>
    </r>
    <phoneticPr fontId="3" type="noConversion"/>
  </si>
  <si>
    <t>보통주 배당액</t>
    <phoneticPr fontId="3" type="noConversion"/>
  </si>
  <si>
    <r>
      <t>(단위</t>
    </r>
    <r>
      <rPr>
        <sz val="11"/>
        <color theme="1"/>
        <rFont val="맑은 고딕"/>
        <family val="2"/>
        <charset val="129"/>
        <scheme val="minor"/>
      </rPr>
      <t xml:space="preserve"> : 백만원)</t>
    </r>
    <phoneticPr fontId="3" type="noConversion"/>
  </si>
  <si>
    <r>
      <t>c.</t>
    </r>
    <r>
      <rPr>
        <sz val="7"/>
        <color theme="0" tint="-0.34998626667073579"/>
        <rFont val="Times New Roman"/>
        <family val="1"/>
      </rPr>
      <t xml:space="preserve">     </t>
    </r>
    <r>
      <rPr>
        <sz val="10"/>
        <color theme="0" tint="-0.34998626667073579"/>
        <rFont val="맑은 고딕"/>
        <family val="3"/>
        <charset val="129"/>
      </rPr>
      <t>배당순서</t>
    </r>
    <r>
      <rPr>
        <sz val="10"/>
        <color theme="0" tint="-0.34998626667073579"/>
        <rFont val="Times New Roman"/>
        <family val="1"/>
      </rPr>
      <t xml:space="preserve"> : 1</t>
    </r>
    <r>
      <rPr>
        <sz val="10"/>
        <color theme="0" tint="-0.34998626667073579"/>
        <rFont val="맑은 고딕"/>
        <family val="3"/>
        <charset val="129"/>
      </rPr>
      <t>종</t>
    </r>
    <r>
      <rPr>
        <sz val="10"/>
        <color theme="0" tint="-0.34998626667073579"/>
        <rFont val="Times New Roman"/>
        <family val="1"/>
      </rPr>
      <t xml:space="preserve"> &gt; </t>
    </r>
    <r>
      <rPr>
        <sz val="10"/>
        <color theme="0" tint="-0.34998626667073579"/>
        <rFont val="맑은 고딕"/>
        <family val="3"/>
        <charset val="129"/>
      </rPr>
      <t>보통주</t>
    </r>
    <phoneticPr fontId="3" type="noConversion"/>
  </si>
  <si>
    <r>
      <t>(2)</t>
    </r>
    <r>
      <rPr>
        <b/>
        <sz val="7"/>
        <color rgb="FF000000"/>
        <rFont val="Times New Roman"/>
        <family val="1"/>
      </rPr>
      <t xml:space="preserve">  </t>
    </r>
    <r>
      <rPr>
        <b/>
        <sz val="11"/>
        <color rgb="FF000000"/>
        <rFont val="맑은 고딕"/>
        <family val="3"/>
        <charset val="129"/>
      </rPr>
      <t>매각차익 배당액 산정(Capital Gain)</t>
    </r>
  </si>
  <si>
    <t>1종 종류주 배당액</t>
    <phoneticPr fontId="3" type="noConversion"/>
  </si>
  <si>
    <t>비고</t>
    <phoneticPr fontId="3" type="noConversion"/>
  </si>
  <si>
    <t>부동산 매각차익</t>
  </si>
  <si>
    <t>NOI기준 매각금액 – 장부금액 = 부동산 매각차익</t>
    <phoneticPr fontId="3" type="noConversion"/>
  </si>
  <si>
    <t>2021-08-30 재무제표 기준</t>
    <phoneticPr fontId="3" type="noConversion"/>
  </si>
  <si>
    <r>
      <t>&lt;</t>
    </r>
    <r>
      <rPr>
        <sz val="11"/>
        <color theme="1"/>
        <rFont val="맑은 고딕"/>
        <family val="2"/>
        <charset val="129"/>
        <scheme val="minor"/>
      </rPr>
      <t>- 이자율 =보통주배당 이고, 만기시 저만큼 나감 사실상 보통주랑 다를게 없음.</t>
    </r>
    <phoneticPr fontId="3" type="noConversion"/>
  </si>
  <si>
    <t>(-)매각비용(수수료)</t>
    <phoneticPr fontId="3" type="noConversion"/>
  </si>
  <si>
    <t>매각금액의 0.5% 매각기본수수료</t>
    <phoneticPr fontId="3" type="noConversion"/>
  </si>
  <si>
    <t>단기대출금의 보통주 전환 가정</t>
    <phoneticPr fontId="3" type="noConversion"/>
  </si>
  <si>
    <t>(-)성과수수료</t>
  </si>
  <si>
    <t>(부동산 매각차익 – 매각비용) * 10%</t>
    <phoneticPr fontId="3" type="noConversion"/>
  </si>
  <si>
    <t>금액</t>
    <phoneticPr fontId="3" type="noConversion"/>
  </si>
  <si>
    <t>회계상 처분이익배당</t>
  </si>
  <si>
    <t>-</t>
    <phoneticPr fontId="3" type="noConversion"/>
  </si>
  <si>
    <t>보통주발행가액</t>
    <phoneticPr fontId="3" type="noConversion"/>
  </si>
  <si>
    <t>(-)감가상각비 초과배당 누적액</t>
  </si>
  <si>
    <t>-</t>
    <phoneticPr fontId="3" type="noConversion"/>
  </si>
  <si>
    <t>(-)주식할인발행차금 상계금액</t>
    <phoneticPr fontId="3" type="noConversion"/>
  </si>
  <si>
    <t>ㅇ재무모델(매각차익)</t>
    <phoneticPr fontId="3" type="noConversion"/>
  </si>
  <si>
    <t>Capital Gain</t>
    <phoneticPr fontId="3" type="noConversion"/>
  </si>
  <si>
    <t>매각차익 비율</t>
    <phoneticPr fontId="3" type="noConversion"/>
  </si>
  <si>
    <t>매각가치(check)</t>
    <phoneticPr fontId="3" type="noConversion"/>
  </si>
  <si>
    <t>1종 종류주 C.G 배당(잔여분)</t>
    <phoneticPr fontId="3" type="noConversion"/>
  </si>
  <si>
    <t>매각차익의 60%</t>
    <phoneticPr fontId="3" type="noConversion"/>
  </si>
  <si>
    <t>1종</t>
    <phoneticPr fontId="3" type="noConversion"/>
  </si>
  <si>
    <t>보통주 C.G 배당(잔여분)</t>
    <phoneticPr fontId="3" type="noConversion"/>
  </si>
  <si>
    <t>매각차익의 40%</t>
    <phoneticPr fontId="3" type="noConversion"/>
  </si>
  <si>
    <t>보통주</t>
    <phoneticPr fontId="3" type="noConversion"/>
  </si>
  <si>
    <t>민감도용</t>
    <phoneticPr fontId="3" type="noConversion"/>
  </si>
  <si>
    <r>
      <t>(3-1)</t>
    </r>
    <r>
      <rPr>
        <b/>
        <sz val="7"/>
        <color rgb="FF000000"/>
        <rFont val="Times New Roman"/>
        <family val="1"/>
      </rPr>
      <t xml:space="preserve">  </t>
    </r>
    <r>
      <rPr>
        <b/>
        <sz val="11"/>
        <color rgb="FF000000"/>
        <rFont val="맑은 고딕"/>
        <family val="3"/>
        <charset val="129"/>
      </rPr>
      <t>보통주의</t>
    </r>
    <r>
      <rPr>
        <b/>
        <sz val="11"/>
        <color rgb="FF000000"/>
        <rFont val="Times New Roman"/>
        <family val="1"/>
      </rPr>
      <t xml:space="preserve"> </t>
    </r>
    <r>
      <rPr>
        <b/>
        <sz val="11"/>
        <color rgb="FF000000"/>
        <rFont val="맑은 고딕"/>
        <family val="3"/>
        <charset val="129"/>
      </rPr>
      <t>배당금</t>
    </r>
    <r>
      <rPr>
        <b/>
        <sz val="11"/>
        <color rgb="FF000000"/>
        <rFont val="Times New Roman"/>
        <family val="1"/>
      </rPr>
      <t xml:space="preserve"> </t>
    </r>
    <r>
      <rPr>
        <b/>
        <sz val="11"/>
        <color rgb="FF000000"/>
        <rFont val="맑은 고딕"/>
        <family val="3"/>
        <charset val="129"/>
      </rPr>
      <t>현금흐름</t>
    </r>
    <phoneticPr fontId="3" type="noConversion"/>
  </si>
  <si>
    <t>구분</t>
    <phoneticPr fontId="3" type="noConversion"/>
  </si>
  <si>
    <t>보통주 매각차익</t>
    <phoneticPr fontId="3" type="noConversion"/>
  </si>
  <si>
    <t>투하자본회수</t>
  </si>
  <si>
    <t>현금흐름</t>
    <phoneticPr fontId="3" type="noConversion"/>
  </si>
  <si>
    <r>
      <t>(3-2)</t>
    </r>
    <r>
      <rPr>
        <b/>
        <sz val="7"/>
        <color rgb="FF000000"/>
        <rFont val="Times New Roman"/>
        <family val="1"/>
      </rPr>
      <t> </t>
    </r>
    <r>
      <rPr>
        <b/>
        <sz val="7"/>
        <color rgb="FF000000"/>
        <rFont val="맑은 고딕"/>
        <family val="3"/>
        <charset val="129"/>
      </rPr>
      <t>1</t>
    </r>
    <r>
      <rPr>
        <b/>
        <sz val="11"/>
        <color rgb="FF000000"/>
        <rFont val="맑은 고딕"/>
        <family val="3"/>
        <charset val="129"/>
      </rPr>
      <t>종 종류주의 배당금 현금흐름</t>
    </r>
    <phoneticPr fontId="3" type="noConversion"/>
  </si>
  <si>
    <t>1종 종류주 운영배당</t>
    <phoneticPr fontId="3" type="noConversion"/>
  </si>
  <si>
    <t>1종 종류주 매각차익</t>
    <phoneticPr fontId="3" type="noConversion"/>
  </si>
  <si>
    <t>현금흐름</t>
    <phoneticPr fontId="3" type="noConversion"/>
  </si>
  <si>
    <t>청산가치</t>
    <phoneticPr fontId="3" type="noConversion"/>
  </si>
  <si>
    <t>할인율</t>
    <phoneticPr fontId="3" type="noConversion"/>
  </si>
  <si>
    <t>민감도용</t>
    <phoneticPr fontId="3" type="noConversion"/>
  </si>
  <si>
    <t>민감도분석</t>
    <phoneticPr fontId="3" type="noConversion"/>
  </si>
  <si>
    <t>4-1) 보통주 DDM 평가결과</t>
    <phoneticPr fontId="3" type="noConversion"/>
  </si>
  <si>
    <t>기준시점</t>
    <phoneticPr fontId="3" type="noConversion"/>
  </si>
  <si>
    <t>구  분</t>
  </si>
  <si>
    <t>할인율</t>
    <phoneticPr fontId="3" type="noConversion"/>
  </si>
  <si>
    <r>
      <t>&lt;</t>
    </r>
    <r>
      <rPr>
        <sz val="11"/>
        <color theme="1"/>
        <rFont val="맑은 고딕"/>
        <family val="2"/>
        <charset val="129"/>
        <scheme val="minor"/>
      </rPr>
      <t>&lt;수식 다 걸림</t>
    </r>
    <phoneticPr fontId="3" type="noConversion"/>
  </si>
  <si>
    <t>최종가격</t>
  </si>
  <si>
    <t>Period</t>
    <phoneticPr fontId="3" type="noConversion"/>
  </si>
  <si>
    <t>Discount rate</t>
    <phoneticPr fontId="3" type="noConversion"/>
  </si>
  <si>
    <t>Time factor</t>
  </si>
  <si>
    <t>Present Value</t>
  </si>
  <si>
    <r>
      <rPr>
        <sz val="11"/>
        <color theme="1"/>
        <rFont val="맑은 고딕"/>
        <family val="2"/>
        <charset val="129"/>
        <scheme val="minor"/>
      </rPr>
      <t>1</t>
    </r>
    <r>
      <rPr>
        <sz val="11"/>
        <color theme="1"/>
        <rFont val="맑은 고딕"/>
        <family val="2"/>
        <charset val="129"/>
        <scheme val="minor"/>
      </rPr>
      <t>종</t>
    </r>
    <r>
      <rPr>
        <sz val="11"/>
        <color theme="1"/>
        <rFont val="맑은 고딕"/>
        <family val="2"/>
        <charset val="129"/>
        <scheme val="minor"/>
      </rPr>
      <t xml:space="preserve"> 종류주</t>
    </r>
    <phoneticPr fontId="3" type="noConversion"/>
  </si>
  <si>
    <t>Total PV</t>
  </si>
  <si>
    <t>Number of Shares</t>
  </si>
  <si>
    <t>Value per share</t>
  </si>
  <si>
    <t>4-2) 1종종류주 DDM 평가결과</t>
    <phoneticPr fontId="3" type="noConversion"/>
  </si>
  <si>
    <t>전체가치(check)</t>
    <phoneticPr fontId="3" type="noConversion"/>
  </si>
  <si>
    <t>Period</t>
    <phoneticPr fontId="3" type="noConversion"/>
  </si>
  <si>
    <t>&lt;&lt; 삼성생명의뢰 2종종류주(=1종 종류주를 말한 것임. 2203 확인 완료)</t>
    <phoneticPr fontId="3" type="noConversion"/>
  </si>
  <si>
    <r>
      <t>해당</t>
    </r>
    <r>
      <rPr>
        <sz val="11"/>
        <color rgb="FFFF0000"/>
        <rFont val="맑은 고딕"/>
        <family val="3"/>
        <charset val="129"/>
        <scheme val="minor"/>
      </rPr>
      <t xml:space="preserve"> 리츠 제시 </t>
    </r>
    <r>
      <rPr>
        <sz val="11"/>
        <color rgb="FFFF0000"/>
        <rFont val="맑은 고딕"/>
        <family val="2"/>
        <charset val="129"/>
        <scheme val="minor"/>
      </rPr>
      <t>할인율</t>
    </r>
    <r>
      <rPr>
        <sz val="11"/>
        <color rgb="FFFF0000"/>
        <rFont val="맑은 고딕"/>
        <family val="3"/>
        <charset val="129"/>
        <scheme val="minor"/>
      </rPr>
      <t>(8%,10%대)</t>
    </r>
    <r>
      <rPr>
        <sz val="11"/>
        <color rgb="FFFF0000"/>
        <rFont val="맑은 고딕"/>
        <family val="2"/>
        <charset val="129"/>
        <scheme val="minor"/>
      </rPr>
      <t xml:space="preserve"> </t>
    </r>
    <r>
      <rPr>
        <sz val="11"/>
        <color rgb="FFFF0000"/>
        <rFont val="맑은 고딕"/>
        <family val="3"/>
        <charset val="129"/>
        <scheme val="minor"/>
      </rPr>
      <t>IRR에 맞게 8%대로 변경함(상장리츠4개 사용)</t>
    </r>
    <phoneticPr fontId="3" type="noConversion"/>
  </si>
  <si>
    <t>케이원제15호리츠</t>
    <phoneticPr fontId="3" type="noConversion"/>
  </si>
  <si>
    <t xml:space="preserve"> (단위: 원)</t>
    <phoneticPr fontId="3" type="noConversion"/>
  </si>
  <si>
    <t>최선임</t>
    <phoneticPr fontId="3" type="noConversion"/>
  </si>
  <si>
    <t>종류</t>
  </si>
  <si>
    <t>1주당 평가금액</t>
  </si>
  <si>
    <t>주식수</t>
  </si>
  <si>
    <t>삼성증권 투자액</t>
    <phoneticPr fontId="3" type="noConversion"/>
  </si>
  <si>
    <t>유증주식수 반영</t>
    <phoneticPr fontId="3" type="noConversion"/>
  </si>
  <si>
    <t>유증 미반영</t>
    <phoneticPr fontId="3" type="noConversion"/>
  </si>
  <si>
    <t>삼성증권 주식수</t>
    <phoneticPr fontId="3" type="noConversion"/>
  </si>
  <si>
    <t>종류</t>
    <phoneticPr fontId="3" type="noConversion"/>
  </si>
  <si>
    <t>자본금</t>
    <phoneticPr fontId="3" type="noConversion"/>
  </si>
  <si>
    <t>발행가</t>
    <phoneticPr fontId="3" type="noConversion"/>
  </si>
  <si>
    <t>롯데물산 보유주식</t>
    <phoneticPr fontId="3" type="noConversion"/>
  </si>
  <si>
    <t>보통주</t>
  </si>
  <si>
    <t>1종 종류주</t>
    <phoneticPr fontId="3" type="noConversion"/>
  </si>
  <si>
    <t>1종 종류주</t>
    <phoneticPr fontId="3" type="noConversion"/>
  </si>
  <si>
    <r>
      <t>1종</t>
    </r>
    <r>
      <rPr>
        <sz val="11"/>
        <color theme="1"/>
        <rFont val="맑은 고딕"/>
        <family val="2"/>
        <charset val="129"/>
        <scheme val="minor"/>
      </rPr>
      <t xml:space="preserve"> 유증 주실수 반영시</t>
    </r>
    <phoneticPr fontId="3" type="noConversion"/>
  </si>
  <si>
    <t>1종 종류주(유증_2201 확인완료)&gt;&gt; 위에 반영완료</t>
    <phoneticPr fontId="3" type="noConversion"/>
  </si>
  <si>
    <t>합 계</t>
  </si>
  <si>
    <t>유증주식수 반영여부 검토 필요</t>
    <phoneticPr fontId="3" type="noConversion"/>
  </si>
  <si>
    <t>브릿지론 삼성증권 860억 투자. 이자율 4% 여기서 이득보는거</t>
  </si>
  <si>
    <t>유중시점 불확실, 발행주식수 및 발행가 정확히 모름.</t>
    <phoneticPr fontId="3" type="noConversion"/>
  </si>
  <si>
    <r>
      <t>브릿지론 이득으로</t>
    </r>
    <r>
      <rPr>
        <sz val="11"/>
        <color theme="1"/>
        <rFont val="맑은 고딕"/>
        <family val="2"/>
        <charset val="129"/>
        <scheme val="minor"/>
      </rPr>
      <t xml:space="preserve"> 메꿔지는 것만해도 많다. </t>
    </r>
    <phoneticPr fontId="3" type="noConversion"/>
  </si>
  <si>
    <t>→ 2021.09.30 현재 시점에서는 유증 주식수 반영 안하고 평가하는게 옳다고 판단</t>
    <phoneticPr fontId="3" type="noConversion"/>
  </si>
  <si>
    <t xml:space="preserve">향후 유상증자 실제 발생이후, 재무모델 새로 받아서 반영하는게 좋을 거 같음. </t>
    <phoneticPr fontId="3" type="noConversion"/>
  </si>
  <si>
    <t>현재 유상증자 주식수 반영시 1종종류주 주당 가치 너무 떨어짐.</t>
    <phoneticPr fontId="3" type="noConversion"/>
  </si>
  <si>
    <t>IRR 8% 생각하면 6만원대 가격이 적절함</t>
    <phoneticPr fontId="3" type="noConversion"/>
  </si>
  <si>
    <t>(재호대리님 리뷰 OK)</t>
    <phoneticPr fontId="3" type="noConversion"/>
  </si>
  <si>
    <t>2022.1Q 삼성증권 평가 의뢰들어온 종류주 2종은 우선종류주 1종과 같은 종목임. (이름만 다르게 인식하고있음 -계한빈 과장 확인 완료)</t>
  </si>
  <si>
    <t>유상증자 관련 (이지영과장 유선상 확인 完)</t>
    <phoneticPr fontId="3" type="noConversion"/>
  </si>
  <si>
    <t>반영완료</t>
    <phoneticPr fontId="3" type="noConversion"/>
  </si>
  <si>
    <t xml:space="preserve"> RECORD</t>
    <phoneticPr fontId="3" type="noConversion"/>
  </si>
  <si>
    <t>보통주</t>
    <phoneticPr fontId="3" type="noConversion"/>
  </si>
  <si>
    <t>총평가액</t>
    <phoneticPr fontId="3" type="noConversion"/>
  </si>
  <si>
    <t>의뢰기관</t>
    <phoneticPr fontId="3" type="noConversion"/>
  </si>
  <si>
    <t>2021.10 현재 유상증자 준비중이며, 11월 혹은 12월에 유상증자 860억 계획</t>
    <phoneticPr fontId="3" type="noConversion"/>
  </si>
  <si>
    <r>
      <t>리츠할인율 낮아져서</t>
    </r>
    <r>
      <rPr>
        <sz val="11"/>
        <color theme="1"/>
        <rFont val="맑은 고딕"/>
        <family val="2"/>
        <charset val="129"/>
        <scheme val="minor"/>
      </rPr>
      <t xml:space="preserve"> 가격 상승</t>
    </r>
    <phoneticPr fontId="3" type="noConversion"/>
  </si>
  <si>
    <r>
      <rPr>
        <sz val="11"/>
        <color rgb="FFFF0000"/>
        <rFont val="맑은 고딕"/>
        <family val="3"/>
        <charset val="129"/>
        <scheme val="minor"/>
      </rPr>
      <t>주식수, 발행가 미정</t>
    </r>
    <r>
      <rPr>
        <sz val="11"/>
        <color theme="1"/>
        <rFont val="맑은 고딕"/>
        <family val="2"/>
        <charset val="129"/>
        <scheme val="minor"/>
      </rPr>
      <t>이나 아마도 발행가 @50,000 으로 할 것 같음</t>
    </r>
    <phoneticPr fontId="3" type="noConversion"/>
  </si>
  <si>
    <r>
      <t xml:space="preserve">재무모델상 </t>
    </r>
    <r>
      <rPr>
        <sz val="11"/>
        <color theme="1"/>
        <rFont val="맑은 고딕"/>
        <family val="2"/>
        <charset val="129"/>
        <scheme val="minor"/>
      </rPr>
      <t>2022.04에는 유증이후 4월 결산시 배당 내역…</t>
    </r>
    <phoneticPr fontId="3" type="noConversion"/>
  </si>
  <si>
    <t>투자금액</t>
    <phoneticPr fontId="3" type="noConversion"/>
  </si>
  <si>
    <t>투자일</t>
    <phoneticPr fontId="3" type="noConversion"/>
  </si>
  <si>
    <t>보통주</t>
    <phoneticPr fontId="3" type="noConversion"/>
  </si>
  <si>
    <t>1종</t>
    <phoneticPr fontId="3" type="noConversion"/>
  </si>
  <si>
    <r>
      <t>I</t>
    </r>
    <r>
      <rPr>
        <sz val="11"/>
        <color theme="1"/>
        <rFont val="맑은 고딕"/>
        <family val="2"/>
        <charset val="129"/>
        <scheme val="minor"/>
      </rPr>
      <t>RR</t>
    </r>
    <phoneticPr fontId="3" type="noConversion"/>
  </si>
  <si>
    <t>구분</t>
  </si>
  <si>
    <t>제3기</t>
  </si>
  <si>
    <t>제4기</t>
  </si>
  <si>
    <t>제5기</t>
  </si>
  <si>
    <t>제6기</t>
  </si>
  <si>
    <t>제7기</t>
  </si>
  <si>
    <t>(+)영업수익(EGI)</t>
  </si>
  <si>
    <t>(-)영업비용(OE)</t>
  </si>
  <si>
    <t>영업이익(NOI)</t>
  </si>
  <si>
    <t>기준시점</t>
  </si>
  <si>
    <t>현금흐름</t>
  </si>
  <si>
    <t>Period</t>
  </si>
  <si>
    <t>운영배당</t>
  </si>
  <si>
    <t>Discount rate</t>
  </si>
  <si>
    <t>보통주 운영배당</t>
  </si>
  <si>
    <t xml:space="preserve"> - </t>
  </si>
  <si>
    <t>1종종류주 배당</t>
  </si>
  <si>
    <t>제8기</t>
  </si>
  <si>
    <t>제9기</t>
  </si>
  <si>
    <t>제10기</t>
  </si>
  <si>
    <t>제11기</t>
  </si>
  <si>
    <t>제12기</t>
  </si>
  <si>
    <t>제13기</t>
  </si>
  <si>
    <t>제14기</t>
  </si>
  <si>
    <t>전체 주식수</t>
  </si>
  <si>
    <t>주당 가치(원)</t>
  </si>
  <si>
    <t>제2종 종류주</t>
  </si>
  <si>
    <t>자산총계</t>
  </si>
  <si>
    <t>부채총계</t>
  </si>
  <si>
    <t>자본총계</t>
  </si>
  <si>
    <t>부채와 자본총계</t>
  </si>
  <si>
    <t>영업수익</t>
  </si>
  <si>
    <t>영업비용</t>
  </si>
  <si>
    <t>전체 주식수*</t>
  </si>
  <si>
    <t>구분</t>
    <phoneticPr fontId="3" type="noConversion"/>
  </si>
  <si>
    <r>
      <rPr>
        <sz val="10"/>
        <rFont val="맑은 고딕"/>
        <family val="3"/>
        <charset val="129"/>
      </rPr>
      <t>구분</t>
    </r>
  </si>
  <si>
    <r>
      <rPr>
        <sz val="10"/>
        <rFont val="맑은 고딕"/>
        <family val="3"/>
        <charset val="129"/>
      </rPr>
      <t>합계</t>
    </r>
  </si>
  <si>
    <r>
      <rPr>
        <sz val="10"/>
        <rFont val="맑은 고딕"/>
        <family val="3"/>
        <charset val="129"/>
      </rPr>
      <t>①</t>
    </r>
  </si>
  <si>
    <r>
      <rPr>
        <sz val="10"/>
        <rFont val="맑은 고딕"/>
        <family val="3"/>
        <charset val="129"/>
      </rPr>
      <t>②</t>
    </r>
  </si>
  <si>
    <r>
      <rPr>
        <sz val="10"/>
        <rFont val="맑은 고딕"/>
        <family val="3"/>
        <charset val="129"/>
      </rPr>
      <t>③</t>
    </r>
  </si>
  <si>
    <t>2종 종류주 C.G 배당 [잔여분]</t>
  </si>
  <si>
    <t>사업개시시점의 베타사용</t>
    <phoneticPr fontId="3" type="noConversion"/>
  </si>
  <si>
    <t>평가기준으로 변경</t>
    <phoneticPr fontId="3" type="noConversion"/>
  </si>
  <si>
    <t>한토신 -H스퀘어매입프로젝트</t>
    <phoneticPr fontId="3" type="noConversion"/>
  </si>
  <si>
    <t>재무모델작성일</t>
    <phoneticPr fontId="72" type="noConversion"/>
  </si>
  <si>
    <t>평가시점</t>
    <phoneticPr fontId="72" type="noConversion"/>
  </si>
  <si>
    <t>평가시점</t>
    <phoneticPr fontId="72" type="noConversion"/>
  </si>
  <si>
    <t>[자기자본]</t>
    <phoneticPr fontId="72" type="noConversion"/>
  </si>
  <si>
    <t>[1종]</t>
    <phoneticPr fontId="3" type="noConversion"/>
  </si>
  <si>
    <t>[2종]</t>
    <phoneticPr fontId="3" type="noConversion"/>
  </si>
  <si>
    <t>[보통주]</t>
    <phoneticPr fontId="72" type="noConversion"/>
  </si>
  <si>
    <t>3종 종류주</t>
    <phoneticPr fontId="72" type="noConversion"/>
  </si>
  <si>
    <t>보통주</t>
    <phoneticPr fontId="72" type="noConversion"/>
  </si>
  <si>
    <t>무위험이자율</t>
    <phoneticPr fontId="72" type="noConversion"/>
  </si>
  <si>
    <t>무위험이자율</t>
    <phoneticPr fontId="72" type="noConversion"/>
  </si>
  <si>
    <t>연평균배당률</t>
    <phoneticPr fontId="72" type="noConversion"/>
  </si>
  <si>
    <t>C.G. 제외</t>
  </si>
  <si>
    <t>위험프리미엄</t>
    <phoneticPr fontId="72" type="noConversion"/>
  </si>
  <si>
    <t>C.G. 포함</t>
  </si>
  <si>
    <t>베타</t>
    <phoneticPr fontId="72" type="noConversion"/>
  </si>
  <si>
    <t>Equity IRR</t>
    <phoneticPr fontId="72" type="noConversion"/>
  </si>
  <si>
    <t>자기자본비용</t>
    <phoneticPr fontId="72" type="noConversion"/>
  </si>
  <si>
    <t>자기자본비용 차감?</t>
    <phoneticPr fontId="3" type="noConversion"/>
  </si>
  <si>
    <t>D01000</t>
  </si>
  <si>
    <t>기초데이터</t>
  </si>
  <si>
    <t>날짜</t>
  </si>
  <si>
    <t>점수/비율</t>
  </si>
  <si>
    <t>D01010</t>
  </si>
  <si>
    <t>재무평점</t>
  </si>
  <si>
    <t>D01020</t>
  </si>
  <si>
    <t>급여인상율(%)</t>
  </si>
  <si>
    <t>D01030</t>
  </si>
  <si>
    <t>사무실임대료증가율(%)</t>
  </si>
  <si>
    <t>D01040</t>
  </si>
  <si>
    <t>소비자물가상승률(%)</t>
  </si>
  <si>
    <t>D01050</t>
  </si>
  <si>
    <t>-</t>
  </si>
  <si>
    <t>D01060</t>
  </si>
  <si>
    <t>무위험이자율(%)</t>
  </si>
  <si>
    <t>D01070</t>
  </si>
  <si>
    <t>위험프리미엄(%)</t>
  </si>
  <si>
    <t>D01080</t>
  </si>
  <si>
    <t>생산자물가상승률(%)</t>
  </si>
  <si>
    <t>2022.03.31 평가용</t>
    <phoneticPr fontId="3" type="noConversion"/>
  </si>
  <si>
    <t>파라미터</t>
    <phoneticPr fontId="3" type="noConversion"/>
  </si>
  <si>
    <t>REITs 평균</t>
    <phoneticPr fontId="3" type="noConversion"/>
  </si>
  <si>
    <t>BETA</t>
    <phoneticPr fontId="3" type="noConversion"/>
  </si>
  <si>
    <t>차입금/시총(%)</t>
    <phoneticPr fontId="3" type="noConversion"/>
  </si>
  <si>
    <t>2yr BB</t>
    <phoneticPr fontId="3" type="noConversion"/>
  </si>
  <si>
    <t>평가기준일</t>
    <phoneticPr fontId="3" type="noConversion"/>
  </si>
  <si>
    <t>2020 리츠 상장현황</t>
    <phoneticPr fontId="3" type="noConversion"/>
  </si>
  <si>
    <t>평가대상기업 법인세</t>
    <phoneticPr fontId="3" type="noConversion"/>
  </si>
  <si>
    <t>조회일</t>
    <phoneticPr fontId="3" type="noConversion"/>
  </si>
  <si>
    <t>http://reits.molit.go.kr/svc/svc/openPage.do?pageId=020302</t>
    <phoneticPr fontId="3" type="noConversion"/>
  </si>
  <si>
    <t>번호</t>
    <phoneticPr fontId="3" type="noConversion"/>
  </si>
  <si>
    <t>종목</t>
  </si>
  <si>
    <t>회사명</t>
  </si>
  <si>
    <t>티커</t>
    <phoneticPr fontId="3" type="noConversion"/>
  </si>
  <si>
    <t>상장일</t>
  </si>
  <si>
    <t>adjusted beta</t>
    <phoneticPr fontId="3" type="noConversion"/>
  </si>
  <si>
    <t xml:space="preserve"> debt/ratio</t>
    <phoneticPr fontId="3" type="noConversion"/>
  </si>
  <si>
    <t>Statutory Tax Rate</t>
    <phoneticPr fontId="3" type="noConversion"/>
  </si>
  <si>
    <t>Unleverd Beta</t>
    <phoneticPr fontId="3" type="noConversion"/>
  </si>
  <si>
    <t>산업평균</t>
  </si>
  <si>
    <t>상장기간</t>
    <phoneticPr fontId="3" type="noConversion"/>
  </si>
  <si>
    <t>사용</t>
    <phoneticPr fontId="3" type="noConversion"/>
  </si>
  <si>
    <t>상장리츠</t>
  </si>
  <si>
    <t>유형</t>
  </si>
  <si>
    <t>관측베타</t>
    <phoneticPr fontId="3" type="noConversion"/>
  </si>
  <si>
    <t>부채비율</t>
    <phoneticPr fontId="3" type="noConversion"/>
  </si>
  <si>
    <t>Unlevered Beta</t>
    <phoneticPr fontId="3" type="noConversion"/>
  </si>
  <si>
    <t>Levered Beta</t>
    <phoneticPr fontId="3" type="noConversion"/>
  </si>
  <si>
    <t>자기관리</t>
    <phoneticPr fontId="3" type="noConversion"/>
  </si>
  <si>
    <t>에이리츠</t>
  </si>
  <si>
    <t>(주)에이자기관리부동산투자회사</t>
  </si>
  <si>
    <t>140910 KS Equity</t>
  </si>
  <si>
    <t>위탁관리</t>
    <phoneticPr fontId="3" type="noConversion"/>
  </si>
  <si>
    <t>자기관리</t>
    <phoneticPr fontId="3" type="noConversion"/>
  </si>
  <si>
    <t>케이탑리츠</t>
  </si>
  <si>
    <t>(주)케이탑자기관리부동산투자회사</t>
  </si>
  <si>
    <t>145270 KS Equity</t>
  </si>
  <si>
    <t>위탁관리</t>
    <phoneticPr fontId="3" type="noConversion"/>
  </si>
  <si>
    <t>자기관리</t>
    <phoneticPr fontId="3" type="noConversion"/>
  </si>
  <si>
    <t>모두투어리츠</t>
  </si>
  <si>
    <t>(주)모두투어자기관리부동산투자회사</t>
  </si>
  <si>
    <t>204210 KS Equity</t>
  </si>
  <si>
    <t>CR리츠</t>
    <phoneticPr fontId="3" type="noConversion"/>
  </si>
  <si>
    <t>이리츠코크렙</t>
  </si>
  <si>
    <t>(주)이리츠코크렙기업구조조정부동산투자회사</t>
  </si>
  <si>
    <t>088260  KS Equity</t>
  </si>
  <si>
    <t>자기관리</t>
    <phoneticPr fontId="3" type="noConversion"/>
  </si>
  <si>
    <t>위탁관리</t>
    <phoneticPr fontId="3" type="noConversion"/>
  </si>
  <si>
    <t>신한알파리츠</t>
  </si>
  <si>
    <t>(주)신한알파위탁관리부동산투자회사</t>
  </si>
  <si>
    <t>293940  KS Equity</t>
  </si>
  <si>
    <t>위탁관리</t>
    <phoneticPr fontId="3" type="noConversion"/>
  </si>
  <si>
    <t>롯데리츠</t>
  </si>
  <si>
    <t>롯데위탁관리부동산투자회사(주)</t>
  </si>
  <si>
    <t>330590  KS Equity</t>
  </si>
  <si>
    <t>자기관리</t>
    <phoneticPr fontId="3" type="noConversion"/>
  </si>
  <si>
    <t>NH프라임리츠</t>
  </si>
  <si>
    <t>(주)엔에이치프라임위탁관리부동산투자회사</t>
  </si>
  <si>
    <t>338100  KS Equity</t>
  </si>
  <si>
    <t>이지스밸류리츠</t>
    <phoneticPr fontId="3" type="noConversion"/>
  </si>
  <si>
    <t>이지스밸류플러스위탁관리부동산투자회사</t>
    <phoneticPr fontId="3" type="noConversion"/>
  </si>
  <si>
    <t>334890  KS Equity</t>
    <phoneticPr fontId="3" type="noConversion"/>
  </si>
  <si>
    <t>평균</t>
  </si>
  <si>
    <t>미래에셋맵스리츠</t>
  </si>
  <si>
    <t>주식회사 미래에셋맵스제1호위탁관리부동산투자회사</t>
  </si>
  <si>
    <t>357250 KS Equity</t>
    <phoneticPr fontId="3" type="noConversion"/>
  </si>
  <si>
    <t>이지스레지던스리츠</t>
  </si>
  <si>
    <t>이지스레지던스위탁관리부동산투자회사</t>
  </si>
  <si>
    <t>350520 KS Equity</t>
    <phoneticPr fontId="3" type="noConversion"/>
  </si>
  <si>
    <t>제이알글로벌리츠</t>
  </si>
  <si>
    <t>주식회사제이알글로벌위탁관리부동산투자회사</t>
  </si>
  <si>
    <t>348950 KS Equity</t>
    <phoneticPr fontId="3" type="noConversion"/>
  </si>
  <si>
    <t>코람코에너지리츠</t>
  </si>
  <si>
    <r>
      <t>(</t>
    </r>
    <r>
      <rPr>
        <sz val="9"/>
        <color theme="1"/>
        <rFont val="돋움"/>
        <family val="3"/>
        <charset val="129"/>
      </rPr>
      <t>주</t>
    </r>
    <r>
      <rPr>
        <sz val="9"/>
        <color theme="1"/>
        <rFont val="Arial"/>
        <family val="2"/>
      </rPr>
      <t>)</t>
    </r>
    <r>
      <rPr>
        <sz val="9"/>
        <color theme="1"/>
        <rFont val="돋움"/>
        <family val="3"/>
        <charset val="129"/>
      </rPr>
      <t>코람코에너지플러스위탁관리부동산투자회사</t>
    </r>
    <phoneticPr fontId="3" type="noConversion"/>
  </si>
  <si>
    <t>357120 KS Equity</t>
    <phoneticPr fontId="3" type="noConversion"/>
  </si>
  <si>
    <r>
      <t>ESR</t>
    </r>
    <r>
      <rPr>
        <b/>
        <sz val="9"/>
        <color theme="1"/>
        <rFont val="돋움"/>
        <family val="3"/>
        <charset val="129"/>
      </rPr>
      <t>켄달스퀘어리츠</t>
    </r>
    <phoneticPr fontId="3" type="noConversion"/>
  </si>
  <si>
    <t>이에스알켄달스퀘어위탁관리부동산투자회사㈜</t>
    <phoneticPr fontId="3" type="noConversion"/>
  </si>
  <si>
    <t>365550 KS Equiry</t>
    <phoneticPr fontId="3" type="noConversion"/>
  </si>
  <si>
    <t>디앤디플랫폼리츠</t>
    <phoneticPr fontId="3" type="noConversion"/>
  </si>
  <si>
    <t>(주)디앤디플랫폼위탁관리부동산투자회사</t>
    <phoneticPr fontId="3" type="noConversion"/>
  </si>
  <si>
    <t>377190 KS Equity</t>
    <phoneticPr fontId="3" type="noConversion"/>
  </si>
  <si>
    <r>
      <t>SK</t>
    </r>
    <r>
      <rPr>
        <b/>
        <sz val="9"/>
        <color theme="1"/>
        <rFont val="돋움"/>
        <family val="3"/>
        <charset val="129"/>
      </rPr>
      <t>리츠</t>
    </r>
    <phoneticPr fontId="3" type="noConversion"/>
  </si>
  <si>
    <t>에스케이위탁관리부동산투자회사</t>
    <phoneticPr fontId="3" type="noConversion"/>
  </si>
  <si>
    <t>395400 KS Equity</t>
    <phoneticPr fontId="3" type="noConversion"/>
  </si>
  <si>
    <r>
      <t>NH</t>
    </r>
    <r>
      <rPr>
        <sz val="9"/>
        <color theme="1"/>
        <rFont val="돋움"/>
        <family val="3"/>
        <charset val="129"/>
      </rPr>
      <t>올원리츠</t>
    </r>
    <phoneticPr fontId="3" type="noConversion"/>
  </si>
  <si>
    <t>엔에이치올원위탁관리부동산투자회사</t>
  </si>
  <si>
    <t>400760 KS Equity</t>
    <phoneticPr fontId="3" type="noConversion"/>
  </si>
  <si>
    <t>미래에셋글로벌리츠</t>
    <phoneticPr fontId="3" type="noConversion"/>
  </si>
  <si>
    <t>미래에셋글로벌위탁관리부동산투자회사</t>
  </si>
  <si>
    <t>396690 KS Equity</t>
    <phoneticPr fontId="3" type="noConversion"/>
  </si>
  <si>
    <t>신한서부티엔디리츠</t>
    <phoneticPr fontId="3" type="noConversion"/>
  </si>
  <si>
    <t>신한서부티엔디위탁관리부동산투자회사</t>
  </si>
  <si>
    <t>404990 KS Equity</t>
    <phoneticPr fontId="3" type="noConversion"/>
  </si>
  <si>
    <t>코람코더원리츠</t>
    <phoneticPr fontId="3" type="noConversion"/>
  </si>
  <si>
    <t>(주)코람코더원위탁관리부동산투자회사</t>
  </si>
  <si>
    <t>417310 KS Equity</t>
    <phoneticPr fontId="3" type="noConversion"/>
  </si>
  <si>
    <t>마스턴프리미어리츠</t>
    <phoneticPr fontId="3" type="noConversion"/>
  </si>
  <si>
    <t>(주)마스턴프리미어제1호위탁관리부동산투자회사</t>
  </si>
  <si>
    <t>357430 KS Equity</t>
    <phoneticPr fontId="3" type="noConversion"/>
  </si>
  <si>
    <r>
      <t xml:space="preserve">*22.1Q </t>
    </r>
    <r>
      <rPr>
        <sz val="9"/>
        <color rgb="FFFF0000"/>
        <rFont val="돋움"/>
        <family val="3"/>
        <charset val="129"/>
      </rPr>
      <t>대비</t>
    </r>
    <r>
      <rPr>
        <sz val="9"/>
        <color rgb="FFFF0000"/>
        <rFont val="Arial"/>
        <family val="2"/>
      </rPr>
      <t xml:space="preserve"> </t>
    </r>
    <r>
      <rPr>
        <sz val="9"/>
        <color rgb="FFFF0000"/>
        <rFont val="돋움"/>
        <family val="3"/>
        <charset val="129"/>
      </rPr>
      <t>관측베타가</t>
    </r>
    <r>
      <rPr>
        <sz val="9"/>
        <color rgb="FFFF0000"/>
        <rFont val="Arial"/>
        <family val="2"/>
      </rPr>
      <t xml:space="preserve"> </t>
    </r>
    <r>
      <rPr>
        <sz val="9"/>
        <color rgb="FFFF0000"/>
        <rFont val="돋움"/>
        <family val="3"/>
        <charset val="129"/>
      </rPr>
      <t>전부하락</t>
    </r>
    <phoneticPr fontId="3" type="noConversion"/>
  </si>
  <si>
    <t>할인율</t>
    <phoneticPr fontId="3" type="noConversion"/>
  </si>
  <si>
    <t>항목</t>
  </si>
  <si>
    <t>산식</t>
  </si>
  <si>
    <t>2022.1Q</t>
    <phoneticPr fontId="3" type="noConversion"/>
  </si>
  <si>
    <t>2021.4Q</t>
  </si>
  <si>
    <t>2021.3Q(국민연금)</t>
    <phoneticPr fontId="3" type="noConversion"/>
  </si>
  <si>
    <t>2021.3Q</t>
  </si>
  <si>
    <t>2021.2Q</t>
    <phoneticPr fontId="3" type="noConversion"/>
  </si>
  <si>
    <t>2021.1Q</t>
  </si>
  <si>
    <t>2020.4Q</t>
  </si>
  <si>
    <t>2020.3Q</t>
  </si>
  <si>
    <t>2020.2Q</t>
  </si>
  <si>
    <t>2020.1Q</t>
    <phoneticPr fontId="3" type="noConversion"/>
  </si>
  <si>
    <t>유사기업 관측 Beta</t>
    <phoneticPr fontId="3" type="noConversion"/>
  </si>
  <si>
    <t>KOSPI 및 KOSDAQ에 상장된 동종기업 평균</t>
  </si>
  <si>
    <t>effective tax rate</t>
    <phoneticPr fontId="3" type="noConversion"/>
  </si>
  <si>
    <t>유사기업 부채비율</t>
  </si>
  <si>
    <t>&lt;- 각 사업별 최대 세율 주의</t>
    <phoneticPr fontId="3" type="noConversion"/>
  </si>
  <si>
    <t>Unlevered Beta
(βU)</t>
    <phoneticPr fontId="3" type="noConversion"/>
  </si>
  <si>
    <r>
      <t>βU = β</t>
    </r>
    <r>
      <rPr>
        <vertAlign val="subscript"/>
        <sz val="9"/>
        <color rgb="FF000000"/>
        <rFont val="맑은 고딕"/>
        <family val="3"/>
        <charset val="129"/>
      </rPr>
      <t xml:space="preserve">유사기업 </t>
    </r>
    <r>
      <rPr>
        <sz val="9"/>
        <color rgb="FF000000"/>
        <rFont val="맑은 고딕"/>
        <family val="3"/>
        <charset val="129"/>
      </rPr>
      <t>/ (1 + (1 - t) × B/S</t>
    </r>
    <r>
      <rPr>
        <vertAlign val="subscript"/>
        <sz val="9"/>
        <color rgb="FF000000"/>
        <rFont val="맑은 고딕"/>
        <family val="3"/>
        <charset val="129"/>
      </rPr>
      <t>유사기업</t>
    </r>
    <r>
      <rPr>
        <sz val="9"/>
        <color rgb="FF000000"/>
        <rFont val="맑은 고딕"/>
        <family val="3"/>
        <charset val="129"/>
      </rPr>
      <t>)</t>
    </r>
  </si>
  <si>
    <t>risk free rate</t>
    <phoneticPr fontId="3" type="noConversion"/>
  </si>
  <si>
    <t>Levered Beta
(βL)</t>
    <phoneticPr fontId="3" type="noConversion"/>
  </si>
  <si>
    <r>
      <t>βL = βU × (1 + (1 - t) × B/S</t>
    </r>
    <r>
      <rPr>
        <vertAlign val="subscript"/>
        <sz val="9"/>
        <color rgb="FF000000"/>
        <rFont val="맑은 고딕"/>
        <family val="3"/>
        <charset val="129"/>
      </rPr>
      <t>유사기업</t>
    </r>
    <r>
      <rPr>
        <sz val="9"/>
        <color rgb="FF000000"/>
        <rFont val="맑은 고딕"/>
        <family val="3"/>
        <charset val="129"/>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</si>
  <si>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</si>
  <si>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</si>
  <si>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</si>
  <si>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</si>
  <si>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</si>
  <si>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</si>
  <si>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 xml:space="preserve">Ke = Rf + βL × MRP </t>
  </si>
  <si>
    <t>추정기간</t>
  </si>
  <si>
    <t>2021년 9월 30일까지</t>
  </si>
  <si>
    <t>할인율증감</t>
    <phoneticPr fontId="3" type="noConversion"/>
  </si>
  <si>
    <t>부채율증감</t>
    <phoneticPr fontId="3" type="noConversion"/>
  </si>
  <si>
    <t>배당현금흐름</t>
  </si>
  <si>
    <t>매기 예상 배당현금흐름, 청산배당(2021년 청산가정)에 대한 
제공받은 재무모델을 이용</t>
  </si>
  <si>
    <t>증감율</t>
  </si>
  <si>
    <t>수도광열비</t>
  </si>
  <si>
    <t>보험료</t>
  </si>
  <si>
    <t>수선유지비</t>
  </si>
  <si>
    <t>수선성공사비</t>
  </si>
  <si>
    <t>임대차개선비용</t>
  </si>
  <si>
    <t>예비비</t>
  </si>
  <si>
    <t>자본금</t>
    <phoneticPr fontId="3" type="noConversion"/>
  </si>
  <si>
    <t>최초투자액</t>
  </si>
  <si>
    <t>1. 평가 대상 주식</t>
    <phoneticPr fontId="3" type="noConversion"/>
  </si>
  <si>
    <t xml:space="preserve">삼성증권/ 이지영과장 / 010-5040-7582 </t>
  </si>
  <si>
    <t xml:space="preserve">발행 총수 </t>
    <phoneticPr fontId="3" type="noConversion"/>
  </si>
  <si>
    <t>주발초</t>
    <phoneticPr fontId="3" type="noConversion"/>
  </si>
  <si>
    <t>제1종종류주</t>
    <phoneticPr fontId="3" type="noConversion"/>
  </si>
  <si>
    <t>&lt; 리츠 [REITs] &gt;</t>
    <phoneticPr fontId="3" type="noConversion"/>
  </si>
  <si>
    <t>cf. PFV</t>
    <phoneticPr fontId="3" type="noConversion"/>
  </si>
  <si>
    <t>액면가</t>
    <phoneticPr fontId="3" type="noConversion"/>
  </si>
  <si>
    <t>종류주식 발행정보 정리 하기</t>
    <phoneticPr fontId="3" type="noConversion"/>
  </si>
  <si>
    <t>투자자들로부터 자금을 모아 부동산이나 부동산 관련 자본·지분(Equity)에 투자하여 발생한 수익을 투자자에게 배당하는 회사나 투자신탁.
'Real Estate Investment Trusts'의 약자로 부동산투자신탁이라는 뜻이다. 소액투자자들로부터 자금을 모아 부동산이나 부동산 관련 자본·지분(Equity)에 투자하여 발생한 수익을 투자자에게 배당하는 회사나 투자신탁으로 증권의 뮤추얼펀드와 유사하다. 주로 부동산개발사업·임대·주택저당채권 등에 투자하여 수익을 올리며, 만기는 3년 이상이 대부분이다.</t>
    <phoneticPr fontId="3" type="noConversion"/>
  </si>
  <si>
    <t>1) 50,000,000 주 범위 내 1종 종류주 발행가능</t>
    <phoneticPr fontId="3" type="noConversion"/>
  </si>
  <si>
    <r>
      <t xml:space="preserve">리츠는 설립형태에 따라 </t>
    </r>
    <r>
      <rPr>
        <b/>
        <sz val="9"/>
        <color theme="1"/>
        <rFont val="맑은 고딕"/>
        <family val="3"/>
        <charset val="129"/>
        <scheme val="minor"/>
      </rPr>
      <t>회사형</t>
    </r>
    <r>
      <rPr>
        <sz val="9"/>
        <color theme="1"/>
        <rFont val="맑은 고딕"/>
        <family val="3"/>
        <charset val="129"/>
        <scheme val="minor"/>
      </rPr>
      <t xml:space="preserve">과 </t>
    </r>
    <r>
      <rPr>
        <b/>
        <sz val="9"/>
        <color theme="1"/>
        <rFont val="맑은 고딕"/>
        <family val="3"/>
        <charset val="129"/>
        <scheme val="minor"/>
      </rPr>
      <t>신탁형</t>
    </r>
    <r>
      <rPr>
        <sz val="9"/>
        <color theme="1"/>
        <rFont val="맑은 고딕"/>
        <family val="3"/>
        <charset val="129"/>
        <scheme val="minor"/>
      </rPr>
      <t>으로 구분된다. 회사형은 뮤추얼펀드와 마찬가지로 주식을 발행하여 투자자를 모으는 형태로 투자자에게 일정기간을 단위로 배당을 하며 증권시장에 상장하여 주식을 사고 팔 수 있다. 신탁형은 수익증권을 발행하여 투자자를 모으는 형태로 상장이 금지되어 있다.</t>
    </r>
    <phoneticPr fontId="3" type="noConversion"/>
  </si>
  <si>
    <t>2) 이익배당 순위 
(잔여재산분배)</t>
    <phoneticPr fontId="3" type="noConversion"/>
  </si>
  <si>
    <t>1종 종류주 &gt; 보통주</t>
    <phoneticPr fontId="3" type="noConversion"/>
  </si>
  <si>
    <t>주주들에게 매년 배당가능이익의 90% 이상을 의무적으로 배당하고, 그 수익 또한 부동산의 임대료에서 발생하기 때문에 예금이나 채권보다는 높은 수익을 올리면서 안정적인 운영을 원하는 투자자들에게 인기가 많다.</t>
    <phoneticPr fontId="3" type="noConversion"/>
  </si>
  <si>
    <t>3) 배당률</t>
    <phoneticPr fontId="3" type="noConversion"/>
  </si>
  <si>
    <t>2.9%(반기),
(해당사업년도 일수/365)*5.8%</t>
    <phoneticPr fontId="3" type="noConversion"/>
  </si>
  <si>
    <t>4) 배당순서</t>
    <phoneticPr fontId="3" type="noConversion"/>
  </si>
  <si>
    <t>1종 종류주(2.9%)
잔여 배당가능 이익 보통주식에 배당</t>
    <phoneticPr fontId="3" type="noConversion"/>
  </si>
  <si>
    <t>5) 처분이익 보통주 배당</t>
    <phoneticPr fontId="3" type="noConversion"/>
  </si>
  <si>
    <t>배당가능 이익에서 처분이익 차감한 금액에 달할 때까지 보통주식에 배당 
cf. 처분이익 = 매각시점 매매대금-(장부가액+매각비용) (단, 해당금액&lt;0인 경우 0으로 함)</t>
    <phoneticPr fontId="3" type="noConversion"/>
  </si>
  <si>
    <t>2022.1Q 삼성증권 평가 의뢰들어온 종류주 2종은 우선종류주 1종과 같은 종목임. (이름만 다르게 인식하고있음 -계한빈 과장 확인 완료)</t>
    <phoneticPr fontId="3" type="noConversion"/>
  </si>
  <si>
    <t>2. 해야할 포인트</t>
    <phoneticPr fontId="3" type="noConversion"/>
  </si>
  <si>
    <t>재무모델 업데이트 된 부분있으면 주기로함.</t>
  </si>
  <si>
    <t>1) 당사로직에 따른 CAP RATE 산출 (리츠 할인율이 중요)</t>
    <phoneticPr fontId="3" type="noConversion"/>
  </si>
  <si>
    <t>보통주 목표 IRR없나? 배당 안 받는 다는건지 ? 그럼 왜 들어간건지?
만약 배당 안받으면 -투하자본(원금)만 할인 받음 ( 가격 엄청 까일 듯)</t>
    <phoneticPr fontId="3" type="noConversion"/>
  </si>
  <si>
    <t>2) 매각 차액 (처분1,2 시트 차이점 전화로 문의 하고)</t>
    <phoneticPr fontId="3" type="noConversion"/>
  </si>
  <si>
    <t>&lt; 종류주식 계약 내용&gt;</t>
    <phoneticPr fontId="3" type="noConversion"/>
  </si>
  <si>
    <t>3) 임차료, 임대료 적절한지 -&gt; 평가자 확인 (주변 시세, 계산)</t>
    <phoneticPr fontId="3" type="noConversion"/>
  </si>
  <si>
    <t>분당 판교 주변,,</t>
    <phoneticPr fontId="3" type="noConversion"/>
  </si>
  <si>
    <t>CF(Y)텝 종류주 자본금</t>
    <phoneticPr fontId="3" type="noConversion"/>
  </si>
  <si>
    <t>4) DDM 모형 만들기 (보통주/ 종류주 따로)</t>
    <phoneticPr fontId="3" type="noConversion"/>
  </si>
  <si>
    <t>종류주식 발행정보 정리</t>
    <phoneticPr fontId="3" type="noConversion"/>
  </si>
  <si>
    <t>현금 흐름 및  BS 확인</t>
    <phoneticPr fontId="3" type="noConversion"/>
  </si>
  <si>
    <t>PDF 파일 IM 자료와 재무모델 상 금액 등 일치 여부 다 확인해보기</t>
    <phoneticPr fontId="3" type="noConversion"/>
  </si>
  <si>
    <t>3. 요약</t>
    <phoneticPr fontId="3" type="noConversion"/>
  </si>
  <si>
    <t>1) 개시 및 운영 기간</t>
    <phoneticPr fontId="3" type="noConversion"/>
  </si>
  <si>
    <t>[사업개시]</t>
  </si>
  <si>
    <t>[운영개시]</t>
  </si>
  <si>
    <t>[운영종료]</t>
  </si>
  <si>
    <t>10년짜리.</t>
    <phoneticPr fontId="3" type="noConversion"/>
  </si>
  <si>
    <t>존속기간</t>
    <phoneticPr fontId="3" type="noConversion"/>
  </si>
  <si>
    <t>2) 매입구조도</t>
    <phoneticPr fontId="3" type="noConversion"/>
  </si>
  <si>
    <t>한토신이 리츠 설립, 판교H스퀘어 N,S동 매입후 10년간 운용후 매각</t>
    <phoneticPr fontId="3" type="noConversion"/>
  </si>
  <si>
    <t>3) 주주 지분율</t>
    <phoneticPr fontId="3" type="noConversion"/>
  </si>
  <si>
    <t>발행가</t>
    <phoneticPr fontId="3" type="noConversion"/>
  </si>
  <si>
    <t>주주명</t>
    <phoneticPr fontId="3" type="noConversion"/>
  </si>
  <si>
    <t>종류</t>
    <phoneticPr fontId="3" type="noConversion"/>
  </si>
  <si>
    <t>주식수</t>
    <phoneticPr fontId="3" type="noConversion"/>
  </si>
  <si>
    <t>지분율</t>
    <phoneticPr fontId="3" type="noConversion"/>
  </si>
  <si>
    <t>액면가액=출자금액</t>
    <phoneticPr fontId="3" type="noConversion"/>
  </si>
  <si>
    <t>1주당 금액</t>
    <phoneticPr fontId="3" type="noConversion"/>
  </si>
  <si>
    <t>신한은행</t>
    <phoneticPr fontId="3" type="noConversion"/>
  </si>
  <si>
    <t>1종주식</t>
    <phoneticPr fontId="3" type="noConversion"/>
  </si>
  <si>
    <t>스마일게이트홀딩스</t>
    <phoneticPr fontId="3" type="noConversion"/>
  </si>
  <si>
    <t>1종주식</t>
    <phoneticPr fontId="3" type="noConversion"/>
  </si>
  <si>
    <t>건설공제조합</t>
    <phoneticPr fontId="3" type="noConversion"/>
  </si>
  <si>
    <t>1종주식</t>
    <phoneticPr fontId="3" type="noConversion"/>
  </si>
  <si>
    <t>재단법인 대우재단</t>
    <phoneticPr fontId="3" type="noConversion"/>
  </si>
  <si>
    <t>삼성증권</t>
    <phoneticPr fontId="3" type="noConversion"/>
  </si>
  <si>
    <t>한국토지신탁</t>
    <phoneticPr fontId="3" type="noConversion"/>
  </si>
  <si>
    <t>보통주</t>
    <phoneticPr fontId="3" type="noConversion"/>
  </si>
  <si>
    <t>롯데물산</t>
    <phoneticPr fontId="3" type="noConversion"/>
  </si>
  <si>
    <t>성진자산관리</t>
    <phoneticPr fontId="3" type="noConversion"/>
  </si>
  <si>
    <t>삼성증권</t>
    <phoneticPr fontId="3" type="noConversion"/>
  </si>
  <si>
    <t>합 계</t>
    <phoneticPr fontId="3" type="noConversion"/>
  </si>
  <si>
    <t>주식수</t>
    <phoneticPr fontId="3" type="noConversion"/>
  </si>
  <si>
    <t>자본금</t>
    <phoneticPr fontId="3" type="noConversion"/>
  </si>
  <si>
    <t>1종종류주식</t>
    <phoneticPr fontId="3" type="noConversion"/>
  </si>
  <si>
    <t>(단위 1,000,000원)</t>
    <phoneticPr fontId="3" type="noConversion"/>
  </si>
  <si>
    <t>보통주식</t>
    <phoneticPr fontId="3" type="noConversion"/>
  </si>
  <si>
    <t>클릭 &gt;&gt; 왜 다른지 문의</t>
    <phoneticPr fontId="3" type="noConversion"/>
  </si>
  <si>
    <t>종류주 출자금액</t>
    <phoneticPr fontId="3" type="noConversion"/>
  </si>
  <si>
    <t>&lt;&lt; 이게 맞음 (이지영과장 확인)</t>
    <phoneticPr fontId="3" type="noConversion"/>
  </si>
  <si>
    <t>회사명 : 주식회사 케이원제15호판교위탁관리부동산투자회사</t>
    <phoneticPr fontId="160" type="noConversion"/>
  </si>
  <si>
    <t>기준일: 2022년 1월 14일</t>
    <phoneticPr fontId="3" type="noConversion"/>
  </si>
  <si>
    <t>(단위: 주, 원)</t>
    <phoneticPr fontId="3" type="noConversion"/>
  </si>
  <si>
    <t>주 주 명</t>
  </si>
  <si>
    <t>주식종류</t>
  </si>
  <si>
    <t>소유주식 수</t>
  </si>
  <si>
    <t>액면가액</t>
    <phoneticPr fontId="3" type="noConversion"/>
  </si>
  <si>
    <t>출자금액</t>
    <phoneticPr fontId="3" type="noConversion"/>
  </si>
  <si>
    <t>전기대비 증자 금액(1종종류주)</t>
    <phoneticPr fontId="3" type="noConversion"/>
  </si>
  <si>
    <r>
      <t xml:space="preserve">한국스탠다드차타드은행
</t>
    </r>
    <r>
      <rPr>
        <b/>
        <sz val="9"/>
        <color theme="1"/>
        <rFont val="맑은 고딕"/>
        <family val="3"/>
        <charset val="129"/>
        <scheme val="minor"/>
      </rPr>
      <t>(엠플러스일반사모부동산모투자신탁
27-1호의 신탁업자 지위에서)</t>
    </r>
    <phoneticPr fontId="3" type="noConversion"/>
  </si>
  <si>
    <t>제1종종류주식</t>
    <phoneticPr fontId="3" type="noConversion"/>
  </si>
  <si>
    <r>
      <t xml:space="preserve">신한은행
</t>
    </r>
    <r>
      <rPr>
        <b/>
        <sz val="9"/>
        <color theme="1"/>
        <rFont val="맑은 고딕"/>
        <family val="3"/>
        <charset val="129"/>
        <scheme val="minor"/>
      </rPr>
      <t>(스틱전문투자형사모부동산투자신탁 
제2호의 신탁업자 지위에서)</t>
    </r>
    <phoneticPr fontId="3" type="noConversion"/>
  </si>
  <si>
    <t>제1종종류주식</t>
    <phoneticPr fontId="3" type="noConversion"/>
  </si>
  <si>
    <t>스마일게이트홀딩스</t>
  </si>
  <si>
    <t>제1종종류주식</t>
    <phoneticPr fontId="3" type="noConversion"/>
  </si>
  <si>
    <t>건설공제조합</t>
  </si>
  <si>
    <t>재단법인 대우재단</t>
  </si>
  <si>
    <t>제1종종류주식</t>
    <phoneticPr fontId="3" type="noConversion"/>
  </si>
  <si>
    <t>삼성증권</t>
  </si>
  <si>
    <t>네오위즈홀딩스</t>
  </si>
  <si>
    <t>개인(16인)</t>
    <phoneticPr fontId="3" type="noConversion"/>
  </si>
  <si>
    <t>한국토지신탁</t>
  </si>
  <si>
    <t>보통주식</t>
  </si>
  <si>
    <t>롯데물산</t>
  </si>
  <si>
    <t>성진자산관리</t>
  </si>
  <si>
    <t>&lt;&lt;예정된 860억 증자 완료</t>
    <phoneticPr fontId="3" type="noConversion"/>
  </si>
  <si>
    <t>주주명</t>
  </si>
  <si>
    <t>지분율</t>
  </si>
  <si>
    <t>한국스탠다드차타드은행</t>
  </si>
  <si>
    <t>신한은행</t>
    <phoneticPr fontId="3" type="noConversion"/>
  </si>
  <si>
    <t>합 계</t>
    <phoneticPr fontId="3" type="noConversion"/>
  </si>
  <si>
    <t>평가대상 종목명</t>
    <phoneticPr fontId="3" type="noConversion"/>
  </si>
  <si>
    <r>
      <t>삼성증권 보유</t>
    </r>
    <r>
      <rPr>
        <sz val="11"/>
        <color theme="1"/>
        <rFont val="맑은 고딕"/>
        <family val="2"/>
        <charset val="129"/>
        <scheme val="minor"/>
      </rPr>
      <t xml:space="preserve"> 1종종류주와 보통주 배당 구별</t>
    </r>
    <phoneticPr fontId="3" type="noConversion"/>
  </si>
  <si>
    <t>의뢰기관</t>
    <phoneticPr fontId="3" type="noConversion"/>
  </si>
  <si>
    <t>&lt;- 종류주의 운영배당 IRR, 미지급분배금 유무, 매각차익의 portion 확인 필요</t>
    <phoneticPr fontId="3" type="noConversion"/>
  </si>
  <si>
    <t>평가대상기업</t>
  </si>
  <si>
    <t>케이원제15호판교
위탁관리부동산투자회사</t>
    <phoneticPr fontId="3" type="noConversion"/>
  </si>
  <si>
    <t>평가대상주식</t>
  </si>
  <si>
    <t>보통주, 1종종류주</t>
    <phoneticPr fontId="3" type="noConversion"/>
  </si>
  <si>
    <t>1종종류주</t>
    <phoneticPr fontId="3" type="noConversion"/>
  </si>
  <si>
    <t>평가기준일</t>
  </si>
  <si>
    <t>액면금액</t>
  </si>
  <si>
    <t>5,000원</t>
  </si>
  <si>
    <t>투하자본원본</t>
    <phoneticPr fontId="3" type="noConversion"/>
  </si>
  <si>
    <t>평가목적</t>
  </si>
  <si>
    <t>재무보고 목적평가</t>
  </si>
  <si>
    <t>평가보고서용도</t>
  </si>
  <si>
    <t>회계반영을 위한 근거</t>
  </si>
  <si>
    <t>y(%)</t>
    <phoneticPr fontId="3" type="noConversion"/>
  </si>
  <si>
    <t>구분</t>
    <phoneticPr fontId="3" type="noConversion"/>
  </si>
  <si>
    <t>평가방법</t>
  </si>
  <si>
    <t>배당할인모형</t>
  </si>
  <si>
    <t>운영배당(y_o%)</t>
    <phoneticPr fontId="3" type="noConversion"/>
  </si>
  <si>
    <t>매각차익(y_c.g%)</t>
    <phoneticPr fontId="3" type="noConversion"/>
  </si>
  <si>
    <r>
      <t>&lt;</t>
    </r>
    <r>
      <rPr>
        <sz val="11"/>
        <color theme="1"/>
        <rFont val="맑은 고딕"/>
        <family val="2"/>
        <charset val="129"/>
        <scheme val="minor"/>
      </rPr>
      <t>&lt; 변경 필요</t>
    </r>
    <phoneticPr fontId="3" type="noConversion"/>
  </si>
  <si>
    <t>2. 평가대상 리츠분석</t>
    <phoneticPr fontId="3" type="noConversion"/>
  </si>
  <si>
    <t>2.1 비재무적 정보의 분석</t>
    <phoneticPr fontId="3" type="noConversion"/>
  </si>
  <si>
    <r>
      <t>¨</t>
    </r>
    <r>
      <rPr>
        <sz val="7"/>
        <color theme="1"/>
        <rFont val="Times New Roman"/>
        <family val="1"/>
      </rPr>
      <t xml:space="preserve">  </t>
    </r>
    <r>
      <rPr>
        <b/>
        <sz val="12"/>
        <color theme="1"/>
        <rFont val="맑은 고딕"/>
        <family val="3"/>
        <charset val="129"/>
      </rPr>
      <t>회사의 개요</t>
    </r>
  </si>
  <si>
    <t>기업형태</t>
  </si>
  <si>
    <t>외감 / 중소기업</t>
    <phoneticPr fontId="72" type="noConversion"/>
  </si>
  <si>
    <r>
      <t>1</t>
    </r>
    <r>
      <rPr>
        <sz val="11"/>
        <color theme="1"/>
        <rFont val="맑은 고딕"/>
        <family val="2"/>
        <charset val="129"/>
        <scheme val="minor"/>
      </rPr>
      <t>91.8억원</t>
    </r>
    <phoneticPr fontId="3" type="noConversion"/>
  </si>
  <si>
    <t>대표자</t>
  </si>
  <si>
    <t>도병운</t>
    <phoneticPr fontId="72" type="noConversion"/>
  </si>
  <si>
    <t>설립일자</t>
  </si>
  <si>
    <t>총자산</t>
    <phoneticPr fontId="3" type="noConversion"/>
  </si>
  <si>
    <r>
      <t xml:space="preserve">약 </t>
    </r>
    <r>
      <rPr>
        <sz val="11"/>
        <color theme="1"/>
        <rFont val="맑은 고딕"/>
        <family val="2"/>
        <charset val="129"/>
        <scheme val="minor"/>
      </rPr>
      <t>7,948억원 (21.08.31기준)</t>
    </r>
    <phoneticPr fontId="3" type="noConversion"/>
  </si>
  <si>
    <t>계열명</t>
  </si>
  <si>
    <t>결산월</t>
  </si>
  <si>
    <t>2, 8월</t>
    <phoneticPr fontId="72" type="noConversion"/>
  </si>
  <si>
    <t>표준산업분류(10차)</t>
  </si>
  <si>
    <t>비주거용 건물 임대업</t>
    <phoneticPr fontId="3" type="noConversion"/>
  </si>
  <si>
    <t>주요상품</t>
  </si>
  <si>
    <t>부동산 임대, 개발, 공급</t>
    <phoneticPr fontId="3" type="noConversion"/>
  </si>
  <si>
    <t>케이원제15호판교위탁관리부동산투자회사의 제1기(2021.04~2021.10) 중 8월까지의 누적실적은
경상이익- 1,253백만원(예산대비 43백만원 초과달성), 연환산 세전 투자수익률은 -3.79%
(예산대비 0.13%p 초과달성)를 실현하였습니다.</t>
    <phoneticPr fontId="3" type="noConversion"/>
  </si>
  <si>
    <t>&lt;- 등기 및 정관상 법인설립목적에서 확인 가능</t>
    <phoneticPr fontId="3" type="noConversion"/>
  </si>
  <si>
    <t xml:space="preserve">회사의 존립기간은 별도의 정관변경이 없는 한 영속적입니다. </t>
  </si>
  <si>
    <r>
      <t xml:space="preserve">&lt;-존립기간 </t>
    </r>
    <r>
      <rPr>
        <sz val="11"/>
        <color theme="1"/>
        <rFont val="맑은 고딕"/>
        <family val="2"/>
        <charset val="129"/>
        <scheme val="minor"/>
      </rPr>
      <t>: 정관상 영속 // 운영기간 : 10년</t>
    </r>
    <phoneticPr fontId="3" type="noConversion"/>
  </si>
  <si>
    <r>
      <t>¨</t>
    </r>
    <r>
      <rPr>
        <sz val="7"/>
        <color theme="1"/>
        <rFont val="Times New Roman"/>
        <family val="1"/>
      </rPr>
      <t xml:space="preserve">  </t>
    </r>
    <r>
      <rPr>
        <b/>
        <sz val="12"/>
        <color theme="1"/>
        <rFont val="맑은 고딕"/>
        <family val="3"/>
        <charset val="129"/>
      </rPr>
      <t>주요 주주현황</t>
    </r>
  </si>
  <si>
    <r>
      <t>¨</t>
    </r>
    <r>
      <rPr>
        <sz val="7"/>
        <color theme="1"/>
        <rFont val="Times New Roman"/>
        <family val="1"/>
      </rPr>
      <t xml:space="preserve">  </t>
    </r>
    <r>
      <rPr>
        <b/>
        <sz val="12"/>
        <color theme="1"/>
        <rFont val="맑은 고딕"/>
        <family val="3"/>
        <charset val="129"/>
      </rPr>
      <t>보통주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</si>
  <si>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2020년 9월 30일 기준(단위: 주, %)</t>
    <phoneticPr fontId="72" type="noConversion"/>
  </si>
  <si>
    <t>주주명</t>
    <phoneticPr fontId="72" type="noConversion"/>
  </si>
  <si>
    <t>지분율</t>
    <phoneticPr fontId="3" type="noConversion"/>
  </si>
  <si>
    <t>출자금액</t>
    <phoneticPr fontId="3" type="noConversion"/>
  </si>
  <si>
    <t>액면가</t>
    <phoneticPr fontId="3" type="noConversion"/>
  </si>
  <si>
    <t>신한은행</t>
  </si>
  <si>
    <t>1종주식</t>
  </si>
  <si>
    <r>
      <t>¨</t>
    </r>
    <r>
      <rPr>
        <sz val="7"/>
        <color theme="1"/>
        <rFont val="Times New Roman"/>
        <family val="1"/>
      </rPr>
      <t xml:space="preserve">  </t>
    </r>
    <r>
      <rPr>
        <b/>
        <sz val="12"/>
        <color theme="1"/>
        <rFont val="Times New Roman"/>
        <family val="1"/>
      </rPr>
      <t>1</t>
    </r>
    <r>
      <rPr>
        <b/>
        <sz val="12"/>
        <color theme="1"/>
        <rFont val="맑은 고딕"/>
        <family val="3"/>
        <charset val="129"/>
      </rPr>
      <t>종종류주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</si>
  <si>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보통주</t>
    <phoneticPr fontId="175" type="noConversion"/>
  </si>
  <si>
    <r>
      <t>¨</t>
    </r>
    <r>
      <rPr>
        <sz val="7"/>
        <color theme="1"/>
        <rFont val="Times New Roman"/>
        <family val="1"/>
      </rPr>
      <t xml:space="preserve">  </t>
    </r>
    <r>
      <rPr>
        <b/>
        <sz val="12"/>
        <color theme="1"/>
        <rFont val="맑은 고딕"/>
        <family val="3"/>
        <charset val="129"/>
      </rPr>
      <t>투자 대상</t>
    </r>
  </si>
  <si>
    <t>본 건 자산은 경기도 성남시 판교테크노 밸리 내 위치하고 N 동과 S 동 2 개 동으로 이루어져 있는 연면적 약 25,800 평 매입대상 면적 의 프라임급 오피스</t>
    <phoneticPr fontId="3" type="noConversion"/>
  </si>
  <si>
    <t>&lt;- 리츠정보시스템에서 입력</t>
    <phoneticPr fontId="3" type="noConversion"/>
  </si>
  <si>
    <t>사업명</t>
  </si>
  <si>
    <t>http://reits.molit.go.kr/rbm/rbm/openReportProjectLst2.do</t>
    <phoneticPr fontId="3" type="noConversion"/>
  </si>
  <si>
    <t>투자대상</t>
  </si>
  <si>
    <t>판교 에이치스퀘어 N 동 
(오피스)</t>
    <phoneticPr fontId="3" type="noConversion"/>
  </si>
  <si>
    <t>판교 에이치스퀘어 S 동 
(오피스)</t>
    <phoneticPr fontId="3" type="noConversion"/>
  </si>
  <si>
    <t>http://reits.molit.go.kr/rbm/rbm/openReitsTargetView2.do</t>
    <phoneticPr fontId="175" type="noConversion"/>
  </si>
  <si>
    <t>대지면적</t>
  </si>
  <si>
    <t>2,822.1평 중 2,246.8평</t>
    <phoneticPr fontId="3" type="noConversion"/>
  </si>
  <si>
    <t>2,74206평 중 1,167.3평</t>
    <phoneticPr fontId="3" type="noConversion"/>
  </si>
  <si>
    <t>* 사진은 별도 파일 저장 or 복사</t>
    <phoneticPr fontId="3" type="noConversion"/>
  </si>
  <si>
    <t>연면적</t>
  </si>
  <si>
    <t>21,273.3평 중 16,943.2평 (약 80%)</t>
    <phoneticPr fontId="3" type="noConversion"/>
  </si>
  <si>
    <t>20,713.3평 중 8,815.9평 (약 43%)</t>
    <phoneticPr fontId="3" type="noConversion"/>
  </si>
  <si>
    <t>완공연도</t>
  </si>
  <si>
    <t>2011.03.31</t>
    <phoneticPr fontId="3" type="noConversion"/>
  </si>
  <si>
    <t>2011.03.31</t>
    <phoneticPr fontId="3" type="noConversion"/>
  </si>
  <si>
    <t>취득금액</t>
  </si>
  <si>
    <t>취득일자</t>
  </si>
  <si>
    <t>장부가액</t>
  </si>
  <si>
    <t>임대가능 면적(전용률)</t>
    <phoneticPr fontId="3" type="noConversion"/>
  </si>
  <si>
    <t>2.2 재무적 정보의 분석</t>
    <phoneticPr fontId="3" type="noConversion"/>
  </si>
  <si>
    <r>
      <t>¨</t>
    </r>
    <r>
      <rPr>
        <sz val="7"/>
        <color theme="1"/>
        <rFont val="Times New Roman"/>
        <family val="1"/>
      </rPr>
      <t xml:space="preserve">  </t>
    </r>
    <r>
      <rPr>
        <b/>
        <sz val="11"/>
        <color theme="1"/>
        <rFont val="맑은 고딕"/>
        <family val="3"/>
        <charset val="129"/>
      </rPr>
      <t>요약 재무상태표</t>
    </r>
  </si>
  <si>
    <r>
      <rPr>
        <sz val="8"/>
        <color theme="1"/>
        <rFont val="돋움"/>
        <family val="3"/>
        <charset val="129"/>
      </rPr>
      <t>케이원</t>
    </r>
    <r>
      <rPr>
        <sz val="8"/>
        <color theme="1"/>
        <rFont val="Wingdings"/>
        <charset val="2"/>
      </rPr>
      <t>15</t>
    </r>
    <r>
      <rPr>
        <sz val="8"/>
        <color theme="1"/>
        <rFont val="돋움"/>
        <family val="3"/>
        <charset val="129"/>
      </rPr>
      <t>호</t>
    </r>
    <phoneticPr fontId="3" type="noConversion"/>
  </si>
  <si>
    <t>(단위: 백만원)</t>
  </si>
  <si>
    <t>&lt;- 운용보고서 및 외감보고서 공시된 경우 NMP에 들어가 있음. 가결산 받은 경우 해당 내용을 열 추가하여 입력</t>
    <phoneticPr fontId="3" type="noConversion"/>
  </si>
  <si>
    <t>&lt;- 제공받은 자료와 NMP의 자료, 리츠정보시스템의 고시된 자료와 일치여부 확인필요, (신뢰도 : 공시자료&gt;제공받은 자료&gt;NMP자료)</t>
    <phoneticPr fontId="3" type="noConversion"/>
  </si>
  <si>
    <t>2021-06-31</t>
    <phoneticPr fontId="3" type="noConversion"/>
  </si>
  <si>
    <t>&lt;- 예시의 리츠는 3월, 9월 결산인 것을 확인할 수 있고, 결산일부터 주주총회를 거쳐 실제 배당되므로 해당 월을 확인해야 함</t>
    <phoneticPr fontId="3" type="noConversion"/>
  </si>
  <si>
    <t>유동자산</t>
  </si>
  <si>
    <r>
      <t>케이원꺼로 업데이트</t>
    </r>
    <r>
      <rPr>
        <sz val="11"/>
        <color theme="1"/>
        <rFont val="맑은 고딕"/>
        <family val="2"/>
        <charset val="129"/>
        <scheme val="minor"/>
      </rPr>
      <t xml:space="preserve"> 아직 안함</t>
    </r>
    <phoneticPr fontId="3" type="noConversion"/>
  </si>
  <si>
    <t>비유동자산</t>
  </si>
  <si>
    <t>NMP / 6100 한신평기업정보 / 대차대조표</t>
    <phoneticPr fontId="3" type="noConversion"/>
  </si>
  <si>
    <t>NMP / 6100 한신평기업정보 / 손익계산서</t>
    <phoneticPr fontId="3" type="noConversion"/>
  </si>
  <si>
    <t>재무상태표</t>
  </si>
  <si>
    <t xml:space="preserve">2018-08-31
 </t>
  </si>
  <si>
    <t xml:space="preserve">2019-02-28
 </t>
  </si>
  <si>
    <t xml:space="preserve">2019-08-31
 </t>
  </si>
  <si>
    <t xml:space="preserve">2020-02-29
 </t>
  </si>
  <si>
    <t>손익계산서</t>
  </si>
  <si>
    <t>유동부채</t>
  </si>
  <si>
    <t>유동자산(계)</t>
  </si>
  <si>
    <t>매출액</t>
  </si>
  <si>
    <t>비유동부채</t>
  </si>
  <si>
    <t xml:space="preserve"> 당좌자산(계)</t>
  </si>
  <si>
    <t xml:space="preserve"> 총매출액</t>
  </si>
  <si>
    <t xml:space="preserve">  현금및현금등가물</t>
  </si>
  <si>
    <t xml:space="preserve">  제품매출액</t>
  </si>
  <si>
    <t xml:space="preserve">   예금</t>
  </si>
  <si>
    <t xml:space="preserve">  [임대수입]</t>
  </si>
  <si>
    <t>부채와 자본총계</t>
    <phoneticPr fontId="3" type="noConversion"/>
  </si>
  <si>
    <t xml:space="preserve">    기타예금</t>
  </si>
  <si>
    <t>매출총이익(손실)</t>
  </si>
  <si>
    <t xml:space="preserve">  미수금</t>
  </si>
  <si>
    <t>판매비와관리비</t>
  </si>
  <si>
    <r>
      <t>¨</t>
    </r>
    <r>
      <rPr>
        <sz val="7"/>
        <color theme="1"/>
        <rFont val="Times New Roman"/>
        <family val="1"/>
      </rPr>
      <t xml:space="preserve">  </t>
    </r>
    <r>
      <rPr>
        <b/>
        <sz val="11"/>
        <color theme="1"/>
        <rFont val="맑은 고딕"/>
        <family val="3"/>
        <charset val="129"/>
      </rPr>
      <t>요약 손익계산서</t>
    </r>
  </si>
  <si>
    <t xml:space="preserve">   기타미수금</t>
  </si>
  <si>
    <t xml:space="preserve"> 인건비</t>
  </si>
  <si>
    <t xml:space="preserve">  미수수익</t>
  </si>
  <si>
    <t xml:space="preserve">  급료와임금</t>
  </si>
  <si>
    <t xml:space="preserve">   원화미수수익</t>
  </si>
  <si>
    <t xml:space="preserve"> 일반관리비</t>
  </si>
  <si>
    <t xml:space="preserve">  선급비용</t>
  </si>
  <si>
    <t xml:space="preserve">  세금과공과</t>
  </si>
  <si>
    <t>비유동자산(계)</t>
  </si>
  <si>
    <t xml:space="preserve">  감가상각비</t>
  </si>
  <si>
    <t xml:space="preserve"> 유형자산(계)</t>
  </si>
  <si>
    <t xml:space="preserve">  보험료</t>
  </si>
  <si>
    <t xml:space="preserve"> (유형자산감가상각누계액계)</t>
  </si>
  <si>
    <t xml:space="preserve">  수수료비용</t>
  </si>
  <si>
    <t xml:space="preserve">  토지</t>
  </si>
  <si>
    <t xml:space="preserve">  기타관리비</t>
  </si>
  <si>
    <t xml:space="preserve">  건물</t>
  </si>
  <si>
    <t xml:space="preserve"> 판매비</t>
  </si>
  <si>
    <t xml:space="preserve">  (건물감가상각누계액)</t>
  </si>
  <si>
    <t xml:space="preserve">  광고선전비</t>
  </si>
  <si>
    <t>영업이익(손실)</t>
  </si>
  <si>
    <t xml:space="preserve"> 유동부채(계)</t>
  </si>
  <si>
    <t>영업외수익</t>
  </si>
  <si>
    <r>
      <t>*</t>
    </r>
    <r>
      <rPr>
        <sz val="11"/>
        <color theme="1"/>
        <rFont val="맑은 고딕"/>
        <family val="2"/>
        <charset val="129"/>
        <scheme val="minor"/>
      </rPr>
      <t xml:space="preserve"> 브릿지론</t>
    </r>
    <phoneticPr fontId="3" type="noConversion"/>
  </si>
  <si>
    <t xml:space="preserve">  미지급금</t>
  </si>
  <si>
    <t xml:space="preserve"> 이자수익</t>
  </si>
  <si>
    <t xml:space="preserve">   기타미지급금</t>
  </si>
  <si>
    <t xml:space="preserve"> 기타영업외수익</t>
  </si>
  <si>
    <t xml:space="preserve">  선수금</t>
  </si>
  <si>
    <t>영업외비용</t>
  </si>
  <si>
    <t xml:space="preserve">   기타선수금</t>
  </si>
  <si>
    <t xml:space="preserve"> 이자비용</t>
  </si>
  <si>
    <t xml:space="preserve">  예수금</t>
  </si>
  <si>
    <t>법인세비용차감전계속사업이익(손실)</t>
  </si>
  <si>
    <t xml:space="preserve">   부가세예수금</t>
  </si>
  <si>
    <t>계속사업이익(손실)</t>
  </si>
  <si>
    <t xml:space="preserve">   기타예수금</t>
  </si>
  <si>
    <t>당기순이익(손실)</t>
  </si>
  <si>
    <t xml:space="preserve">  미지급비용</t>
  </si>
  <si>
    <t>기본주당계속사업손익</t>
  </si>
  <si>
    <t xml:space="preserve"> 비유동부채(계)</t>
  </si>
  <si>
    <t>기본주당순손익</t>
  </si>
  <si>
    <t xml:space="preserve">  장기차입금(계)</t>
  </si>
  <si>
    <t xml:space="preserve">   장기차입금</t>
  </si>
  <si>
    <t xml:space="preserve">   주주,임원,종업원차입금</t>
  </si>
  <si>
    <t xml:space="preserve">  보증금</t>
  </si>
  <si>
    <t xml:space="preserve">   임대보증금</t>
  </si>
  <si>
    <t xml:space="preserve"> 자본금</t>
  </si>
  <si>
    <t xml:space="preserve"> [수권주식수]</t>
  </si>
  <si>
    <t xml:space="preserve"> [1주의금액]</t>
  </si>
  <si>
    <t xml:space="preserve">  보통주자본금</t>
  </si>
  <si>
    <t xml:space="preserve">  [보통주발행주식수]</t>
  </si>
  <si>
    <t xml:space="preserve">  우선주자본금</t>
  </si>
  <si>
    <t xml:space="preserve">  [우선주발행주식수]</t>
  </si>
  <si>
    <t xml:space="preserve"> 자본조정</t>
  </si>
  <si>
    <t xml:space="preserve">  주식할인발행차금(-)</t>
  </si>
  <si>
    <t xml:space="preserve"> 이익잉여금</t>
  </si>
  <si>
    <t xml:space="preserve">  미처분이익잉여금</t>
  </si>
  <si>
    <t xml:space="preserve">  [당기순이익]</t>
  </si>
  <si>
    <t>부채와자본총계</t>
  </si>
  <si>
    <t>[평균발행주식수]</t>
  </si>
  <si>
    <t>O</t>
  </si>
  <si>
    <t>X</t>
  </si>
  <si>
    <t>2022.1Q</t>
  </si>
  <si>
    <t>베타선정 관련 참고)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</si>
  <si>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</si>
  <si>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</si>
  <si>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</si>
  <si>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</si>
  <si>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</si>
  <si>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</si>
  <si>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평가대상기업 법인세율</t>
    <phoneticPr fontId="3" type="noConversion"/>
  </si>
  <si>
    <t>조회일</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</si>
  <si>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</si>
  <si>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</si>
  <si>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</si>
  <si>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</si>
  <si>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</si>
  <si>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1차구분</t>
  </si>
  <si>
    <t>실물부동산</t>
  </si>
  <si>
    <t>2차구분</t>
  </si>
  <si>
    <t>투자물건</t>
  </si>
  <si>
    <t>상장기간</t>
    <phoneticPr fontId="3" type="noConversion"/>
  </si>
  <si>
    <t>자기관리</t>
    <phoneticPr fontId="3" type="noConversion"/>
  </si>
  <si>
    <t>직접투자 및 부동산개발</t>
    <phoneticPr fontId="3" type="noConversion"/>
  </si>
  <si>
    <t>주택</t>
  </si>
  <si>
    <t>영등포구 문래동 공동주택 신축 및 준공공임대주택 임대운영 사업
 / 공동주택, 근린생활시설</t>
    <phoneticPr fontId="3" type="noConversion"/>
  </si>
  <si>
    <t>직접투자</t>
  </si>
  <si>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</si>
  <si>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</si>
  <si>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</si>
  <si>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t>
  </si>
  <si>
    <t>호텔투자건(스타즈호텔 명동2호점, 동탄점, 독산점)</t>
    <phoneticPr fontId="3" type="noConversion"/>
  </si>
  <si>
    <t>기업구조조정</t>
  </si>
  <si>
    <t>직접투자/
간접투자(수익지분투자)</t>
    <phoneticPr fontId="3" type="noConversion"/>
  </si>
  <si>
    <t>리테일</t>
  </si>
  <si>
    <t>뉴코아아울렛(중계점, 분당점)</t>
    <phoneticPr fontId="3" type="noConversion"/>
  </si>
  <si>
    <t>위탁관리</t>
  </si>
  <si>
    <t>직접투자/
간접투자(수익지분투자)</t>
    <phoneticPr fontId="3" type="noConversion"/>
  </si>
  <si>
    <t>오피스</t>
  </si>
  <si>
    <t>상업용건물 /판교 크래프톤 타워 (구. 알파돔타워IV), 용산 더프라임타워, 남대문로 대일빌딩, 트윈시티 남산, 신한L타워, 삼성화재 역삼빌딩, 와이즈타워</t>
    <phoneticPr fontId="3" type="noConversion"/>
  </si>
  <si>
    <t>롯데백화점, 롯데마트 등</t>
  </si>
  <si>
    <t>간접투자(수익증권)</t>
  </si>
  <si>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</si>
  <si>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</si>
  <si>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</si>
  <si>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</si>
  <si>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</si>
  <si>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</si>
  <si>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</si>
  <si>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</si>
  <si>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</si>
  <si>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</si>
  <si>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</si>
  <si>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</si>
  <si>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</si>
  <si>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기타(주유소)</t>
  </si>
  <si>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</si>
  <si>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</si>
  <si>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</si>
  <si>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물류</t>
  </si>
  <si>
    <t>용인,이천,평택 물류센터등</t>
  </si>
  <si>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</si>
  <si>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</si>
  <si>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</si>
  <si>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</si>
  <si>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</si>
  <si>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</si>
  <si>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</si>
  <si>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</si>
  <si>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</si>
  <si>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</si>
  <si>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</si>
  <si>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</si>
  <si>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</si>
  <si>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</si>
  <si>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</si>
  <si>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</si>
  <si>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</si>
  <si>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</si>
  <si>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</si>
  <si>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</si>
  <si>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</si>
  <si>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</si>
  <si>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2022.1Q</t>
    <phoneticPr fontId="3" type="noConversion"/>
  </si>
  <si>
    <t>유사기업 관측 Beta</t>
    <phoneticPr fontId="3" type="noConversion"/>
  </si>
  <si>
    <t>effective tax rate</t>
    <phoneticPr fontId="3" type="noConversion"/>
  </si>
  <si>
    <t>Unlevered Beta
(βU)</t>
    <phoneticPr fontId="3" type="noConversion"/>
  </si>
  <si>
    <r>
      <t>βU = β</t>
    </r>
    <r>
      <rPr>
        <vertAlign val="subscript"/>
        <sz val="9"/>
        <color rgb="FF000000"/>
        <rFont val="맑은 고딕"/>
        <family val="3"/>
        <charset val="129"/>
        <scheme val="minor"/>
      </rPr>
      <t xml:space="preserve">유사기업 </t>
    </r>
    <r>
      <rPr>
        <sz val="9"/>
        <color rgb="FF000000"/>
        <rFont val="맑은 고딕"/>
        <family val="3"/>
        <charset val="129"/>
        <scheme val="minor"/>
      </rPr>
      <t>/ (1 + (1 - t) × B/S</t>
    </r>
    <r>
      <rPr>
        <vertAlign val="subscript"/>
        <sz val="9"/>
        <color rgb="FF000000"/>
        <rFont val="맑은 고딕"/>
        <family val="3"/>
        <charset val="129"/>
        <scheme val="minor"/>
      </rPr>
      <t>유사기업</t>
    </r>
    <r>
      <rPr>
        <sz val="9"/>
        <color rgb="FF000000"/>
        <rFont val="맑은 고딕"/>
        <family val="3"/>
        <charset val="129"/>
        <scheme val="minor"/>
      </rPr>
      <t>)</t>
    </r>
  </si>
  <si>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</si>
  <si>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</si>
  <si>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</si>
  <si>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</si>
  <si>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</si>
  <si>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</si>
  <si>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</si>
  <si>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</si>
  <si>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</si>
  <si>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한토신 - H스퀘어 매입프로젝트 [REITs]</t>
  </si>
  <si>
    <t>Produced by 삼화회계법인</t>
  </si>
  <si>
    <t>합계</t>
  </si>
  <si>
    <t>대출수수료 등 상각비</t>
  </si>
  <si>
    <t>1종 종류주 운영배당</t>
  </si>
  <si>
    <t>2종 종류주 운영배당</t>
  </si>
  <si>
    <t>1차 배당</t>
  </si>
  <si>
    <t>2차 배당</t>
  </si>
  <si>
    <t>1종 종류주 C.G 배당 [운영배당 부족분]</t>
  </si>
  <si>
    <t>2종 종류주 C.G 배당 [운영배당 부족분]</t>
  </si>
  <si>
    <t>1종 종류주 C.G 배당 [잔여분]</t>
  </si>
  <si>
    <t>보통주 C.G 배당 [잔여분]</t>
  </si>
  <si>
    <t>임대수익</t>
  </si>
  <si>
    <t>관리수익</t>
  </si>
  <si>
    <t>주차수익</t>
  </si>
  <si>
    <t>기타수익</t>
  </si>
  <si>
    <t>PM수수료</t>
  </si>
  <si>
    <t>FM수수료</t>
  </si>
  <si>
    <t>부담금</t>
  </si>
  <si>
    <t>보유세</t>
  </si>
  <si>
    <t>매각비용</t>
  </si>
  <si>
    <t>매각기본수수료</t>
  </si>
  <si>
    <t>성과수수료</t>
  </si>
  <si>
    <t>자산관리</t>
  </si>
  <si>
    <t>자산보관</t>
  </si>
  <si>
    <t>사무수탁</t>
  </si>
  <si>
    <t>회계감사/세무조정</t>
  </si>
  <si>
    <t>기타일반관리비</t>
  </si>
  <si>
    <t xml:space="preserve">이자비용(선순위차입금_Tr-A) </t>
  </si>
  <si>
    <t>이자비용(중순위차입금_Tr-B)</t>
  </si>
  <si>
    <t>이자비용(브릿지론_Tr-C)</t>
  </si>
  <si>
    <t xml:space="preserve">이자비용(VAT Loan) </t>
  </si>
  <si>
    <t>No Debt!!</t>
  </si>
  <si>
    <t>자본금</t>
  </si>
  <si>
    <t>발행가</t>
  </si>
  <si>
    <t>1종 종류주</t>
  </si>
  <si>
    <t>1종 종류주(유증_2201 확인완료)&gt;&gt; 위에 반영완료</t>
  </si>
  <si>
    <t>값</t>
  </si>
  <si>
    <t>무위험이자율 (Rf)</t>
  </si>
  <si>
    <t>Risk Free Rate of Korea (1yr)</t>
  </si>
  <si>
    <t>Market Risk Premium</t>
  </si>
  <si>
    <t>Market Risk premium of Korea (1yr)</t>
  </si>
  <si>
    <t>Levered Beta (βL)</t>
  </si>
  <si>
    <r>
      <t>βL = βU × (1 + (1 - t) × B/S</t>
    </r>
    <r>
      <rPr>
        <vertAlign val="subscript"/>
        <sz val="9"/>
        <color rgb="FF000000"/>
        <rFont val="맑은 고딕"/>
        <family val="3"/>
        <charset val="129"/>
      </rPr>
      <t>유사기업</t>
    </r>
    <r>
      <rPr>
        <sz val="9"/>
        <color rgb="FF000000"/>
        <rFont val="맑은 고딕"/>
        <family val="3"/>
        <charset val="129"/>
      </rPr>
      <t>)</t>
    </r>
  </si>
  <si>
    <t>자기자본비용(Ke)</t>
  </si>
  <si>
    <t>Ke = Rf + βL × MRP</t>
  </si>
  <si>
    <t>보고서</t>
    <phoneticPr fontId="3" type="noConversion"/>
  </si>
  <si>
    <t>제2기</t>
  </si>
  <si>
    <t xml:space="preserve"> 함수식좀.. </t>
    <phoneticPr fontId="3" type="noConversion"/>
  </si>
  <si>
    <t>#N/A Invalid Security</t>
  </si>
  <si>
    <t>O</t>
    <phoneticPr fontId="3" type="noConversion"/>
  </si>
  <si>
    <t>X</t>
    <phoneticPr fontId="3" type="noConversion"/>
  </si>
  <si>
    <t>1. 평가대상기업 법인세율</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</si>
  <si>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</si>
  <si>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</si>
  <si>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</si>
  <si>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</si>
  <si>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</si>
  <si>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</si>
  <si>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</si>
  <si>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</si>
  <si>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</si>
  <si>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</si>
  <si>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</si>
  <si>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</si>
  <si>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</si>
  <si>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</si>
  <si>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</si>
  <si>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</si>
  <si>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</si>
  <si>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</si>
  <si>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</si>
  <si>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</si>
  <si>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</si>
  <si>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</si>
  <si>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</si>
  <si>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</si>
  <si>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</si>
  <si>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</si>
  <si>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</si>
  <si>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</si>
  <si>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</si>
  <si>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</si>
  <si>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</si>
  <si>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</si>
  <si>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</si>
  <si>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</si>
  <si>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</si>
  <si>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</si>
  <si>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</si>
  <si>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</si>
  <si>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</si>
  <si>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</si>
  <si>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</si>
  <si>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</si>
  <si>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</si>
  <si>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</si>
  <si>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</si>
  <si>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</si>
  <si>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</si>
  <si>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</si>
  <si>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</si>
  <si>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</si>
  <si>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</si>
  <si>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</si>
  <si>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</si>
  <si>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</si>
  <si>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</si>
  <si>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</si>
  <si>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</si>
  <si>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</si>
  <si>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</si>
  <si>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</si>
  <si>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</si>
  <si>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2022.4Q</t>
    <phoneticPr fontId="3" type="noConversion"/>
  </si>
  <si>
    <t>유사기업 관측 Beta</t>
    <phoneticPr fontId="3" type="noConversion"/>
  </si>
  <si>
    <t>effective tax rate</t>
    <phoneticPr fontId="3" type="noConversion"/>
  </si>
  <si>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</si>
  <si>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</si>
  <si>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</si>
  <si>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</si>
  <si>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</si>
  <si>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</si>
  <si>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</si>
  <si>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</si>
  <si>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롯데물산</t>
    <phoneticPr fontId="3" type="noConversion"/>
  </si>
  <si>
    <t>공정가액(원)</t>
    <phoneticPr fontId="3" type="noConversion"/>
  </si>
  <si>
    <t>주당가치</t>
  </si>
  <si>
    <t>주요가정</t>
  </si>
  <si>
    <t>㈜케이원제15호판교</t>
  </si>
  <si>
    <r>
      <t>위탁관리부동산투자회사</t>
    </r>
    <r>
      <rPr>
        <b/>
        <sz val="9"/>
        <color rgb="FF000000"/>
        <rFont val="맑은 고딕"/>
        <family val="3"/>
        <charset val="129"/>
      </rPr>
      <t xml:space="preserve"> </t>
    </r>
  </si>
  <si>
    <t>배당할인모형을 이용해</t>
  </si>
  <si>
    <t>주가를 산정함</t>
  </si>
  <si>
    <t>매각차이 제외한 21기</t>
    <phoneticPr fontId="3" type="noConversion"/>
  </si>
  <si>
    <t>보고서 체크용</t>
    <phoneticPr fontId="3" type="noConversion"/>
  </si>
  <si>
    <r>
      <rPr>
        <sz val="10"/>
        <rFont val="맑은 고딕"/>
        <family val="3"/>
        <charset val="129"/>
      </rPr>
      <t>당기순이익</t>
    </r>
    <phoneticPr fontId="72" type="noConversion"/>
  </si>
  <si>
    <r>
      <rPr>
        <sz val="10"/>
        <rFont val="맑은 고딕"/>
        <family val="3"/>
        <charset val="129"/>
      </rPr>
      <t>주식할인발행차금상각</t>
    </r>
    <phoneticPr fontId="72" type="noConversion"/>
  </si>
  <si>
    <r>
      <rPr>
        <sz val="10"/>
        <rFont val="맑은 고딕"/>
        <family val="3"/>
        <charset val="129"/>
      </rPr>
      <t>초과배당제외</t>
    </r>
    <r>
      <rPr>
        <sz val="10"/>
        <rFont val="Arial Narrow"/>
        <family val="2"/>
      </rPr>
      <t xml:space="preserve"> </t>
    </r>
    <r>
      <rPr>
        <sz val="10"/>
        <rFont val="맑은 고딕"/>
        <family val="3"/>
        <charset val="129"/>
      </rPr>
      <t>이익배당</t>
    </r>
  </si>
  <si>
    <r>
      <rPr>
        <sz val="10"/>
        <rFont val="맑은 고딕"/>
        <family val="3"/>
        <charset val="129"/>
      </rPr>
      <t>기초</t>
    </r>
  </si>
  <si>
    <r>
      <rPr>
        <sz val="10"/>
        <rFont val="맑은 고딕"/>
        <family val="3"/>
        <charset val="129"/>
      </rPr>
      <t>증가</t>
    </r>
  </si>
  <si>
    <r>
      <rPr>
        <sz val="10"/>
        <rFont val="맑은 고딕"/>
        <family val="3"/>
        <charset val="129"/>
      </rPr>
      <t>당기순이익</t>
    </r>
    <phoneticPr fontId="3" type="noConversion"/>
  </si>
  <si>
    <r>
      <rPr>
        <sz val="10"/>
        <rFont val="맑은 고딕"/>
        <family val="3"/>
        <charset val="129"/>
      </rPr>
      <t>감소</t>
    </r>
  </si>
  <si>
    <r>
      <rPr>
        <sz val="10"/>
        <rFont val="맑은 고딕"/>
        <family val="3"/>
        <charset val="129"/>
      </rPr>
      <t>주식할인발행차금</t>
    </r>
  </si>
  <si>
    <r>
      <rPr>
        <sz val="10"/>
        <rFont val="맑은 고딕"/>
        <family val="3"/>
        <charset val="129"/>
      </rPr>
      <t>현금배당</t>
    </r>
    <r>
      <rPr>
        <sz val="10"/>
        <rFont val="Arial Narrow"/>
        <family val="2"/>
      </rPr>
      <t>(</t>
    </r>
    <r>
      <rPr>
        <sz val="10"/>
        <rFont val="맑은 고딕"/>
        <family val="3"/>
        <charset val="129"/>
      </rPr>
      <t>이익배당</t>
    </r>
    <r>
      <rPr>
        <sz val="10"/>
        <rFont val="Arial Narrow"/>
        <family val="2"/>
      </rPr>
      <t>)</t>
    </r>
  </si>
  <si>
    <r>
      <rPr>
        <sz val="10"/>
        <rFont val="맑은 고딕"/>
        <family val="3"/>
        <charset val="129"/>
      </rPr>
      <t>기말</t>
    </r>
  </si>
  <si>
    <r>
      <rPr>
        <sz val="10"/>
        <rFont val="맑은 고딕"/>
        <family val="3"/>
        <charset val="129"/>
      </rPr>
      <t>주식할인발행차금</t>
    </r>
    <phoneticPr fontId="72" type="noConversion"/>
  </si>
  <si>
    <r>
      <rPr>
        <sz val="10"/>
        <rFont val="맑은 고딕"/>
        <family val="3"/>
        <charset val="129"/>
      </rPr>
      <t>주할차상각액</t>
    </r>
    <r>
      <rPr>
        <sz val="10"/>
        <rFont val="Arial Narrow"/>
        <family val="2"/>
      </rPr>
      <t>(</t>
    </r>
    <r>
      <rPr>
        <sz val="10"/>
        <rFont val="맑은 고딕"/>
        <family val="3"/>
        <charset val="129"/>
      </rPr>
      <t>수동조정</t>
    </r>
    <r>
      <rPr>
        <sz val="10"/>
        <rFont val="Arial Narrow"/>
        <family val="2"/>
      </rPr>
      <t>)</t>
    </r>
    <phoneticPr fontId="72" type="noConversion"/>
  </si>
  <si>
    <r>
      <rPr>
        <sz val="10"/>
        <rFont val="맑은 고딕"/>
        <family val="3"/>
        <charset val="129"/>
      </rPr>
      <t>주할차상각선언일</t>
    </r>
    <phoneticPr fontId="72" type="noConversion"/>
  </si>
  <si>
    <t>1종 종류주 평균투하자본</t>
    <phoneticPr fontId="3" type="noConversion"/>
  </si>
  <si>
    <t>1종 종류주 요구배당률</t>
    <phoneticPr fontId="3" type="noConversion"/>
  </si>
  <si>
    <t>1종 종류주 누적 요구배당액</t>
    <phoneticPr fontId="3" type="noConversion"/>
  </si>
  <si>
    <t>2종 종류주 당기 요구배당액</t>
    <phoneticPr fontId="3" type="noConversion"/>
  </si>
  <si>
    <t>보통주 평균투하자본</t>
    <phoneticPr fontId="3" type="noConversion"/>
  </si>
  <si>
    <r>
      <rPr>
        <sz val="10"/>
        <rFont val="맑은 고딕"/>
        <family val="3"/>
        <charset val="129"/>
      </rPr>
      <t>배당선언일</t>
    </r>
    <phoneticPr fontId="72" type="noConversion"/>
  </si>
  <si>
    <t>Capital Gain의 구분</t>
    <phoneticPr fontId="3" type="noConversion"/>
  </si>
  <si>
    <t>운영이익배당</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</si>
  <si>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8</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</si>
  <si>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</si>
  <si>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7</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</si>
  <si>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</si>
  <si>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</si>
  <si>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</si>
  <si>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기</t>
    </r>
    <phoneticPr fontId="72" type="noConversion"/>
  </si>
  <si>
    <r>
      <rPr>
        <b/>
        <sz val="10"/>
        <color indexed="10"/>
        <rFont val="맑은 고딕"/>
        <family val="3"/>
        <charset val="129"/>
      </rPr>
      <t>발생</t>
    </r>
    <r>
      <rPr>
        <b/>
        <sz val="10"/>
        <color indexed="10"/>
        <rFont val="Arial Narrow"/>
        <family val="2"/>
      </rPr>
      <t xml:space="preserve"> </t>
    </r>
    <r>
      <rPr>
        <b/>
        <sz val="10"/>
        <color indexed="10"/>
        <rFont val="맑은 고딕"/>
        <family val="3"/>
        <charset val="129"/>
      </rPr>
      <t>후</t>
    </r>
    <r>
      <rPr>
        <b/>
        <sz val="10"/>
        <color indexed="10"/>
        <rFont val="Arial Narrow"/>
        <family val="2"/>
      </rPr>
      <t xml:space="preserve"> 1</t>
    </r>
    <r>
      <rPr>
        <b/>
        <sz val="10"/>
        <color indexed="10"/>
        <rFont val="맑은 고딕"/>
        <family val="3"/>
        <charset val="129"/>
      </rPr>
      <t>기</t>
    </r>
    <phoneticPr fontId="72" type="noConversion"/>
  </si>
  <si>
    <r>
      <rPr>
        <sz val="10"/>
        <rFont val="맑은 고딕"/>
        <family val="3"/>
        <charset val="129"/>
      </rPr>
      <t>배당금</t>
    </r>
    <r>
      <rPr>
        <sz val="10"/>
        <rFont val="Arial Narrow"/>
        <family val="2"/>
      </rPr>
      <t xml:space="preserve"> </t>
    </r>
    <r>
      <rPr>
        <sz val="10"/>
        <rFont val="맑은 고딕"/>
        <family val="3"/>
        <charset val="129"/>
      </rPr>
      <t>지급액</t>
    </r>
    <phoneticPr fontId="72" type="noConversion"/>
  </si>
  <si>
    <r>
      <rPr>
        <sz val="10"/>
        <rFont val="맑은 고딕"/>
        <family val="3"/>
        <charset val="129"/>
      </rPr>
      <t>기말납부세액</t>
    </r>
    <phoneticPr fontId="72" type="noConversion"/>
  </si>
  <si>
    <r>
      <rPr>
        <sz val="10"/>
        <rFont val="맑은 고딕"/>
        <family val="3"/>
        <charset val="129"/>
      </rPr>
      <t>비용인식시기</t>
    </r>
    <phoneticPr fontId="72" type="noConversion"/>
  </si>
  <si>
    <t>DSCR 선순위</t>
    <phoneticPr fontId="3" type="noConversion"/>
  </si>
  <si>
    <t>부담금</t>
    <phoneticPr fontId="3" type="noConversion"/>
  </si>
  <si>
    <t>DSCR 중순위</t>
    <phoneticPr fontId="3" type="noConversion"/>
  </si>
  <si>
    <r>
      <rPr>
        <b/>
        <sz val="10"/>
        <rFont val="맑은 고딕"/>
        <family val="3"/>
        <charset val="129"/>
      </rPr>
      <t>영업활동으로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</si>
  <si>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현금유출</t>
    </r>
    <phoneticPr fontId="3" type="noConversion"/>
  </si>
  <si>
    <r>
      <rPr>
        <sz val="10"/>
        <rFont val="맑은 고딕"/>
        <family val="3"/>
        <charset val="129"/>
      </rPr>
      <t>임대중개수수료</t>
    </r>
    <phoneticPr fontId="3" type="noConversion"/>
  </si>
  <si>
    <r>
      <rPr>
        <sz val="10"/>
        <rFont val="맑은 고딕"/>
        <family val="3"/>
        <charset val="129"/>
      </rPr>
      <t>임대보증금의</t>
    </r>
    <r>
      <rPr>
        <sz val="10"/>
        <rFont val="Arial Narrow"/>
        <family val="2"/>
      </rPr>
      <t xml:space="preserve"> </t>
    </r>
    <r>
      <rPr>
        <sz val="10"/>
        <rFont val="맑은 고딕"/>
        <family val="3"/>
        <charset val="129"/>
      </rPr>
      <t>유출</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</si>
  <si>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</si>
  <si>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b/>
        <sz val="10"/>
        <rFont val="맑은 고딕"/>
        <family val="3"/>
        <charset val="129"/>
      </rPr>
      <t>투자활동으로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</si>
  <si>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현금유입</t>
    </r>
  </si>
  <si>
    <r>
      <rPr>
        <sz val="10"/>
        <rFont val="맑은 고딕"/>
        <family val="3"/>
        <charset val="129"/>
      </rPr>
      <t>부가세환급</t>
    </r>
    <phoneticPr fontId="3" type="noConversion"/>
  </si>
  <si>
    <r>
      <rPr>
        <sz val="10"/>
        <rFont val="맑은 고딕"/>
        <family val="3"/>
        <charset val="129"/>
      </rPr>
      <t>현금유출</t>
    </r>
  </si>
  <si>
    <r>
      <rPr>
        <b/>
        <sz val="10"/>
        <rFont val="맑은 고딕"/>
        <family val="3"/>
        <charset val="129"/>
      </rPr>
      <t>재무활동으로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</si>
  <si>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보통주발행</t>
    </r>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</si>
  <si>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</si>
  <si>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VAT loan의 상환</t>
    <phoneticPr fontId="3" type="noConversion"/>
  </si>
  <si>
    <r>
      <rPr>
        <sz val="10"/>
        <rFont val="맑은 고딕"/>
        <family val="3"/>
        <charset val="129"/>
      </rPr>
      <t>기간배당금의</t>
    </r>
    <r>
      <rPr>
        <sz val="10"/>
        <rFont val="Arial Narrow"/>
        <family val="2"/>
      </rPr>
      <t xml:space="preserve"> </t>
    </r>
    <r>
      <rPr>
        <sz val="10"/>
        <rFont val="맑은 고딕"/>
        <family val="3"/>
        <charset val="129"/>
      </rPr>
      <t>지급</t>
    </r>
    <phoneticPr fontId="3" type="noConversion"/>
  </si>
  <si>
    <t>감자대금의 지급 [1종 종류주 납입원본]</t>
    <phoneticPr fontId="3" type="noConversion"/>
  </si>
  <si>
    <t>감자대금의 지급 [2종 종류주 의제배당]</t>
    <phoneticPr fontId="3" type="noConversion"/>
  </si>
  <si>
    <r>
      <rPr>
        <b/>
        <sz val="10"/>
        <rFont val="맑은 고딕"/>
        <family val="3"/>
        <charset val="129"/>
      </rPr>
      <t>순현금흐름</t>
    </r>
  </si>
  <si>
    <r>
      <rPr>
        <sz val="10"/>
        <rFont val="맑은 고딕"/>
        <family val="3"/>
        <charset val="129"/>
      </rPr>
      <t>기초현금</t>
    </r>
  </si>
  <si>
    <r>
      <rPr>
        <b/>
        <sz val="10"/>
        <rFont val="맑은 고딕"/>
        <family val="3"/>
        <charset val="129"/>
      </rPr>
      <t>기말현금</t>
    </r>
  </si>
  <si>
    <r>
      <rPr>
        <sz val="10"/>
        <rFont val="맑은 고딕"/>
        <family val="3"/>
        <charset val="129"/>
      </rPr>
      <t>현금흐름</t>
    </r>
    <r>
      <rPr>
        <sz val="10"/>
        <rFont val="Arial Narrow"/>
        <family val="2"/>
      </rPr>
      <t>Check</t>
    </r>
  </si>
  <si>
    <r>
      <rPr>
        <sz val="10"/>
        <rFont val="맑은 고딕"/>
        <family val="3"/>
        <charset val="129"/>
      </rPr>
      <t>단기차입금</t>
    </r>
  </si>
  <si>
    <r>
      <rPr>
        <sz val="10"/>
        <rFont val="맑은 고딕"/>
        <family val="3"/>
        <charset val="129"/>
      </rPr>
      <t>단기차입금</t>
    </r>
    <r>
      <rPr>
        <sz val="10"/>
        <rFont val="Arial Narrow"/>
        <family val="2"/>
      </rPr>
      <t xml:space="preserve"> </t>
    </r>
    <r>
      <rPr>
        <sz val="10"/>
        <rFont val="맑은 고딕"/>
        <family val="3"/>
        <charset val="129"/>
      </rPr>
      <t>반영전</t>
    </r>
    <r>
      <rPr>
        <sz val="10"/>
        <rFont val="Arial Narrow"/>
        <family val="2"/>
      </rPr>
      <t xml:space="preserve"> </t>
    </r>
    <r>
      <rPr>
        <sz val="10"/>
        <rFont val="맑은 고딕"/>
        <family val="3"/>
        <charset val="129"/>
      </rPr>
      <t>기말현금</t>
    </r>
    <phoneticPr fontId="3" type="noConversion"/>
  </si>
  <si>
    <r>
      <rPr>
        <sz val="10"/>
        <rFont val="맑은 고딕"/>
        <family val="3"/>
        <charset val="129"/>
      </rPr>
      <t>단기차입금차입액</t>
    </r>
  </si>
  <si>
    <r>
      <rPr>
        <sz val="10"/>
        <rFont val="맑은 고딕"/>
        <family val="3"/>
        <charset val="129"/>
      </rPr>
      <t>총발생기간</t>
    </r>
  </si>
  <si>
    <r>
      <rPr>
        <sz val="10"/>
        <rFont val="맑은 고딕"/>
        <family val="3"/>
        <charset val="129"/>
      </rPr>
      <t>최대발생액</t>
    </r>
  </si>
  <si>
    <r>
      <rPr>
        <sz val="10"/>
        <rFont val="맑은 고딕"/>
        <family val="3"/>
        <charset val="129"/>
      </rPr>
      <t>최대발생시기</t>
    </r>
  </si>
  <si>
    <r>
      <rPr>
        <sz val="10"/>
        <rFont val="맑은 고딕"/>
        <family val="3"/>
        <charset val="129"/>
      </rPr>
      <t>증가</t>
    </r>
    <phoneticPr fontId="3" type="noConversion"/>
  </si>
  <si>
    <r>
      <rPr>
        <sz val="10"/>
        <rFont val="맑은 고딕"/>
        <family val="3"/>
        <charset val="129"/>
      </rPr>
      <t>기말</t>
    </r>
    <phoneticPr fontId="3" type="noConversion"/>
  </si>
  <si>
    <t>[연이자율]</t>
    <phoneticPr fontId="3" type="noConversion"/>
  </si>
  <si>
    <r>
      <rPr>
        <sz val="10"/>
        <rFont val="맑은 고딕"/>
        <family val="3"/>
        <charset val="129"/>
      </rPr>
      <t>여유자금이자수익</t>
    </r>
    <phoneticPr fontId="3" type="noConversion"/>
  </si>
  <si>
    <t>Equity IRR</t>
    <phoneticPr fontId="3" type="noConversion"/>
  </si>
  <si>
    <r>
      <rPr>
        <sz val="10"/>
        <rFont val="맑은 고딕"/>
        <family val="3"/>
        <charset val="129"/>
      </rPr>
      <t>최초투자액</t>
    </r>
    <phoneticPr fontId="3" type="noConversion"/>
  </si>
  <si>
    <r>
      <rPr>
        <sz val="10"/>
        <rFont val="맑은 고딕"/>
        <family val="3"/>
        <charset val="129"/>
      </rPr>
      <t>합계</t>
    </r>
    <r>
      <rPr>
        <sz val="10"/>
        <rFont val="Arial Narrow"/>
        <family val="2"/>
      </rPr>
      <t xml:space="preserve"> (A)</t>
    </r>
    <phoneticPr fontId="3" type="noConversion"/>
  </si>
  <si>
    <t>1종&amp;2종 종류주 C.G 배당 [운영배당 부족분]</t>
    <phoneticPr fontId="3" type="noConversion"/>
  </si>
  <si>
    <t>Capital Gain-1, 2</t>
    <phoneticPr fontId="3" type="noConversion"/>
  </si>
  <si>
    <r>
      <t xml:space="preserve">Capital Gain-1, 2 </t>
    </r>
    <r>
      <rPr>
        <sz val="10"/>
        <rFont val="맑은 고딕"/>
        <family val="3"/>
        <charset val="129"/>
      </rPr>
      <t>제외</t>
    </r>
    <r>
      <rPr>
        <sz val="10"/>
        <rFont val="Arial Narrow"/>
        <family val="2"/>
      </rPr>
      <t xml:space="preserve"> </t>
    </r>
    <r>
      <rPr>
        <sz val="10"/>
        <rFont val="맑은 고딕"/>
        <family val="3"/>
        <charset val="129"/>
      </rPr>
      <t>현금흐름</t>
    </r>
    <phoneticPr fontId="3" type="noConversion"/>
  </si>
  <si>
    <t>2종 종류주 IRR</t>
    <phoneticPr fontId="3" type="noConversion"/>
  </si>
  <si>
    <r>
      <rPr>
        <sz val="10"/>
        <rFont val="맑은 고딕"/>
        <family val="3"/>
        <charset val="129"/>
      </rPr>
      <t>최초투자액</t>
    </r>
  </si>
  <si>
    <t>납입자본 반환</t>
    <phoneticPr fontId="3" type="noConversion"/>
  </si>
  <si>
    <r>
      <t xml:space="preserve">Equity IRR - Capital Gain </t>
    </r>
    <r>
      <rPr>
        <b/>
        <sz val="10"/>
        <color theme="0" tint="-0.249977111117893"/>
        <rFont val="맑은 고딕"/>
        <family val="3"/>
        <charset val="129"/>
      </rPr>
      <t>제외</t>
    </r>
    <phoneticPr fontId="3" type="noConversion"/>
  </si>
  <si>
    <t>보통주주 IRR</t>
    <phoneticPr fontId="3" type="noConversion"/>
  </si>
  <si>
    <r>
      <t xml:space="preserve">Capital Gain </t>
    </r>
    <r>
      <rPr>
        <sz val="10"/>
        <rFont val="맑은 고딕"/>
        <family val="3"/>
        <charset val="129"/>
      </rPr>
      <t>제외</t>
    </r>
    <r>
      <rPr>
        <sz val="10"/>
        <rFont val="Arial Narrow"/>
        <family val="2"/>
      </rPr>
      <t xml:space="preserve"> </t>
    </r>
    <r>
      <rPr>
        <sz val="10"/>
        <rFont val="맑은 고딕"/>
        <family val="3"/>
        <charset val="129"/>
      </rPr>
      <t>현금흐름</t>
    </r>
    <r>
      <rPr>
        <sz val="10"/>
        <rFont val="Arial Narrow"/>
        <family val="2"/>
      </rPr>
      <t xml:space="preserve"> (C=A-B)</t>
    </r>
    <phoneticPr fontId="3" type="noConversion"/>
  </si>
  <si>
    <r>
      <rPr>
        <sz val="10"/>
        <rFont val="맑은 고딕"/>
        <family val="3"/>
        <charset val="129"/>
      </rPr>
      <t>합계</t>
    </r>
    <phoneticPr fontId="72" type="noConversion"/>
  </si>
  <si>
    <r>
      <rPr>
        <sz val="10"/>
        <rFont val="맑은 고딕"/>
        <family val="3"/>
        <charset val="129"/>
      </rPr>
      <t>영업이익</t>
    </r>
    <r>
      <rPr>
        <sz val="10"/>
        <rFont val="Arial Narrow"/>
        <family val="2"/>
      </rPr>
      <t>(NOI)</t>
    </r>
    <phoneticPr fontId="72" type="noConversion"/>
  </si>
  <si>
    <t>장부금액</t>
    <phoneticPr fontId="72" type="noConversion"/>
  </si>
  <si>
    <t>Key Results</t>
    <phoneticPr fontId="72" type="noConversion"/>
  </si>
  <si>
    <t>[1종]</t>
    <phoneticPr fontId="72" type="noConversion"/>
  </si>
  <si>
    <r>
      <rPr>
        <b/>
        <u/>
        <sz val="10"/>
        <rFont val="맑은 고딕"/>
        <family val="3"/>
        <charset val="129"/>
      </rPr>
      <t>임대수익</t>
    </r>
  </si>
  <si>
    <r>
      <rPr>
        <sz val="10"/>
        <rFont val="맑은 고딕"/>
        <family val="3"/>
        <charset val="129"/>
      </rPr>
      <t>연도별</t>
    </r>
    <r>
      <rPr>
        <sz val="10"/>
        <rFont val="Arial Narrow"/>
        <family val="2"/>
      </rPr>
      <t xml:space="preserve"> </t>
    </r>
    <r>
      <rPr>
        <sz val="10"/>
        <rFont val="맑은 고딕"/>
        <family val="3"/>
        <charset val="129"/>
      </rPr>
      <t>배당률</t>
    </r>
    <phoneticPr fontId="72" type="noConversion"/>
  </si>
  <si>
    <t>취득세 포함</t>
    <phoneticPr fontId="72" type="noConversion"/>
  </si>
  <si>
    <t>승계계약 주요 임대조건 :</t>
    <phoneticPr fontId="72" type="noConversion"/>
  </si>
  <si>
    <r>
      <rPr>
        <sz val="10"/>
        <rFont val="맑은 고딕"/>
        <family val="3"/>
        <charset val="129"/>
      </rPr>
      <t>사업연도</t>
    </r>
    <phoneticPr fontId="72" type="noConversion"/>
  </si>
  <si>
    <t>배당금</t>
    <phoneticPr fontId="72" type="noConversion"/>
  </si>
  <si>
    <t>연배당률</t>
    <phoneticPr fontId="72" type="noConversion"/>
  </si>
  <si>
    <t>B4 / 10F</t>
    <phoneticPr fontId="3" type="noConversion"/>
  </si>
  <si>
    <t>Occupied 소계</t>
    <phoneticPr fontId="3" type="noConversion"/>
  </si>
  <si>
    <t>[기준연도]</t>
    <phoneticPr fontId="72" type="noConversion"/>
  </si>
  <si>
    <t>[상승월]</t>
    <phoneticPr fontId="3" type="noConversion"/>
  </si>
  <si>
    <t>[기준단가 연상승률]</t>
    <phoneticPr fontId="72" type="noConversion"/>
  </si>
  <si>
    <t>연간RF</t>
    <phoneticPr fontId="72" type="noConversion"/>
  </si>
  <si>
    <t>면적비</t>
    <phoneticPr fontId="72" type="noConversion"/>
  </si>
  <si>
    <t>[이후 사업연도]</t>
    <phoneticPr fontId="3" type="noConversion"/>
  </si>
  <si>
    <t>3기이후 홀수사업연도</t>
    <phoneticPr fontId="72" type="noConversion"/>
  </si>
  <si>
    <r>
      <rPr>
        <sz val="10"/>
        <rFont val="맑은 고딕"/>
        <family val="3"/>
        <charset val="129"/>
      </rPr>
      <t>짝수사업연도</t>
    </r>
    <phoneticPr fontId="72" type="noConversion"/>
  </si>
  <si>
    <r>
      <rPr>
        <sz val="10"/>
        <rFont val="맑은 고딕"/>
        <family val="3"/>
        <charset val="129"/>
      </rPr>
      <t>재무모델</t>
    </r>
    <r>
      <rPr>
        <sz val="10"/>
        <rFont val="Arial Narrow"/>
        <family val="2"/>
      </rPr>
      <t xml:space="preserve"> </t>
    </r>
    <r>
      <rPr>
        <sz val="10"/>
        <rFont val="맑은 고딕"/>
        <family val="3"/>
        <charset val="129"/>
      </rPr>
      <t>표시단위</t>
    </r>
    <phoneticPr fontId="72" type="noConversion"/>
  </si>
  <si>
    <t>[후속계약 연상승률]</t>
  </si>
  <si>
    <t>200 초과 20,000 이하</t>
    <phoneticPr fontId="72" type="noConversion"/>
  </si>
  <si>
    <t>[후속계약 Rent free 부여주기]</t>
    <phoneticPr fontId="3" type="noConversion"/>
  </si>
  <si>
    <t>운영배당 소계</t>
    <phoneticPr fontId="72" type="noConversion"/>
  </si>
  <si>
    <t>층별 임대면적 기준</t>
  </si>
  <si>
    <t>합계</t>
    <phoneticPr fontId="72" type="noConversion"/>
  </si>
  <si>
    <t>C.G. 제외</t>
    <phoneticPr fontId="3" type="noConversion"/>
  </si>
  <si>
    <t>CPI</t>
    <phoneticPr fontId="72" type="noConversion"/>
  </si>
  <si>
    <t>적용공실률</t>
  </si>
  <si>
    <t>C.G. 포함</t>
    <phoneticPr fontId="3" type="noConversion"/>
  </si>
  <si>
    <t>PGI기준</t>
    <phoneticPr fontId="3" type="noConversion"/>
  </si>
  <si>
    <r>
      <rPr>
        <b/>
        <sz val="10"/>
        <color indexed="9"/>
        <rFont val="맑은 고딕"/>
        <family val="3"/>
        <charset val="129"/>
      </rPr>
      <t>단기차입금</t>
    </r>
    <r>
      <rPr>
        <b/>
        <sz val="10"/>
        <color indexed="9"/>
        <rFont val="Arial Narrow"/>
        <family val="2"/>
      </rPr>
      <t>(Stand-by facilities)</t>
    </r>
    <phoneticPr fontId="72" type="noConversion"/>
  </si>
  <si>
    <t>[월임대료 기준]</t>
  </si>
  <si>
    <t>비율</t>
    <phoneticPr fontId="72" type="noConversion"/>
  </si>
  <si>
    <t>가중평균</t>
    <phoneticPr fontId="72" type="noConversion"/>
  </si>
  <si>
    <t>[최초 후속계약]</t>
    <phoneticPr fontId="72" type="noConversion"/>
  </si>
  <si>
    <r>
      <rPr>
        <sz val="10"/>
        <rFont val="맑은 고딕"/>
        <family val="3"/>
        <charset val="129"/>
      </rPr>
      <t>총발생기간</t>
    </r>
    <phoneticPr fontId="72" type="noConversion"/>
  </si>
  <si>
    <t>[토지 vs 건물 안분비율]</t>
    <phoneticPr fontId="72" type="noConversion"/>
  </si>
  <si>
    <t>신규</t>
    <phoneticPr fontId="72" type="noConversion"/>
  </si>
  <si>
    <t>이외</t>
    <phoneticPr fontId="72" type="noConversion"/>
  </si>
  <si>
    <r>
      <rPr>
        <sz val="10"/>
        <rFont val="맑은 고딕"/>
        <family val="3"/>
        <charset val="129"/>
      </rPr>
      <t>최대발생시기</t>
    </r>
    <phoneticPr fontId="72" type="noConversion"/>
  </si>
  <si>
    <t>최소현금</t>
    <phoneticPr fontId="72" type="noConversion"/>
  </si>
  <si>
    <r>
      <rPr>
        <b/>
        <u/>
        <sz val="10"/>
        <rFont val="맑은 고딕"/>
        <family val="3"/>
        <charset val="129"/>
      </rPr>
      <t>주차수익</t>
    </r>
  </si>
  <si>
    <t>[1년차총액]</t>
    <phoneticPr fontId="72" type="noConversion"/>
  </si>
  <si>
    <r>
      <rPr>
        <b/>
        <sz val="10"/>
        <color indexed="9"/>
        <rFont val="맑은 고딕"/>
        <family val="3"/>
        <charset val="129"/>
      </rPr>
      <t>재무모델</t>
    </r>
    <r>
      <rPr>
        <b/>
        <sz val="10"/>
        <color indexed="9"/>
        <rFont val="Arial Narrow"/>
        <family val="2"/>
      </rPr>
      <t xml:space="preserve"> Check</t>
    </r>
    <phoneticPr fontId="72" type="noConversion"/>
  </si>
  <si>
    <t>기타수익</t>
    <phoneticPr fontId="72" type="noConversion"/>
  </si>
  <si>
    <t>총투자비 vs 자금조달</t>
    <phoneticPr fontId="72" type="noConversion"/>
  </si>
  <si>
    <r>
      <rPr>
        <b/>
        <sz val="10"/>
        <color indexed="9"/>
        <rFont val="맑은 고딕"/>
        <family val="3"/>
        <charset val="129"/>
      </rPr>
      <t>운영비용가정</t>
    </r>
    <phoneticPr fontId="72" type="noConversion"/>
  </si>
  <si>
    <t>[총투자비]</t>
    <phoneticPr fontId="3" type="noConversion"/>
  </si>
  <si>
    <t>지급시기</t>
    <phoneticPr fontId="72" type="noConversion"/>
  </si>
  <si>
    <t>기준금액</t>
    <phoneticPr fontId="3" type="noConversion"/>
  </si>
  <si>
    <t>자산관리</t>
    <phoneticPr fontId="72" type="noConversion"/>
  </si>
  <si>
    <t>차입등 한도(10배) 초과여부</t>
    <phoneticPr fontId="72" type="noConversion"/>
  </si>
  <si>
    <t>"</t>
    <phoneticPr fontId="72" type="noConversion"/>
  </si>
  <si>
    <t>"</t>
    <phoneticPr fontId="3" type="noConversion"/>
  </si>
  <si>
    <t>[보통주]</t>
    <phoneticPr fontId="72" type="noConversion"/>
  </si>
  <si>
    <t>[자본금]</t>
    <phoneticPr fontId="72" type="noConversion"/>
  </si>
  <si>
    <t>[주발초]</t>
    <phoneticPr fontId="72" type="noConversion"/>
  </si>
  <si>
    <t>1년차월평단가</t>
    <phoneticPr fontId="72" type="noConversion"/>
  </si>
  <si>
    <t>운영배당 :</t>
    <phoneticPr fontId="72" type="noConversion"/>
  </si>
  <si>
    <t>1차 배당</t>
    <phoneticPr fontId="3" type="noConversion"/>
  </si>
  <si>
    <t>매각차익 :</t>
    <phoneticPr fontId="72" type="noConversion"/>
  </si>
  <si>
    <t>연상승률</t>
    <phoneticPr fontId="72" type="noConversion"/>
  </si>
  <si>
    <r>
      <t>PM</t>
    </r>
    <r>
      <rPr>
        <sz val="10"/>
        <rFont val="맑은 고딕"/>
        <family val="3"/>
        <charset val="129"/>
      </rPr>
      <t>수수료</t>
    </r>
  </si>
  <si>
    <t>&lt;자본잉여금 이입&gt;</t>
    <phoneticPr fontId="72" type="noConversion"/>
  </si>
  <si>
    <t>토지분 종부세</t>
    <phoneticPr fontId="72" type="noConversion"/>
  </si>
  <si>
    <t>[기준금액]</t>
    <phoneticPr fontId="72" type="noConversion"/>
  </si>
  <si>
    <r>
      <rPr>
        <sz val="10"/>
        <rFont val="맑은 고딕"/>
        <family val="3"/>
        <charset val="129"/>
      </rPr>
      <t>건물</t>
    </r>
    <r>
      <rPr>
        <sz val="10"/>
        <rFont val="Arial Narrow"/>
        <family val="2"/>
      </rPr>
      <t xml:space="preserve"> </t>
    </r>
    <r>
      <rPr>
        <sz val="10"/>
        <rFont val="맑은 고딕"/>
        <family val="3"/>
        <charset val="129"/>
      </rPr>
      <t>내용연수</t>
    </r>
    <phoneticPr fontId="72" type="noConversion"/>
  </si>
  <si>
    <t>Initial Cap rate</t>
    <phoneticPr fontId="72" type="noConversion"/>
  </si>
  <si>
    <t>사업개시 보증금</t>
    <phoneticPr fontId="72" type="noConversion"/>
  </si>
  <si>
    <r>
      <rPr>
        <sz val="10"/>
        <rFont val="맑은 고딕"/>
        <family val="3"/>
        <charset val="129"/>
      </rPr>
      <t>이자율</t>
    </r>
    <phoneticPr fontId="72" type="noConversion"/>
  </si>
  <si>
    <t>매각비용</t>
    <phoneticPr fontId="72" type="noConversion"/>
  </si>
  <si>
    <t>c</t>
    <phoneticPr fontId="72" type="noConversion"/>
  </si>
  <si>
    <t>매각기본수수료</t>
    <phoneticPr fontId="72" type="noConversion"/>
  </si>
  <si>
    <t>a / (c-b)</t>
    <phoneticPr fontId="72" type="noConversion"/>
  </si>
  <si>
    <t>성과수수료</t>
    <phoneticPr fontId="72" type="noConversion"/>
  </si>
  <si>
    <t>매입면적</t>
    <phoneticPr fontId="72" type="noConversion"/>
  </si>
  <si>
    <t>소계</t>
    <phoneticPr fontId="72" type="noConversion"/>
  </si>
  <si>
    <t>B4~10F</t>
    <phoneticPr fontId="72" type="noConversion"/>
  </si>
  <si>
    <t>연면적-N동</t>
    <phoneticPr fontId="72" type="noConversion"/>
  </si>
  <si>
    <t>3F~6F</t>
    <phoneticPr fontId="72" type="noConversion"/>
  </si>
  <si>
    <t>2종 종류주 [유상증자]</t>
    <phoneticPr fontId="72" type="noConversion"/>
  </si>
  <si>
    <t>[감자대상 납입자본]</t>
    <phoneticPr fontId="3" type="noConversion"/>
  </si>
  <si>
    <t>[의제배당액]</t>
    <phoneticPr fontId="3" type="noConversion"/>
  </si>
  <si>
    <t>[감자대금]</t>
  </si>
  <si>
    <t>[감자대상 자본금]</t>
    <phoneticPr fontId="3" type="noConversion"/>
  </si>
  <si>
    <t>&lt;원본관련 감자차손&gt; 납입자본 vs 감자 자본금</t>
    <phoneticPr fontId="3" type="noConversion"/>
  </si>
  <si>
    <r>
      <rPr>
        <u/>
        <sz val="10"/>
        <rFont val="맑은 고딕"/>
        <family val="3"/>
        <charset val="129"/>
      </rPr>
      <t>기타체크</t>
    </r>
    <phoneticPr fontId="72" type="noConversion"/>
  </si>
  <si>
    <t>종류주 C.G포함 배당액 대사</t>
  </si>
  <si>
    <t>종류주 C.G제외 배당액 대사</t>
  </si>
  <si>
    <t>2종 종류주 C.G포함 배당액 대사</t>
    <phoneticPr fontId="72" type="noConversion"/>
  </si>
  <si>
    <t>보통주 C.G제외 배당액 대사</t>
    <phoneticPr fontId="72" type="noConversion"/>
  </si>
  <si>
    <t>NOI기준 매각가</t>
    <phoneticPr fontId="72" type="noConversion"/>
  </si>
  <si>
    <t>배당현금 합산 대사</t>
    <phoneticPr fontId="72" type="noConversion"/>
  </si>
  <si>
    <t>취득가</t>
    <phoneticPr fontId="72" type="noConversion"/>
  </si>
  <si>
    <t>전체 배당금 대사</t>
    <phoneticPr fontId="72" type="noConversion"/>
  </si>
  <si>
    <t>특정매각가</t>
    <phoneticPr fontId="72" type="noConversion"/>
  </si>
  <si>
    <t>회계상 순처분손익 대사</t>
    <phoneticPr fontId="72" type="noConversion"/>
  </si>
  <si>
    <t>A-2. 차입기간 비용화</t>
    <phoneticPr fontId="3" type="noConversion"/>
  </si>
  <si>
    <t>DATA vs 수익 합계 대사 : 임대료</t>
    <phoneticPr fontId="72" type="noConversion"/>
  </si>
  <si>
    <t>DATA vs 수익 합계 대사 : 관리비</t>
    <phoneticPr fontId="72" type="noConversion"/>
  </si>
  <si>
    <t>비용 발생 vs 지급 합계 대사</t>
    <phoneticPr fontId="72" type="noConversion"/>
  </si>
  <si>
    <t>보험료 발생액 vs 지급액</t>
    <phoneticPr fontId="72" type="noConversion"/>
  </si>
  <si>
    <t>IS대사 월별 vs 연도별</t>
    <phoneticPr fontId="72" type="noConversion"/>
  </si>
  <si>
    <t>Capital Gain 대사 : 처분 vs CF(M)</t>
    <phoneticPr fontId="72" type="noConversion"/>
  </si>
  <si>
    <t>Vacant</t>
  </si>
  <si>
    <t>S301</t>
  </si>
  <si>
    <t>Reits Parameteres</t>
    <phoneticPr fontId="3" type="noConversion"/>
  </si>
  <si>
    <t>X</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</si>
  <si>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</si>
  <si>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</si>
  <si>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</si>
  <si>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</si>
  <si>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Adjusted beta</t>
    <phoneticPr fontId="3" type="noConversion"/>
  </si>
  <si>
    <t>Statutory Tax Rate</t>
    <phoneticPr fontId="3" type="noConversion"/>
  </si>
  <si>
    <t>Levered Beta</t>
    <phoneticPr fontId="3" type="noConversion"/>
  </si>
  <si>
    <t>자기관리</t>
    <phoneticPr fontId="3" type="noConversion"/>
  </si>
  <si>
    <t>호텔투자건(스타즈호텔 명동2호점, 동탄점, 독산점)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</si>
  <si>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</si>
  <si>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</si>
  <si>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</si>
  <si>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334890  KS Equity</t>
    <phoneticPr fontId="3" type="noConversion"/>
  </si>
  <si>
    <t>간접투자(지분증권/
수익증권)</t>
    <phoneticPr fontId="3" type="noConversion"/>
  </si>
  <si>
    <t>물류/데이터센터</t>
    <phoneticPr fontId="3" type="noConversion"/>
  </si>
  <si>
    <t>350520 KS Equity</t>
    <phoneticPr fontId="3" type="noConversion"/>
  </si>
  <si>
    <t>348950 KS Equity</t>
    <phoneticPr fontId="3" type="noConversion"/>
  </si>
  <si>
    <t>간접투자(지분증권)</t>
    <phoneticPr fontId="3" type="noConversion"/>
  </si>
  <si>
    <t>357120 KS Equity</t>
    <phoneticPr fontId="3" type="noConversion"/>
  </si>
  <si>
    <t>전국 주유소 171개 임대
(현대오일뱅크 56%, SK네트웍스 5%, QSR 및 기타 임대차 계약 6% 등)</t>
    <phoneticPr fontId="3" type="noConversion"/>
  </si>
  <si>
    <r>
      <t>SK</t>
    </r>
    <r>
      <rPr>
        <b/>
        <sz val="9"/>
        <color theme="1"/>
        <rFont val="맑은 고딕"/>
        <family val="3"/>
        <charset val="129"/>
        <scheme val="minor"/>
      </rPr>
      <t>리츠</t>
    </r>
    <phoneticPr fontId="3" type="noConversion"/>
  </si>
  <si>
    <t>미래에셋글로벌리츠</t>
    <phoneticPr fontId="3" type="noConversion"/>
  </si>
  <si>
    <t>396690 KS Equity</t>
    <phoneticPr fontId="3" type="noConversion"/>
  </si>
  <si>
    <t>코람코더원리츠</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</si>
  <si>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</si>
  <si>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</si>
  <si>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</si>
  <si>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</si>
  <si>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</si>
  <si>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</si>
  <si>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</si>
  <si>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</si>
  <si>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유사기업 관측 Beta</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</si>
  <si>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</si>
  <si>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</si>
  <si>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</si>
  <si>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</si>
  <si>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</si>
  <si>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</si>
  <si>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</si>
  <si>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</si>
  <si>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2022.4Q</t>
  </si>
  <si>
    <t>전기대비</t>
    <phoneticPr fontId="3" type="noConversion"/>
  </si>
  <si>
    <t>보고서</t>
    <phoneticPr fontId="3" type="noConversion"/>
  </si>
  <si>
    <t>updated</t>
    <phoneticPr fontId="3" type="noConversion"/>
  </si>
  <si>
    <r>
      <t>완공 후(</t>
    </r>
    <r>
      <rPr>
        <sz val="11"/>
        <color theme="1"/>
        <rFont val="맑은 고딕"/>
        <family val="2"/>
        <charset val="129"/>
        <scheme val="minor"/>
      </rPr>
      <t>1</t>
    </r>
    <r>
      <rPr>
        <sz val="11"/>
        <color theme="1"/>
        <rFont val="맑은 고딕"/>
        <family val="2"/>
        <charset val="129"/>
        <scheme val="minor"/>
      </rPr>
      <t>종 종류주/보통주)</t>
    </r>
    <phoneticPr fontId="3" type="noConversion"/>
  </si>
  <si>
    <t>&lt;&lt; 매각 차익 더해줌</t>
    <phoneticPr fontId="3" type="noConversion"/>
  </si>
  <si>
    <t xml:space="preserve"> </t>
    <phoneticPr fontId="3" type="noConversion"/>
  </si>
  <si>
    <t>&gt;&gt; 23.1Q 재무모델 변경으로 가격 상승, Capital gain 금액이 크게 늘어남.</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</si>
  <si>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</si>
  <si>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</si>
  <si>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</si>
  <si>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</si>
  <si>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</si>
  <si>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</si>
  <si>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</si>
  <si>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</si>
  <si>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</si>
  <si>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</si>
  <si>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</si>
  <si>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</si>
  <si>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</si>
  <si>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</si>
  <si>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</si>
  <si>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</si>
  <si>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</si>
  <si>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</si>
  <si>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</si>
  <si>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</si>
  <si>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</si>
  <si>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</si>
  <si>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</si>
  <si>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</si>
  <si>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</si>
  <si>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</si>
  <si>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</si>
  <si>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</si>
  <si>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</si>
  <si>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</si>
  <si>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</si>
  <si>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</si>
  <si>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</si>
  <si>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</si>
  <si>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</si>
  <si>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</si>
  <si>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</si>
  <si>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</si>
  <si>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r>
      <t>ESR</t>
    </r>
    <r>
      <rPr>
        <b/>
        <sz val="9"/>
        <color theme="1"/>
        <rFont val="맑은 고딕"/>
        <family val="3"/>
        <charset val="129"/>
        <scheme val="minor"/>
      </rPr>
      <t>켄달스퀘어리츠</t>
    </r>
    <phoneticPr fontId="3" type="noConversion"/>
  </si>
  <si>
    <t>미래에셋글로벌리츠</t>
    <phoneticPr fontId="3" type="noConversion"/>
  </si>
  <si>
    <t>396690 KS Equity</t>
    <phoneticPr fontId="3" type="noConversion"/>
  </si>
  <si>
    <t>마스턴프리미어리츠</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</si>
  <si>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</si>
  <si>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</si>
  <si>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</si>
  <si>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</si>
  <si>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</si>
  <si>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</si>
  <si>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Levered Beta</t>
    <phoneticPr fontId="3" type="noConversion"/>
  </si>
  <si>
    <t>할인율</t>
    <phoneticPr fontId="3" type="noConversion"/>
  </si>
  <si>
    <t>2023.1Q</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</si>
  <si>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</si>
  <si>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</si>
  <si>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</si>
  <si>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</si>
  <si>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</si>
  <si>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</si>
  <si>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</si>
  <si>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</si>
  <si>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</si>
  <si>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</si>
  <si>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 xml:space="preserve">&lt;&lt; 롯데물산 보유 주식 (보통주) </t>
    <phoneticPr fontId="3" type="noConversion"/>
  </si>
  <si>
    <t>업데이트 필요함</t>
    <phoneticPr fontId="3" type="noConversion"/>
  </si>
  <si>
    <r>
      <t>2</t>
    </r>
    <r>
      <rPr>
        <sz val="11"/>
        <color theme="1"/>
        <rFont val="맑은 고딕"/>
        <family val="2"/>
        <charset val="129"/>
        <scheme val="minor"/>
      </rPr>
      <t>212 새롭게 수취한 재무모델상 매각 차익이 전기 대비 크게 증가함</t>
    </r>
    <phoneticPr fontId="3" type="noConversion"/>
  </si>
  <si>
    <t>전모델 339,856백만</t>
    <phoneticPr fontId="3" type="noConversion"/>
  </si>
  <si>
    <t>과거 재무모델</t>
    <phoneticPr fontId="3" type="noConversion"/>
  </si>
  <si>
    <t>23.2Q 2212신재무모델 상 매각차익이 전모델보다 큼. 가격 상승이 타당함. 할인되는 금액이 작아지고, 매각차익 확정되어있고, 금액만큼 돌려받는게 예정된 상황이기에 그 금액까지 가격은 계속 상향</t>
    <phoneticPr fontId="3" type="noConversion"/>
  </si>
  <si>
    <t xml:space="preserve"> 23.1,2Q MEMO</t>
    <phoneticPr fontId="3" type="noConversion"/>
  </si>
  <si>
    <t>보통주 가격 상승. 자연스러움. 시간이 감에 따라 가격 상승. 할인율은 전기와 비슷 (종류주 가격하락은 할인율 상승폭이 매각차익 상승폭보다 더 영향이 크기 때문인듯 23.1Q)</t>
    <phoneticPr fontId="3" type="noConversion"/>
  </si>
  <si>
    <t>검증용</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</si>
  <si>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</si>
  <si>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</si>
  <si>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</si>
  <si>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</si>
  <si>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</si>
  <si>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</si>
  <si>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</si>
  <si>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</si>
  <si>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</si>
  <si>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</si>
  <si>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</si>
  <si>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</si>
  <si>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</si>
  <si>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</si>
  <si>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</si>
  <si>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</si>
  <si>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</si>
  <si>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</si>
  <si>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</si>
  <si>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</si>
  <si>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</si>
  <si>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자기관리</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</si>
  <si>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</si>
  <si>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</si>
  <si>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</si>
  <si>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</si>
  <si>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</si>
  <si>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</si>
  <si>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</si>
  <si>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</si>
  <si>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</si>
  <si>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</si>
  <si>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</si>
  <si>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</si>
  <si>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</si>
  <si>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</si>
  <si>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</si>
  <si>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</si>
  <si>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</si>
  <si>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</si>
  <si>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</si>
  <si>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</si>
  <si>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</si>
  <si>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</si>
  <si>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</si>
  <si>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</si>
  <si>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</si>
  <si>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</si>
  <si>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</si>
  <si>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</si>
  <si>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</si>
  <si>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</si>
  <si>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</si>
  <si>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</si>
  <si>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</si>
  <si>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</si>
  <si>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</si>
  <si>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</si>
  <si>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</si>
  <si>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</si>
  <si>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</si>
  <si>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</si>
  <si>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</si>
  <si>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</si>
  <si>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</si>
  <si>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</si>
  <si>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</si>
  <si>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</si>
  <si>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</si>
  <si>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</si>
  <si>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</si>
  <si>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</si>
  <si>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</si>
  <si>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</si>
  <si>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</si>
  <si>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</si>
  <si>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</si>
  <si>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</si>
  <si>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</si>
  <si>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</si>
  <si>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</si>
  <si>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</si>
  <si>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</si>
  <si>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r>
      <t>2</t>
    </r>
    <r>
      <rPr>
        <sz val="11"/>
        <color theme="1"/>
        <rFont val="맑은 고딕"/>
        <family val="2"/>
        <charset val="129"/>
        <scheme val="minor"/>
      </rPr>
      <t>3.3Q</t>
    </r>
    <phoneticPr fontId="3" type="noConversion"/>
  </si>
  <si>
    <t>&gt;&gt; 가격은 할인율 상승으로 소폭 하락</t>
    <phoneticPr fontId="3" type="noConversion"/>
  </si>
  <si>
    <t>*상장기간 2년이상 종목으로 사용하기</t>
    <phoneticPr fontId="3" type="noConversion"/>
  </si>
  <si>
    <t>상업시설/오피스</t>
    <phoneticPr fontId="3" type="noConversion"/>
  </si>
  <si>
    <t>KB스타리츠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</si>
  <si>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</si>
  <si>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</si>
  <si>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</si>
  <si>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</si>
  <si>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</si>
  <si>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</si>
  <si>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</si>
  <si>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</si>
  <si>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</si>
  <si>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</si>
  <si>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</si>
  <si>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</si>
  <si>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</si>
  <si>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</si>
  <si>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</si>
  <si>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</si>
  <si>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</si>
  <si>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</si>
  <si>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</si>
  <si>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</si>
  <si>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</si>
  <si>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</si>
  <si>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</si>
  <si>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</si>
  <si>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</si>
  <si>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</si>
  <si>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</si>
  <si>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</si>
  <si>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</si>
  <si>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</si>
  <si>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</si>
  <si>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</si>
  <si>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</si>
  <si>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</si>
  <si>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</si>
  <si>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</si>
  <si>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</si>
  <si>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</si>
  <si>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</si>
  <si>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</si>
  <si>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</si>
  <si>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</si>
  <si>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</si>
  <si>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</si>
  <si>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</si>
  <si>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</si>
  <si>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</si>
  <si>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</si>
  <si>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</si>
  <si>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</si>
  <si>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</si>
  <si>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</si>
  <si>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</si>
  <si>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</si>
  <si>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</si>
  <si>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</si>
  <si>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</si>
  <si>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</si>
  <si>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</si>
  <si>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</si>
  <si>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</si>
  <si>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</si>
  <si>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</si>
  <si>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</si>
  <si>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</si>
  <si>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</si>
  <si>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</si>
  <si>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</si>
  <si>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Market Risk Premium
(MRP)</t>
    <phoneticPr fontId="3" type="noConversion"/>
  </si>
  <si>
    <t>effective tax rate</t>
    <phoneticPr fontId="3" type="noConversion"/>
  </si>
  <si>
    <t>MRP</t>
    <phoneticPr fontId="3" type="noConversion"/>
  </si>
  <si>
    <t>Risk Free Rate of Korea (1yr)
(Bloomberg)</t>
    <phoneticPr fontId="3" type="noConversion"/>
  </si>
  <si>
    <t>Market Risk premium of Korea (1yr)
(Bloomberg)</t>
    <phoneticPr fontId="3" type="noConversion"/>
  </si>
  <si>
    <t>2023-06-30 주식수 동일</t>
  </si>
  <si>
    <t>삼성증권, 롯데물산(보통주ONLY)</t>
  </si>
  <si>
    <t>삼성증권(보통주,2종=1종), 롯데물산(보통주ONLY), 네오위즈(1종종류주ONLY)</t>
  </si>
  <si>
    <t>Reits Parameteres</t>
    <phoneticPr fontId="3" type="noConversion"/>
  </si>
  <si>
    <t>O</t>
    <phoneticPr fontId="3" type="noConversion"/>
  </si>
  <si>
    <t>X</t>
    <phoneticPr fontId="3" type="noConversion"/>
  </si>
  <si>
    <t>* 확인사항</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</si>
  <si>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</si>
  <si>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</si>
  <si>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</si>
  <si>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</si>
  <si>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</si>
  <si>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</si>
  <si>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</si>
  <si>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</si>
  <si>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</si>
  <si>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</si>
  <si>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</si>
  <si>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</si>
  <si>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</si>
  <si>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</si>
  <si>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</si>
  <si>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</si>
  <si>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</si>
  <si>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</si>
  <si>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</si>
  <si>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</si>
  <si>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</si>
  <si>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</si>
  <si>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</si>
  <si>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</si>
  <si>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</si>
  <si>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</si>
  <si>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</si>
  <si>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</si>
  <si>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</si>
  <si>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</si>
  <si>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</si>
  <si>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</si>
  <si>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</si>
  <si>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</si>
  <si>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</si>
  <si>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</si>
  <si>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</si>
  <si>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</si>
  <si>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</si>
  <si>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</si>
  <si>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</si>
  <si>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</si>
  <si>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</si>
  <si>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</si>
  <si>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</si>
  <si>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</si>
  <si>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</si>
  <si>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</si>
  <si>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</si>
  <si>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</si>
  <si>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</si>
  <si>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</si>
  <si>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</si>
  <si>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</si>
  <si>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</si>
  <si>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</si>
  <si>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</si>
  <si>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</si>
  <si>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</si>
  <si>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위탁관리</t>
    <phoneticPr fontId="3" type="noConversion"/>
  </si>
  <si>
    <t>직접투자, 간접투자</t>
    <phoneticPr fontId="3" type="noConversion"/>
  </si>
  <si>
    <t>오피스, 물류</t>
    <phoneticPr fontId="3" type="noConversion"/>
  </si>
  <si>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phoneticPr fontId="3" type="noConversion"/>
  </si>
  <si>
    <t>미래에셋글로벌리츠</t>
    <phoneticPr fontId="3" type="noConversion"/>
  </si>
  <si>
    <t>396690 KS Equity</t>
    <phoneticPr fontId="3" type="noConversion"/>
  </si>
  <si>
    <t>위탁관리</t>
    <phoneticPr fontId="3" type="noConversion"/>
  </si>
  <si>
    <t>간접투자</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</si>
  <si>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</si>
  <si>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</si>
  <si>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</si>
  <si>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</si>
  <si>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</si>
  <si>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</si>
  <si>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3,725억
2. 용산 그랜드머큐어호텔 1,700억 
3. 나인트리 동대문 호텔 630억</t>
    <phoneticPr fontId="3" type="noConversion"/>
  </si>
  <si>
    <t>코람코더원리츠</t>
    <phoneticPr fontId="3" type="noConversion"/>
  </si>
  <si>
    <t>417310 KS Equity</t>
    <phoneticPr fontId="3" type="noConversion"/>
  </si>
  <si>
    <t>357430 KS Equity</t>
    <phoneticPr fontId="3" type="noConversion"/>
  </si>
  <si>
    <t>KB스타리츠</t>
    <phoneticPr fontId="3" type="noConversion"/>
  </si>
  <si>
    <t>432320 KS Equity</t>
    <phoneticPr fontId="3" type="noConversion"/>
  </si>
  <si>
    <t>한화리츠</t>
    <phoneticPr fontId="3" type="noConversion"/>
  </si>
  <si>
    <t>삼성FN리츠</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</si>
  <si>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</si>
  <si>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</si>
  <si>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</si>
  <si>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</si>
  <si>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</si>
  <si>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</si>
  <si>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</si>
  <si>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</si>
  <si>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</si>
  <si>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</si>
  <si>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</si>
  <si>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</si>
  <si>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</si>
  <si>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</si>
  <si>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(8yr)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</si>
  <si>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</si>
  <si>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</si>
  <si>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</si>
  <si>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</si>
  <si>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https://news.mt.co.kr/mtview.php?no=2023112916103368160</t>
  </si>
  <si>
    <r>
      <t>¨</t>
    </r>
    <r>
      <rPr>
        <sz val="7"/>
        <color rgb="FF000000"/>
        <rFont val="Times New Roman"/>
        <family val="1"/>
      </rPr>
      <t xml:space="preserve">  </t>
    </r>
    <r>
      <rPr>
        <b/>
        <sz val="12"/>
        <color rgb="FF000000"/>
        <rFont val="맑은 고딕"/>
        <family val="3"/>
        <charset val="129"/>
      </rPr>
      <t>한국자산평가㈜ 공정평가금액</t>
    </r>
    <phoneticPr fontId="3" type="noConversion"/>
  </si>
  <si>
    <t>배당할인모형을 이용해</t>
    <phoneticPr fontId="3" type="noConversion"/>
  </si>
  <si>
    <t>2종종류주</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</si>
  <si>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</si>
  <si>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</si>
  <si>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</si>
  <si>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</si>
  <si>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</si>
  <si>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</si>
  <si>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</si>
  <si>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</si>
  <si>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</si>
  <si>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</si>
  <si>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</si>
  <si>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</si>
  <si>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</si>
  <si>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</si>
  <si>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</si>
  <si>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</si>
  <si>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</si>
  <si>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</si>
  <si>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</si>
  <si>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</si>
  <si>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</si>
  <si>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</si>
  <si>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</si>
  <si>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</si>
  <si>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</si>
  <si>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</si>
  <si>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</si>
  <si>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</si>
  <si>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</si>
  <si>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</si>
  <si>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</si>
  <si>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</si>
  <si>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</si>
  <si>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</si>
  <si>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</si>
  <si>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</si>
  <si>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</si>
  <si>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</si>
  <si>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</si>
  <si>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</si>
  <si>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</si>
  <si>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</si>
  <si>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</si>
  <si>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</si>
  <si>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</si>
  <si>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</si>
  <si>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</si>
  <si>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</si>
  <si>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</si>
  <si>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</si>
  <si>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</si>
  <si>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</si>
  <si>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</si>
  <si>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</si>
  <si>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</si>
  <si>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</si>
  <si>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</si>
  <si>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직접투자, 간접투자</t>
    <phoneticPr fontId="3" type="noConversion"/>
  </si>
  <si>
    <t>오피스, 물류</t>
    <phoneticPr fontId="3" type="noConversion"/>
  </si>
  <si>
    <t>미래에셋글로벌리츠</t>
    <phoneticPr fontId="3" type="noConversion"/>
  </si>
  <si>
    <t>396690 KS Equity</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</si>
  <si>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</si>
  <si>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</si>
  <si>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</si>
  <si>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</si>
  <si>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</si>
  <si>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</si>
  <si>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- 3,725억
2. 용산 그랜드머큐어호텔 - 1,700억 
3. 나인트리 동대문 호텔 - 630억</t>
    <phoneticPr fontId="3" type="noConversion"/>
  </si>
  <si>
    <t>코람코더원리츠</t>
    <phoneticPr fontId="3" type="noConversion"/>
  </si>
  <si>
    <t>417310 KS Equity</t>
    <phoneticPr fontId="3" type="noConversion"/>
  </si>
  <si>
    <t>직접투자</t>
    <phoneticPr fontId="3" type="noConversion"/>
  </si>
  <si>
    <t>오피스</t>
    <phoneticPr fontId="3" type="noConversion"/>
  </si>
  <si>
    <t>24년 2월 기준 투자부동산 정보
1. 여의도 하나증권 빌딩 - 5,055억</t>
    <phoneticPr fontId="3" type="noConversion"/>
  </si>
  <si>
    <t>마스턴프리미어리츠</t>
    <phoneticPr fontId="3" type="noConversion"/>
  </si>
  <si>
    <t>357430 KS Equity</t>
    <phoneticPr fontId="3" type="noConversion"/>
  </si>
  <si>
    <t>위탁관리</t>
    <phoneticPr fontId="3" type="noConversion"/>
  </si>
  <si>
    <t>간접투자</t>
    <phoneticPr fontId="3" type="noConversion"/>
  </si>
  <si>
    <t>오피스, 물류
(해외)</t>
    <phoneticPr fontId="3" type="noConversion"/>
  </si>
  <si>
    <t>24년 2월 기준 투자부동산 정보
1. 프랑스 Crystal Park 투자 수익증권(마스턴신탁) - 504억
2. 인천항동스마트물류센터 지분증권(코크렙52호리츠) - 412억
3. 프랑스 아마존 물류센터 지분증권(마스턴신탁) - 332억</t>
    <phoneticPr fontId="3" type="noConversion"/>
  </si>
  <si>
    <t>432320 KS Equity</t>
    <phoneticPr fontId="3" type="noConversion"/>
  </si>
  <si>
    <t>위탁관리</t>
    <phoneticPr fontId="3" type="noConversion"/>
  </si>
  <si>
    <t>24년 1월 기준 투자부동산 정보
1. 벨기에 브뤼셀 North Galaxy Towers(자회사리츠보통주) - 4,293억
2. 영국 런던 Samsung Europe HQ(수익증권) - 502억</t>
    <phoneticPr fontId="3" type="noConversion"/>
  </si>
  <si>
    <t>한화리츠</t>
    <phoneticPr fontId="3" type="noConversion"/>
  </si>
  <si>
    <t>삼성FN리츠</t>
    <phoneticPr fontId="3" type="noConversion"/>
  </si>
  <si>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</si>
  <si>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</si>
  <si>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</si>
  <si>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</si>
  <si>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</si>
  <si>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</si>
  <si>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</si>
  <si>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</si>
  <si>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</si>
  <si>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</si>
  <si>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</si>
  <si>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</si>
  <si>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</si>
  <si>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</si>
  <si>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</si>
  <si>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</si>
  <si>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</si>
  <si>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분석기간 결손보전</t>
  </si>
  <si>
    <t>분석기간 자본잉여금감액배당</t>
  </si>
  <si>
    <t>사업연도별 손익계산서</t>
  </si>
  <si>
    <t>증권대행수수료/ 대리은행용역 등</t>
  </si>
  <si>
    <t>간주임대료부가세</t>
  </si>
  <si>
    <t>임대중개수수료상각비</t>
  </si>
  <si>
    <t>Tenant Improvements</t>
  </si>
  <si>
    <t>지급수수료(공모비용 등)</t>
  </si>
  <si>
    <t>지급수수료(대환관련 실사수수료)</t>
  </si>
  <si>
    <t>이자비용(단기차입금)</t>
  </si>
  <si>
    <t>이자비용_Tr-A 대출수수료</t>
  </si>
  <si>
    <t>이자비용_Tr-B 대출수수료</t>
  </si>
  <si>
    <t>삼성증권(2종=1종)</t>
    <phoneticPr fontId="3" type="noConversion"/>
  </si>
  <si>
    <t>처분</t>
    <phoneticPr fontId="72" type="noConversion"/>
  </si>
  <si>
    <r>
      <t xml:space="preserve">I. </t>
    </r>
    <r>
      <rPr>
        <b/>
        <sz val="10"/>
        <color theme="0"/>
        <rFont val="맑은 고딕"/>
        <family val="3"/>
        <charset val="129"/>
      </rPr>
      <t>매각익년도</t>
    </r>
    <r>
      <rPr>
        <b/>
        <sz val="10"/>
        <color theme="0"/>
        <rFont val="Arial Narrow"/>
        <family val="2"/>
      </rPr>
      <t xml:space="preserve"> NOI</t>
    </r>
    <phoneticPr fontId="3" type="noConversion"/>
  </si>
  <si>
    <r>
      <rPr>
        <sz val="10"/>
        <rFont val="맑은 고딕"/>
        <family val="3"/>
        <charset val="129"/>
      </rPr>
      <t>구분</t>
    </r>
    <phoneticPr fontId="3" type="noConversion"/>
  </si>
  <si>
    <t>[분석기준일]</t>
    <phoneticPr fontId="3" type="noConversion"/>
  </si>
  <si>
    <r>
      <rPr>
        <sz val="10"/>
        <rFont val="맑은 고딕"/>
        <family val="3"/>
        <charset val="129"/>
      </rPr>
      <t>합계</t>
    </r>
    <phoneticPr fontId="72" type="noConversion"/>
  </si>
  <si>
    <t>[운영종료]</t>
    <phoneticPr fontId="3" type="noConversion"/>
  </si>
  <si>
    <r>
      <rPr>
        <sz val="10"/>
        <rFont val="맑은 고딕"/>
        <family val="3"/>
        <charset val="129"/>
      </rPr>
      <t>영업수익</t>
    </r>
    <phoneticPr fontId="72" type="noConversion"/>
  </si>
  <si>
    <r>
      <rPr>
        <sz val="10"/>
        <rFont val="맑은 고딕"/>
        <family val="3"/>
        <charset val="129"/>
      </rPr>
      <t>임대수익</t>
    </r>
    <phoneticPr fontId="3" type="noConversion"/>
  </si>
  <si>
    <r>
      <rPr>
        <sz val="10"/>
        <rFont val="맑은 고딕"/>
        <family val="3"/>
        <charset val="129"/>
      </rPr>
      <t>관리수익</t>
    </r>
    <phoneticPr fontId="3" type="noConversion"/>
  </si>
  <si>
    <r>
      <rPr>
        <sz val="10"/>
        <rFont val="맑은 고딕"/>
        <family val="3"/>
        <charset val="129"/>
      </rPr>
      <t>주차수익</t>
    </r>
    <phoneticPr fontId="3" type="noConversion"/>
  </si>
  <si>
    <t>기타수익</t>
    <phoneticPr fontId="3" type="noConversion"/>
  </si>
  <si>
    <r>
      <rPr>
        <sz val="10"/>
        <rFont val="맑은 고딕"/>
        <family val="3"/>
        <charset val="129"/>
      </rPr>
      <t>영업비용</t>
    </r>
    <phoneticPr fontId="72" type="noConversion"/>
  </si>
  <si>
    <t>반영여부</t>
    <phoneticPr fontId="72" type="noConversion"/>
  </si>
  <si>
    <t>[월할안분 가정]</t>
    <phoneticPr fontId="3" type="noConversion"/>
  </si>
  <si>
    <r>
      <rPr>
        <sz val="10"/>
        <rFont val="맑은 고딕"/>
        <family val="3"/>
        <charset val="129"/>
      </rPr>
      <t>간주임대료부가세</t>
    </r>
    <phoneticPr fontId="3" type="noConversion"/>
  </si>
  <si>
    <t>임대중개수수료</t>
    <phoneticPr fontId="3" type="noConversion"/>
  </si>
  <si>
    <t>[지급액]</t>
    <phoneticPr fontId="3" type="noConversion"/>
  </si>
  <si>
    <r>
      <t xml:space="preserve">(*) </t>
    </r>
    <r>
      <rPr>
        <sz val="10"/>
        <rFont val="맑은 고딕"/>
        <family val="3"/>
        <charset val="129"/>
      </rPr>
      <t>간주임대료에</t>
    </r>
    <r>
      <rPr>
        <sz val="10"/>
        <rFont val="Arial Narrow"/>
        <family val="2"/>
      </rPr>
      <t xml:space="preserve"> </t>
    </r>
    <r>
      <rPr>
        <sz val="10"/>
        <rFont val="맑은 고딕"/>
        <family val="3"/>
        <charset val="129"/>
      </rPr>
      <t>대한</t>
    </r>
    <r>
      <rPr>
        <sz val="10"/>
        <rFont val="Arial Narrow"/>
        <family val="2"/>
      </rPr>
      <t xml:space="preserve"> </t>
    </r>
    <r>
      <rPr>
        <sz val="10"/>
        <rFont val="맑은 고딕"/>
        <family val="3"/>
        <charset val="129"/>
      </rPr>
      <t>부가가치세</t>
    </r>
    <phoneticPr fontId="3" type="noConversion"/>
  </si>
  <si>
    <t>기말보증금</t>
    <phoneticPr fontId="72" type="noConversion"/>
  </si>
  <si>
    <r>
      <rPr>
        <sz val="10"/>
        <rFont val="맑은 고딕"/>
        <family val="3"/>
        <charset val="129"/>
      </rPr>
      <t>보증금적수</t>
    </r>
    <phoneticPr fontId="72" type="noConversion"/>
  </si>
  <si>
    <r>
      <rPr>
        <sz val="10"/>
        <rFont val="맑은 고딕"/>
        <family val="3"/>
        <charset val="129"/>
      </rPr>
      <t>간주부가세</t>
    </r>
    <phoneticPr fontId="72" type="noConversion"/>
  </si>
  <si>
    <r>
      <t xml:space="preserve">II. </t>
    </r>
    <r>
      <rPr>
        <b/>
        <sz val="10"/>
        <color theme="0"/>
        <rFont val="맑은 고딕"/>
        <family val="3"/>
        <charset val="129"/>
      </rPr>
      <t>매각금액</t>
    </r>
    <r>
      <rPr>
        <b/>
        <sz val="10"/>
        <color theme="0"/>
        <rFont val="Arial Narrow"/>
        <family val="2"/>
      </rPr>
      <t xml:space="preserve"> </t>
    </r>
    <r>
      <rPr>
        <b/>
        <sz val="10"/>
        <color theme="0"/>
        <rFont val="맑은 고딕"/>
        <family val="3"/>
        <charset val="129"/>
      </rPr>
      <t>및</t>
    </r>
    <r>
      <rPr>
        <b/>
        <sz val="10"/>
        <color theme="0"/>
        <rFont val="Arial Narrow"/>
        <family val="2"/>
      </rPr>
      <t xml:space="preserve"> </t>
    </r>
    <r>
      <rPr>
        <b/>
        <sz val="10"/>
        <color theme="0"/>
        <rFont val="맑은 고딕"/>
        <family val="3"/>
        <charset val="129"/>
      </rPr>
      <t>처분손익</t>
    </r>
    <phoneticPr fontId="3" type="noConversion"/>
  </si>
  <si>
    <t>1)</t>
    <phoneticPr fontId="3" type="noConversion"/>
  </si>
  <si>
    <t>NOI기준 매각금액</t>
    <phoneticPr fontId="72" type="noConversion"/>
  </si>
  <si>
    <t>매각금액</t>
    <phoneticPr fontId="72" type="noConversion"/>
  </si>
  <si>
    <t>회계상 순처분손익</t>
    <phoneticPr fontId="3" type="noConversion"/>
  </si>
  <si>
    <t>(-)</t>
    <phoneticPr fontId="3" type="noConversion"/>
  </si>
  <si>
    <t>장부금액</t>
    <phoneticPr fontId="72" type="noConversion"/>
  </si>
  <si>
    <t>(-)  감가상각비 초과배당 누적액</t>
    <phoneticPr fontId="3" type="noConversion"/>
  </si>
  <si>
    <r>
      <t>(N+1)</t>
    </r>
    <r>
      <rPr>
        <sz val="10"/>
        <rFont val="맑은 고딕"/>
        <family val="3"/>
        <charset val="129"/>
      </rPr>
      <t>차년도</t>
    </r>
    <r>
      <rPr>
        <sz val="10"/>
        <rFont val="Arial Narrow"/>
        <family val="2"/>
      </rPr>
      <t xml:space="preserve"> NOI</t>
    </r>
    <phoneticPr fontId="72" type="noConversion"/>
  </si>
  <si>
    <t>A</t>
    <phoneticPr fontId="72" type="noConversion"/>
  </si>
  <si>
    <r>
      <rPr>
        <sz val="10"/>
        <rFont val="맑은 고딕"/>
        <family val="3"/>
        <charset val="129"/>
      </rPr>
      <t>회계상</t>
    </r>
    <r>
      <rPr>
        <sz val="10"/>
        <rFont val="Arial Narrow"/>
        <family val="2"/>
      </rPr>
      <t xml:space="preserve"> </t>
    </r>
    <r>
      <rPr>
        <sz val="10"/>
        <rFont val="맑은 고딕"/>
        <family val="3"/>
        <charset val="129"/>
      </rPr>
      <t>처분손익</t>
    </r>
    <phoneticPr fontId="72" type="noConversion"/>
  </si>
  <si>
    <t>(-)  기초 주식발행비용</t>
    <phoneticPr fontId="3" type="noConversion"/>
  </si>
  <si>
    <t>자본환원율</t>
    <phoneticPr fontId="72" type="noConversion"/>
  </si>
  <si>
    <t>B</t>
    <phoneticPr fontId="72" type="noConversion"/>
  </si>
  <si>
    <t>(-)  분석기간이전 준비금감소액</t>
    <phoneticPr fontId="3" type="noConversion"/>
  </si>
  <si>
    <r>
      <t>N</t>
    </r>
    <r>
      <rPr>
        <sz val="10"/>
        <rFont val="맑은 고딕"/>
        <family val="3"/>
        <charset val="129"/>
      </rPr>
      <t>차년도</t>
    </r>
    <r>
      <rPr>
        <sz val="10"/>
        <rFont val="Arial Narrow"/>
        <family val="2"/>
      </rPr>
      <t xml:space="preserve"> </t>
    </r>
    <r>
      <rPr>
        <sz val="10"/>
        <rFont val="맑은 고딕"/>
        <family val="3"/>
        <charset val="129"/>
      </rPr>
      <t>보증금</t>
    </r>
    <phoneticPr fontId="72" type="noConversion"/>
  </si>
  <si>
    <t>C</t>
    <phoneticPr fontId="72" type="noConversion"/>
  </si>
  <si>
    <t>(-)</t>
    <phoneticPr fontId="3" type="noConversion"/>
  </si>
  <si>
    <t>(-)  감자의제배당</t>
    <phoneticPr fontId="3" type="noConversion"/>
  </si>
  <si>
    <r>
      <t xml:space="preserve">NOI </t>
    </r>
    <r>
      <rPr>
        <sz val="10"/>
        <rFont val="맑은 고딕"/>
        <family val="3"/>
        <charset val="129"/>
      </rPr>
      <t>기준</t>
    </r>
    <r>
      <rPr>
        <sz val="10"/>
        <rFont val="Arial Narrow"/>
        <family val="2"/>
      </rPr>
      <t xml:space="preserve"> </t>
    </r>
    <r>
      <rPr>
        <sz val="10"/>
        <rFont val="맑은 고딕"/>
        <family val="3"/>
        <charset val="129"/>
      </rPr>
      <t>매각금액</t>
    </r>
    <phoneticPr fontId="72" type="noConversion"/>
  </si>
  <si>
    <t>E = A/B+C</t>
    <phoneticPr fontId="72" type="noConversion"/>
  </si>
  <si>
    <t>(-)  분석기간 준비금감소</t>
    <phoneticPr fontId="3" type="noConversion"/>
  </si>
  <si>
    <t>(-)</t>
    <phoneticPr fontId="3" type="noConversion"/>
  </si>
  <si>
    <t>Capital Gain</t>
    <phoneticPr fontId="3" type="noConversion"/>
  </si>
  <si>
    <t>2)</t>
    <phoneticPr fontId="3" type="noConversion"/>
  </si>
  <si>
    <t>취득원가</t>
    <phoneticPr fontId="72" type="noConversion"/>
  </si>
  <si>
    <t>소계</t>
    <phoneticPr fontId="72" type="noConversion"/>
  </si>
  <si>
    <t>Check</t>
    <phoneticPr fontId="3" type="noConversion"/>
  </si>
  <si>
    <r>
      <rPr>
        <sz val="10"/>
        <rFont val="맑은 고딕"/>
        <family val="3"/>
        <charset val="129"/>
      </rPr>
      <t>처분율</t>
    </r>
    <phoneticPr fontId="72" type="noConversion"/>
  </si>
  <si>
    <t>(자본적지출포함)</t>
    <phoneticPr fontId="72" type="noConversion"/>
  </si>
  <si>
    <r>
      <rPr>
        <sz val="10"/>
        <rFont val="맑은 고딕"/>
        <family val="3"/>
        <charset val="129"/>
      </rPr>
      <t>회계상</t>
    </r>
    <r>
      <rPr>
        <sz val="10"/>
        <rFont val="Arial Narrow"/>
        <family val="2"/>
      </rPr>
      <t xml:space="preserve"> </t>
    </r>
    <r>
      <rPr>
        <sz val="10"/>
        <rFont val="맑은 고딕"/>
        <family val="3"/>
        <charset val="129"/>
      </rPr>
      <t>순처분손익</t>
    </r>
    <phoneticPr fontId="3" type="noConversion"/>
  </si>
  <si>
    <t>매각금액</t>
    <phoneticPr fontId="72" type="noConversion"/>
  </si>
  <si>
    <t>성과수수료 기준금액</t>
    <phoneticPr fontId="3" type="noConversion"/>
  </si>
  <si>
    <t>3)</t>
    <phoneticPr fontId="3" type="noConversion"/>
  </si>
  <si>
    <t>장부금액</t>
    <phoneticPr fontId="72" type="noConversion"/>
  </si>
  <si>
    <t>매입금액</t>
    <phoneticPr fontId="3" type="noConversion"/>
  </si>
  <si>
    <t>4)</t>
    <phoneticPr fontId="3" type="noConversion"/>
  </si>
  <si>
    <t>특정매각금액</t>
    <phoneticPr fontId="72" type="noConversion"/>
  </si>
  <si>
    <t>주식발행비용</t>
    <phoneticPr fontId="3" type="noConversion"/>
  </si>
  <si>
    <t>감자의제배당</t>
    <phoneticPr fontId="3" type="noConversion"/>
  </si>
  <si>
    <t>자본잉여금의 이입</t>
    <phoneticPr fontId="3" type="noConversion"/>
  </si>
  <si>
    <t>(+)</t>
    <phoneticPr fontId="3" type="noConversion"/>
  </si>
  <si>
    <t>감가상각 미초과배당액</t>
    <phoneticPr fontId="3" type="noConversion"/>
  </si>
  <si>
    <t>대상금액</t>
    <phoneticPr fontId="3" type="noConversion"/>
  </si>
  <si>
    <t>(X)</t>
    <phoneticPr fontId="3" type="noConversion"/>
  </si>
  <si>
    <t>요율</t>
    <phoneticPr fontId="3" type="noConversion"/>
  </si>
  <si>
    <t>산정액</t>
    <phoneticPr fontId="3" type="noConversion"/>
  </si>
  <si>
    <t>2409 UPDATED</t>
    <phoneticPr fontId="3" type="noConversion"/>
  </si>
  <si>
    <t>(-)분석기간이전 준비금감소액</t>
    <phoneticPr fontId="3" type="noConversion"/>
  </si>
  <si>
    <t>(-)준비금감소액</t>
    <phoneticPr fontId="3" type="noConversion"/>
  </si>
  <si>
    <t>한토신 - H스퀘어 매입프로젝트 [REITs]</t>
    <phoneticPr fontId="3" type="noConversion"/>
  </si>
  <si>
    <t>Produced by 삼화회계법인</t>
    <phoneticPr fontId="72" type="noConversion"/>
  </si>
  <si>
    <r>
      <rPr>
        <b/>
        <sz val="10"/>
        <color indexed="9"/>
        <rFont val="맑은 고딕"/>
        <family val="3"/>
        <charset val="129"/>
      </rPr>
      <t>투자물건</t>
    </r>
    <phoneticPr fontId="72" type="noConversion"/>
  </si>
  <si>
    <r>
      <rPr>
        <b/>
        <sz val="10"/>
        <color indexed="9"/>
        <rFont val="맑은 고딕"/>
        <family val="3"/>
        <charset val="129"/>
      </rPr>
      <t>운영수익가정</t>
    </r>
    <phoneticPr fontId="72" type="noConversion"/>
  </si>
  <si>
    <t>[임대면적]</t>
    <phoneticPr fontId="72" type="noConversion"/>
  </si>
  <si>
    <t>[자기자본]</t>
    <phoneticPr fontId="72" type="noConversion"/>
  </si>
  <si>
    <t>[1종]</t>
    <phoneticPr fontId="72" type="noConversion"/>
  </si>
  <si>
    <t>[2종]</t>
    <phoneticPr fontId="72" type="noConversion"/>
  </si>
  <si>
    <t>기중 자본적지출</t>
    <phoneticPr fontId="72" type="noConversion"/>
  </si>
  <si>
    <t>사업연도별 평균 납입자본</t>
    <phoneticPr fontId="72" type="noConversion"/>
  </si>
  <si>
    <t>판교 에이치스퀘어</t>
    <phoneticPr fontId="72" type="noConversion"/>
  </si>
  <si>
    <t>경기도 성남시 분당구 삼평동 681,680</t>
    <phoneticPr fontId="72" type="noConversion"/>
  </si>
  <si>
    <t>판교역로 235</t>
    <phoneticPr fontId="72" type="noConversion"/>
  </si>
  <si>
    <t>[지급]</t>
    <phoneticPr fontId="3" type="noConversion"/>
  </si>
  <si>
    <t>면적(Py)</t>
    <phoneticPr fontId="3" type="noConversion"/>
  </si>
  <si>
    <t>월임대료</t>
    <phoneticPr fontId="3" type="noConversion"/>
  </si>
  <si>
    <t>보증금</t>
    <phoneticPr fontId="3" type="noConversion"/>
  </si>
  <si>
    <t>월관리비</t>
    <phoneticPr fontId="3" type="noConversion"/>
  </si>
  <si>
    <t>배당월현금</t>
    <phoneticPr fontId="72" type="noConversion"/>
  </si>
  <si>
    <t>감액배당</t>
    <phoneticPr fontId="72" type="noConversion"/>
  </si>
  <si>
    <t>배당금</t>
    <phoneticPr fontId="72" type="noConversion"/>
  </si>
  <si>
    <t>연배당률</t>
    <phoneticPr fontId="72" type="noConversion"/>
  </si>
  <si>
    <t>사업연도말</t>
    <phoneticPr fontId="72" type="noConversion"/>
  </si>
  <si>
    <t>지출액</t>
    <phoneticPr fontId="72" type="noConversion"/>
  </si>
  <si>
    <r>
      <rPr>
        <sz val="10"/>
        <rFont val="맑은 고딕"/>
        <family val="3"/>
        <charset val="129"/>
      </rPr>
      <t>토지</t>
    </r>
    <phoneticPr fontId="72" type="noConversion"/>
  </si>
  <si>
    <t>건물</t>
    <phoneticPr fontId="3" type="noConversion"/>
  </si>
  <si>
    <t>건축규모</t>
    <phoneticPr fontId="3" type="noConversion"/>
  </si>
  <si>
    <t>준공</t>
    <phoneticPr fontId="72" type="noConversion"/>
  </si>
  <si>
    <r>
      <rPr>
        <b/>
        <sz val="10"/>
        <color indexed="9"/>
        <rFont val="맑은 고딕"/>
        <family val="3"/>
        <charset val="129"/>
      </rPr>
      <t>기간가정</t>
    </r>
    <phoneticPr fontId="72" type="noConversion"/>
  </si>
  <si>
    <t>재무모델 개시일</t>
    <phoneticPr fontId="72" type="noConversion"/>
  </si>
  <si>
    <t>사업개시일</t>
    <phoneticPr fontId="72" type="noConversion"/>
  </si>
  <si>
    <t>사업개시월말</t>
    <phoneticPr fontId="72" type="noConversion"/>
  </si>
  <si>
    <t>분석기준일</t>
    <phoneticPr fontId="72" type="noConversion"/>
  </si>
  <si>
    <t>[분석기간이전]</t>
    <phoneticPr fontId="72" type="noConversion"/>
  </si>
  <si>
    <t>시장임대료 :</t>
    <phoneticPr fontId="72" type="noConversion"/>
  </si>
  <si>
    <t>운영개시일</t>
    <phoneticPr fontId="72" type="noConversion"/>
  </si>
  <si>
    <t>기준단가</t>
    <phoneticPr fontId="72" type="noConversion"/>
  </si>
  <si>
    <t>운영개시월말</t>
    <phoneticPr fontId="72" type="noConversion"/>
  </si>
  <si>
    <t>분석기간</t>
    <phoneticPr fontId="72" type="noConversion"/>
  </si>
  <si>
    <t>후속계약 주요 임대가정 :</t>
    <phoneticPr fontId="72" type="noConversion"/>
  </si>
  <si>
    <t>총 투자기간</t>
    <phoneticPr fontId="72" type="noConversion"/>
  </si>
  <si>
    <t>Downtime</t>
    <phoneticPr fontId="3" type="noConversion"/>
  </si>
  <si>
    <t>Effective</t>
    <phoneticPr fontId="3" type="noConversion"/>
  </si>
  <si>
    <t>운영종료월말</t>
    <phoneticPr fontId="72" type="noConversion"/>
  </si>
  <si>
    <t>사업연도월수</t>
    <phoneticPr fontId="72" type="noConversion"/>
  </si>
  <si>
    <t>기타가정</t>
    <phoneticPr fontId="72" type="noConversion"/>
  </si>
  <si>
    <r>
      <rPr>
        <sz val="10"/>
        <rFont val="맑은 고딕"/>
        <family val="3"/>
        <charset val="129"/>
      </rPr>
      <t>부가가치세세율</t>
    </r>
    <phoneticPr fontId="72" type="noConversion"/>
  </si>
  <si>
    <r>
      <rPr>
        <sz val="10"/>
        <rFont val="맑은 고딕"/>
        <family val="3"/>
        <charset val="129"/>
      </rPr>
      <t>법인세등</t>
    </r>
    <r>
      <rPr>
        <sz val="10"/>
        <rFont val="Arial Narrow"/>
        <family val="2"/>
      </rPr>
      <t xml:space="preserve"> </t>
    </r>
    <r>
      <rPr>
        <sz val="10"/>
        <rFont val="맑은 고딕"/>
        <family val="3"/>
        <charset val="129"/>
      </rPr>
      <t>세율</t>
    </r>
    <phoneticPr fontId="72" type="noConversion"/>
  </si>
  <si>
    <t>200 이하</t>
    <phoneticPr fontId="72" type="noConversion"/>
  </si>
  <si>
    <t>(지방소득세 포함)</t>
    <phoneticPr fontId="3" type="noConversion"/>
  </si>
  <si>
    <t>20000 초과 300,000 이하</t>
    <phoneticPr fontId="72" type="noConversion"/>
  </si>
  <si>
    <t>공실률 :</t>
    <phoneticPr fontId="72" type="noConversion"/>
  </si>
  <si>
    <t>Capital Gain</t>
    <phoneticPr fontId="72" type="noConversion"/>
  </si>
  <si>
    <t>300,000 초과</t>
    <phoneticPr fontId="72" type="noConversion"/>
  </si>
  <si>
    <r>
      <rPr>
        <sz val="10"/>
        <rFont val="맑은 고딕"/>
        <family val="3"/>
        <charset val="129"/>
      </rPr>
      <t>간주부가가치세산정율</t>
    </r>
    <phoneticPr fontId="72" type="noConversion"/>
  </si>
  <si>
    <t>여유자금 운용이자율</t>
    <phoneticPr fontId="72" type="noConversion"/>
  </si>
  <si>
    <t>Equity IRR</t>
    <phoneticPr fontId="72" type="noConversion"/>
  </si>
  <si>
    <t>VAT loan 및 이자율</t>
    <phoneticPr fontId="72" type="noConversion"/>
  </si>
  <si>
    <t>단기차입금 이자율</t>
    <phoneticPr fontId="72" type="noConversion"/>
  </si>
  <si>
    <t>(*) Capital Gain = 매각가-취득가(Capex포함)-처분관련수수료-주식발행비용</t>
    <phoneticPr fontId="72" type="noConversion"/>
  </si>
  <si>
    <t>총투자비 vs 재원조달 가정</t>
    <phoneticPr fontId="72" type="noConversion"/>
  </si>
  <si>
    <t>임대중개수수료 :</t>
    <phoneticPr fontId="72" type="noConversion"/>
  </si>
  <si>
    <t>[2차이후 후속계약]</t>
    <phoneticPr fontId="72" type="noConversion"/>
  </si>
  <si>
    <r>
      <rPr>
        <sz val="10"/>
        <rFont val="맑은 고딕"/>
        <family val="3"/>
        <charset val="129"/>
      </rPr>
      <t>총발생금액</t>
    </r>
    <phoneticPr fontId="72" type="noConversion"/>
  </si>
  <si>
    <t>수수료율</t>
    <phoneticPr fontId="72" type="noConversion"/>
  </si>
  <si>
    <t>분석기준일</t>
    <phoneticPr fontId="3" type="noConversion"/>
  </si>
  <si>
    <t>리파이낸싱</t>
    <phoneticPr fontId="3" type="noConversion"/>
  </si>
  <si>
    <t>[계약주기]</t>
    <phoneticPr fontId="72" type="noConversion"/>
  </si>
  <si>
    <t>공실</t>
    <phoneticPr fontId="72" type="noConversion"/>
  </si>
  <si>
    <r>
      <rPr>
        <sz val="10"/>
        <rFont val="맑은 고딕"/>
        <family val="3"/>
        <charset val="129"/>
      </rPr>
      <t>최대발생액</t>
    </r>
    <phoneticPr fontId="72" type="noConversion"/>
  </si>
  <si>
    <r>
      <rPr>
        <b/>
        <u/>
        <sz val="10"/>
        <rFont val="맑은 고딕"/>
        <family val="3"/>
        <charset val="129"/>
      </rPr>
      <t>총투자비</t>
    </r>
    <phoneticPr fontId="72" type="noConversion"/>
  </si>
  <si>
    <t>갱신</t>
    <phoneticPr fontId="72" type="noConversion"/>
  </si>
  <si>
    <t>Tenant Improvements :</t>
    <phoneticPr fontId="72" type="noConversion"/>
  </si>
  <si>
    <t>금액</t>
    <phoneticPr fontId="72" type="noConversion"/>
  </si>
  <si>
    <t>&lt;일시 비용처리 가정&gt;</t>
    <phoneticPr fontId="72" type="noConversion"/>
  </si>
  <si>
    <t>총투자비 check</t>
    <phoneticPr fontId="72" type="noConversion"/>
  </si>
  <si>
    <t>부투법 최소자본금 유지</t>
    <phoneticPr fontId="72" type="noConversion"/>
  </si>
  <si>
    <t>기말현금 음수여부</t>
    <phoneticPr fontId="72" type="noConversion"/>
  </si>
  <si>
    <t>[연상승률]</t>
    <phoneticPr fontId="72" type="noConversion"/>
  </si>
  <si>
    <t>총재원조달액</t>
    <phoneticPr fontId="72" type="noConversion"/>
  </si>
  <si>
    <t>BS Check</t>
    <phoneticPr fontId="72" type="noConversion"/>
  </si>
  <si>
    <t>임대보증금</t>
  </si>
  <si>
    <t>사업연도 개시 대사</t>
    <phoneticPr fontId="72" type="noConversion"/>
  </si>
  <si>
    <t>장기차입금</t>
    <phoneticPr fontId="3" type="noConversion"/>
  </si>
  <si>
    <r>
      <t>REIT</t>
    </r>
    <r>
      <rPr>
        <b/>
        <u/>
        <sz val="10"/>
        <rFont val="맑은 고딕"/>
        <family val="3"/>
        <charset val="129"/>
      </rPr>
      <t>운용수수료</t>
    </r>
    <phoneticPr fontId="72" type="noConversion"/>
  </si>
  <si>
    <t>기타Check</t>
    <phoneticPr fontId="72" type="noConversion"/>
  </si>
  <si>
    <t>부채 소계</t>
    <phoneticPr fontId="3" type="noConversion"/>
  </si>
  <si>
    <t>분석기준일 기준</t>
    <phoneticPr fontId="72" type="noConversion"/>
  </si>
  <si>
    <t>연 수수료율</t>
    <phoneticPr fontId="72" type="noConversion"/>
  </si>
  <si>
    <t>1년차총액</t>
    <phoneticPr fontId="72" type="noConversion"/>
  </si>
  <si>
    <t>5,6기 예산</t>
    <phoneticPr fontId="72" type="noConversion"/>
  </si>
  <si>
    <t>배당가정</t>
    <phoneticPr fontId="72" type="noConversion"/>
  </si>
  <si>
    <t>총투자비</t>
    <phoneticPr fontId="3" type="noConversion"/>
  </si>
  <si>
    <r>
      <rPr>
        <u/>
        <sz val="10"/>
        <rFont val="맑은 고딕"/>
        <family val="3"/>
        <charset val="129"/>
        <scheme val="minor"/>
      </rPr>
      <t>자산보관</t>
    </r>
    <phoneticPr fontId="72" type="noConversion"/>
  </si>
  <si>
    <t>2차 배당</t>
    <phoneticPr fontId="3" type="noConversion"/>
  </si>
  <si>
    <t>자본 소계</t>
    <phoneticPr fontId="3" type="noConversion"/>
  </si>
  <si>
    <t>사무수탁</t>
    <phoneticPr fontId="72" type="noConversion"/>
  </si>
  <si>
    <t>증권대행수수료/ 대리은행용역 등</t>
    <phoneticPr fontId="72" type="noConversion"/>
  </si>
  <si>
    <t>"</t>
    <phoneticPr fontId="3" type="noConversion"/>
  </si>
  <si>
    <t>자금조달 세부내역:</t>
    <phoneticPr fontId="72" type="noConversion"/>
  </si>
  <si>
    <r>
      <t>[</t>
    </r>
    <r>
      <rPr>
        <sz val="10"/>
        <rFont val="맑은 고딕"/>
        <family val="3"/>
        <charset val="129"/>
      </rPr>
      <t>사업개시</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</si>
  <si>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r>
      <rPr>
        <b/>
        <u/>
        <sz val="10"/>
        <rFont val="맑은 고딕"/>
        <family val="3"/>
        <charset val="129"/>
      </rPr>
      <t>일반관리비</t>
    </r>
    <phoneticPr fontId="72" type="noConversion"/>
  </si>
  <si>
    <r>
      <t>[</t>
    </r>
    <r>
      <rPr>
        <sz val="10"/>
        <rFont val="맑은 고딕"/>
        <family val="3"/>
        <charset val="129"/>
      </rPr>
      <t>유상증자이후</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</si>
  <si>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t>대출수수료 등 상각비</t>
    <phoneticPr fontId="3" type="noConversion"/>
  </si>
  <si>
    <t>[할증률]</t>
    <phoneticPr fontId="72" type="noConversion"/>
  </si>
  <si>
    <t>[소계]</t>
    <phoneticPr fontId="72" type="noConversion"/>
  </si>
  <si>
    <r>
      <rPr>
        <sz val="10"/>
        <rFont val="맑은 고딕"/>
        <family val="3"/>
        <charset val="129"/>
      </rPr>
      <t>일반관리비상승률</t>
    </r>
    <r>
      <rPr>
        <sz val="10"/>
        <rFont val="Arial Narrow"/>
        <family val="2"/>
      </rPr>
      <t>(</t>
    </r>
    <r>
      <rPr>
        <sz val="10"/>
        <rFont val="맑은 고딕"/>
        <family val="3"/>
        <charset val="129"/>
      </rPr>
      <t>연</t>
    </r>
    <r>
      <rPr>
        <sz val="10"/>
        <rFont val="Arial Narrow"/>
        <family val="2"/>
      </rPr>
      <t>)</t>
    </r>
    <phoneticPr fontId="72" type="noConversion"/>
  </si>
  <si>
    <t>회계감사/세무조정</t>
    <phoneticPr fontId="72" type="noConversion"/>
  </si>
  <si>
    <t>결산기</t>
    <phoneticPr fontId="3" type="noConversion"/>
  </si>
  <si>
    <t>분석기간 결손보전</t>
    <phoneticPr fontId="3" type="noConversion"/>
  </si>
  <si>
    <r>
      <rPr>
        <sz val="10"/>
        <rFont val="맑은 고딕"/>
        <family val="3"/>
        <charset val="129"/>
      </rPr>
      <t>자기자본</t>
    </r>
    <phoneticPr fontId="72" type="noConversion"/>
  </si>
  <si>
    <r>
      <rPr>
        <sz val="10"/>
        <rFont val="맑은 고딕"/>
        <family val="3"/>
        <charset val="129"/>
      </rPr>
      <t>지급시기</t>
    </r>
    <phoneticPr fontId="72" type="noConversion"/>
  </si>
  <si>
    <r>
      <rPr>
        <sz val="10"/>
        <rFont val="맑은 고딕"/>
        <family val="3"/>
        <charset val="129"/>
      </rPr>
      <t>기타일반관리비</t>
    </r>
    <phoneticPr fontId="72" type="noConversion"/>
  </si>
  <si>
    <t>분석기간 자본잉여금감액배당</t>
    <phoneticPr fontId="3" type="noConversion"/>
  </si>
  <si>
    <t>2종 종류주</t>
    <phoneticPr fontId="3" type="noConversion"/>
  </si>
  <si>
    <r>
      <rPr>
        <b/>
        <u/>
        <sz val="10"/>
        <rFont val="맑은 고딕"/>
        <family val="3"/>
        <charset val="129"/>
      </rPr>
      <t>부동산관리비</t>
    </r>
    <phoneticPr fontId="72" type="noConversion"/>
  </si>
  <si>
    <t>(원/평)</t>
    <phoneticPr fontId="72" type="noConversion"/>
  </si>
  <si>
    <t>보통주</t>
    <phoneticPr fontId="3" type="noConversion"/>
  </si>
  <si>
    <t>[건물 연면적]</t>
    <phoneticPr fontId="72" type="noConversion"/>
  </si>
  <si>
    <t>1년차월평단가</t>
    <phoneticPr fontId="72" type="noConversion"/>
  </si>
  <si>
    <t>1년차총액</t>
    <phoneticPr fontId="72" type="noConversion"/>
  </si>
  <si>
    <t>연상승률</t>
    <phoneticPr fontId="72" type="noConversion"/>
  </si>
  <si>
    <t>5,6기 예산</t>
    <phoneticPr fontId="72" type="noConversion"/>
  </si>
  <si>
    <t>최초단가</t>
    <phoneticPr fontId="72" type="noConversion"/>
  </si>
  <si>
    <t>'실제: 22.1.14</t>
    <phoneticPr fontId="72" type="noConversion"/>
  </si>
  <si>
    <t>* 유상증자</t>
    <phoneticPr fontId="3" type="noConversion"/>
  </si>
  <si>
    <t>&lt;조달시기 구분&gt;</t>
    <phoneticPr fontId="72" type="noConversion"/>
  </si>
  <si>
    <t>소계</t>
    <phoneticPr fontId="72" type="noConversion"/>
  </si>
  <si>
    <r>
      <t>FM</t>
    </r>
    <r>
      <rPr>
        <sz val="10"/>
        <rFont val="맑은 고딕"/>
        <family val="3"/>
        <charset val="129"/>
      </rPr>
      <t>수수료</t>
    </r>
    <r>
      <rPr>
        <sz val="10"/>
        <rFont val="Arial Narrow"/>
        <family val="2"/>
      </rPr>
      <t/>
    </r>
    <phoneticPr fontId="3" type="noConversion"/>
  </si>
  <si>
    <t>사업개시</t>
    <phoneticPr fontId="3" type="noConversion"/>
  </si>
  <si>
    <t>유상증자</t>
    <phoneticPr fontId="3" type="noConversion"/>
  </si>
  <si>
    <t>소계</t>
    <phoneticPr fontId="3" type="noConversion"/>
  </si>
  <si>
    <t>타인자본</t>
    <phoneticPr fontId="3" type="noConversion"/>
  </si>
  <si>
    <t>임대보증금</t>
    <phoneticPr fontId="72" type="noConversion"/>
  </si>
  <si>
    <t>rentroll</t>
    <phoneticPr fontId="3" type="noConversion"/>
  </si>
  <si>
    <t>수익시트</t>
    <phoneticPr fontId="3" type="noConversion"/>
  </si>
  <si>
    <t>&lt;공시지가 상승률 가정&gt;</t>
    <phoneticPr fontId="72" type="noConversion"/>
  </si>
  <si>
    <t>총액</t>
    <phoneticPr fontId="3" type="noConversion"/>
  </si>
  <si>
    <t>질권설정</t>
    <phoneticPr fontId="3" type="noConversion"/>
  </si>
  <si>
    <r>
      <rPr>
        <sz val="10"/>
        <rFont val="맑은 고딕"/>
        <family val="3"/>
        <charset val="129"/>
      </rPr>
      <t>부담금</t>
    </r>
    <phoneticPr fontId="72" type="noConversion"/>
  </si>
  <si>
    <t>장기차입금</t>
    <phoneticPr fontId="72" type="noConversion"/>
  </si>
  <si>
    <t>선순위(Tr-A)</t>
    <phoneticPr fontId="72" type="noConversion"/>
  </si>
  <si>
    <t>중순위(Tr-B)</t>
    <phoneticPr fontId="72" type="noConversion"/>
  </si>
  <si>
    <r>
      <rPr>
        <sz val="10"/>
        <rFont val="맑은 고딕"/>
        <family val="3"/>
        <charset val="129"/>
      </rPr>
      <t>교통유발부담금</t>
    </r>
    <phoneticPr fontId="72" type="noConversion"/>
  </si>
  <si>
    <t>차입금액 &lt;최초&gt;</t>
    <phoneticPr fontId="72" type="noConversion"/>
  </si>
  <si>
    <r>
      <rPr>
        <sz val="10"/>
        <rFont val="맑은 고딕"/>
        <family val="3"/>
        <charset val="129"/>
      </rPr>
      <t>도로점용료</t>
    </r>
    <phoneticPr fontId="72" type="noConversion"/>
  </si>
  <si>
    <t>&lt;1차&gt;</t>
    <phoneticPr fontId="72" type="noConversion"/>
  </si>
  <si>
    <t>보유세</t>
    <phoneticPr fontId="72" type="noConversion"/>
  </si>
  <si>
    <t>1. 분리과세</t>
    <phoneticPr fontId="3" type="noConversion"/>
  </si>
  <si>
    <t>&lt;2차&gt;</t>
    <phoneticPr fontId="72" type="noConversion"/>
  </si>
  <si>
    <t>2. 합산과세</t>
    <phoneticPr fontId="72" type="noConversion"/>
  </si>
  <si>
    <t>&lt;3차&gt;</t>
    <phoneticPr fontId="72" type="noConversion"/>
  </si>
  <si>
    <t>토지분 재산세</t>
    <phoneticPr fontId="72" type="noConversion"/>
  </si>
  <si>
    <t>이자지급주기</t>
    <phoneticPr fontId="72" type="noConversion"/>
  </si>
  <si>
    <t>&lt;1차기간 금리&gt;</t>
    <phoneticPr fontId="72" type="noConversion"/>
  </si>
  <si>
    <t>건물분 재산세</t>
    <phoneticPr fontId="72" type="noConversion"/>
  </si>
  <si>
    <t xml:space="preserve"> 고정금리1, 변동금리 2</t>
    <phoneticPr fontId="72" type="noConversion"/>
  </si>
  <si>
    <r>
      <rPr>
        <sz val="10"/>
        <rFont val="맑은 고딕"/>
        <family val="3"/>
        <charset val="129"/>
      </rPr>
      <t>감가상각비초과배당률</t>
    </r>
    <phoneticPr fontId="72" type="noConversion"/>
  </si>
  <si>
    <t>[분석기준일 기준 경과기간]</t>
    <phoneticPr fontId="3" type="noConversion"/>
  </si>
  <si>
    <t>[잔여 내용연수]</t>
    <phoneticPr fontId="3" type="noConversion"/>
  </si>
  <si>
    <t>실사비용-리파이낸싱</t>
    <phoneticPr fontId="72" type="noConversion"/>
  </si>
  <si>
    <t>대출수수료-리파이낸싱</t>
    <phoneticPr fontId="72" type="noConversion"/>
  </si>
  <si>
    <t>부동산 처분가정</t>
    <phoneticPr fontId="72" type="noConversion"/>
  </si>
  <si>
    <t>&lt;1차&gt;</t>
    <phoneticPr fontId="72" type="noConversion"/>
  </si>
  <si>
    <r>
      <rPr>
        <sz val="10"/>
        <rFont val="맑은 고딕"/>
        <family val="3"/>
        <charset val="129"/>
      </rPr>
      <t>매각가액</t>
    </r>
    <r>
      <rPr>
        <sz val="10"/>
        <rFont val="Arial Narrow"/>
        <family val="2"/>
      </rPr>
      <t xml:space="preserve"> </t>
    </r>
    <r>
      <rPr>
        <sz val="10"/>
        <rFont val="맑은 고딕"/>
        <family val="3"/>
        <charset val="129"/>
      </rPr>
      <t>가정</t>
    </r>
    <phoneticPr fontId="72" type="noConversion"/>
  </si>
  <si>
    <t>&lt;2차&gt;</t>
    <phoneticPr fontId="72" type="noConversion"/>
  </si>
  <si>
    <t>NOI기준 Cap. rate</t>
    <phoneticPr fontId="72" type="noConversion"/>
  </si>
  <si>
    <t>&lt;3차&gt;</t>
    <phoneticPr fontId="72" type="noConversion"/>
  </si>
  <si>
    <r>
      <rPr>
        <sz val="10"/>
        <rFont val="맑은 고딕"/>
        <family val="3"/>
        <charset val="129"/>
      </rPr>
      <t>취득가액처분시</t>
    </r>
    <r>
      <rPr>
        <sz val="10"/>
        <rFont val="Arial Narrow"/>
        <family val="2"/>
      </rPr>
      <t xml:space="preserve"> </t>
    </r>
    <r>
      <rPr>
        <sz val="10"/>
        <rFont val="맑은 고딕"/>
        <family val="3"/>
        <charset val="129"/>
      </rPr>
      <t>적용율</t>
    </r>
    <phoneticPr fontId="72" type="noConversion"/>
  </si>
  <si>
    <r>
      <rPr>
        <sz val="10"/>
        <rFont val="맑은 고딕"/>
        <family val="3"/>
        <charset val="129"/>
      </rPr>
      <t>특정매각가</t>
    </r>
    <phoneticPr fontId="72" type="noConversion"/>
  </si>
  <si>
    <t>매각금액</t>
    <phoneticPr fontId="72" type="noConversion"/>
  </si>
  <si>
    <t>초과수익</t>
    <phoneticPr fontId="72" type="noConversion"/>
  </si>
  <si>
    <t>&lt;선순위차입금 1차 리파이낸싱기간 분기별 이자율&gt;</t>
    <phoneticPr fontId="72" type="noConversion"/>
  </si>
  <si>
    <t>변동</t>
    <phoneticPr fontId="72" type="noConversion"/>
  </si>
  <si>
    <t>고정</t>
    <phoneticPr fontId="72" type="noConversion"/>
  </si>
  <si>
    <t>&lt;All-in&gt;</t>
    <phoneticPr fontId="72" type="noConversion"/>
  </si>
  <si>
    <t>&lt;AMC Note&gt;</t>
    <phoneticPr fontId="72" type="noConversion"/>
  </si>
  <si>
    <t>1년차 운영수익</t>
    <phoneticPr fontId="72" type="noConversion"/>
  </si>
  <si>
    <t>1년차 운영비용</t>
    <phoneticPr fontId="72" type="noConversion"/>
  </si>
  <si>
    <t>1년차 NOI</t>
    <phoneticPr fontId="72" type="noConversion"/>
  </si>
  <si>
    <t>a</t>
    <phoneticPr fontId="72" type="noConversion"/>
  </si>
  <si>
    <t>b</t>
    <phoneticPr fontId="72" type="noConversion"/>
  </si>
  <si>
    <t>&lt;참고자료&gt;</t>
    <phoneticPr fontId="72" type="noConversion"/>
  </si>
  <si>
    <t>취득원가</t>
    <phoneticPr fontId="72" type="noConversion"/>
  </si>
  <si>
    <t>전체면적</t>
    <phoneticPr fontId="72" type="noConversion"/>
  </si>
  <si>
    <t>토지-N동</t>
    <phoneticPr fontId="72" type="noConversion"/>
  </si>
  <si>
    <t>토지-S동</t>
    <phoneticPr fontId="72" type="noConversion"/>
  </si>
  <si>
    <t>3F~10F</t>
    <phoneticPr fontId="72" type="noConversion"/>
  </si>
  <si>
    <t>연면적-S동</t>
    <phoneticPr fontId="72" type="noConversion"/>
  </si>
  <si>
    <t>I. 일시상각</t>
    <phoneticPr fontId="3" type="noConversion"/>
  </si>
  <si>
    <t>II. 차입기간상각</t>
    <phoneticPr fontId="3" type="noConversion"/>
  </si>
  <si>
    <t>브릿지론(Tr-C)</t>
    <phoneticPr fontId="72" type="noConversion"/>
  </si>
  <si>
    <t>[기준금액 대비 LTV]</t>
    <phoneticPr fontId="72" type="noConversion"/>
  </si>
  <si>
    <t>만기</t>
    <phoneticPr fontId="72" type="noConversion"/>
  </si>
  <si>
    <t>종류주 [유상감자]</t>
    <phoneticPr fontId="72" type="noConversion"/>
  </si>
  <si>
    <t>2종 종류주</t>
    <phoneticPr fontId="3" type="noConversion"/>
  </si>
  <si>
    <t>[감자차손]</t>
    <phoneticPr fontId="3" type="noConversion"/>
  </si>
  <si>
    <t>자기자본 C.G포함 배당액 대사</t>
    <phoneticPr fontId="72" type="noConversion"/>
  </si>
  <si>
    <t>자기자본 C.G제외 배당액 대사</t>
    <phoneticPr fontId="72" type="noConversion"/>
  </si>
  <si>
    <t>장부가</t>
    <phoneticPr fontId="72" type="noConversion"/>
  </si>
  <si>
    <t>2종 종류주 C.G제외 배당액 대사</t>
    <phoneticPr fontId="72" type="noConversion"/>
  </si>
  <si>
    <t>보통주 C.G포함 배당액 대사</t>
    <phoneticPr fontId="72" type="noConversion"/>
  </si>
  <si>
    <t>A-1. 취득부대비용</t>
    <phoneticPr fontId="72" type="noConversion"/>
  </si>
  <si>
    <t>투자sheet check</t>
    <phoneticPr fontId="72" type="noConversion"/>
  </si>
  <si>
    <t>Capital Gain 대사 : Key vs CF(M)</t>
    <phoneticPr fontId="72" type="noConversion"/>
  </si>
  <si>
    <t>배당구분 확인</t>
    <phoneticPr fontId="72" type="noConversion"/>
  </si>
  <si>
    <r>
      <rPr>
        <sz val="10"/>
        <rFont val="맑은 고딕"/>
        <family val="3"/>
        <charset val="129"/>
      </rPr>
      <t>청산후</t>
    </r>
    <r>
      <rPr>
        <sz val="10"/>
        <rFont val="Arial Narrow"/>
        <family val="2"/>
      </rPr>
      <t xml:space="preserve"> RE</t>
    </r>
    <r>
      <rPr>
        <sz val="10"/>
        <rFont val="맑은 고딕"/>
        <family val="3"/>
        <charset val="129"/>
      </rPr>
      <t>발생여부</t>
    </r>
    <phoneticPr fontId="72" type="noConversion"/>
  </si>
  <si>
    <t>DATA vs 수익 합계 대사 : 보증금</t>
    <phoneticPr fontId="72" type="noConversion"/>
  </si>
  <si>
    <t>간주임대료부가세 발생액 vs 지급액</t>
    <phoneticPr fontId="72" type="noConversion"/>
  </si>
  <si>
    <r>
      <t xml:space="preserve">REIT </t>
    </r>
    <r>
      <rPr>
        <sz val="10"/>
        <rFont val="맑은 고딕"/>
        <family val="3"/>
        <charset val="129"/>
      </rPr>
      <t>운용수수료</t>
    </r>
    <r>
      <rPr>
        <sz val="10"/>
        <rFont val="Arial Narrow"/>
        <family val="2"/>
      </rPr>
      <t xml:space="preserve"> </t>
    </r>
    <r>
      <rPr>
        <sz val="10"/>
        <rFont val="맑은 고딕"/>
        <family val="3"/>
        <charset val="129"/>
      </rPr>
      <t>발생액</t>
    </r>
    <r>
      <rPr>
        <sz val="10"/>
        <rFont val="Arial Narrow"/>
        <family val="2"/>
      </rPr>
      <t xml:space="preserve"> vs </t>
    </r>
    <r>
      <rPr>
        <sz val="10"/>
        <rFont val="맑은 고딕"/>
        <family val="3"/>
        <charset val="129"/>
      </rPr>
      <t>지급액</t>
    </r>
    <r>
      <rPr>
        <sz val="10"/>
        <rFont val="Arial Narrow"/>
        <family val="2"/>
      </rPr>
      <t xml:space="preserve"> </t>
    </r>
    <phoneticPr fontId="72" type="noConversion"/>
  </si>
  <si>
    <t>수익자료 total check</t>
    <phoneticPr fontId="72" type="noConversion"/>
  </si>
  <si>
    <r>
      <rPr>
        <sz val="10"/>
        <rFont val="맑은 고딕"/>
        <family val="3"/>
        <charset val="129"/>
      </rPr>
      <t>청산배당체크</t>
    </r>
    <phoneticPr fontId="72" type="noConversion"/>
  </si>
  <si>
    <t>카카오</t>
  </si>
  <si>
    <t>바커케미칼코리아</t>
  </si>
  <si>
    <t>시높시스코리아</t>
  </si>
  <si>
    <t>N5F,S302</t>
  </si>
  <si>
    <t>부동산장부금액</t>
  </si>
  <si>
    <t>질권설정예금</t>
  </si>
  <si>
    <t>주식발행비용</t>
  </si>
  <si>
    <t>분석기간이전 준비금감소</t>
  </si>
  <si>
    <t>기초 이월결손금</t>
  </si>
  <si>
    <t>여유현금</t>
  </si>
  <si>
    <t>구분</t>
    <phoneticPr fontId="3" type="noConversion"/>
  </si>
  <si>
    <t>합계</t>
    <phoneticPr fontId="3" type="noConversion"/>
  </si>
  <si>
    <r>
      <rPr>
        <b/>
        <sz val="10"/>
        <rFont val="맑은 고딕"/>
        <family val="3"/>
        <charset val="129"/>
      </rPr>
      <t>영업수익</t>
    </r>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</si>
  <si>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</si>
  <si>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</si>
  <si>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</si>
  <si>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</si>
  <si>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</si>
  <si>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</si>
  <si>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</si>
  <si>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</si>
  <si>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r>
      <rPr>
        <b/>
        <sz val="10"/>
        <rFont val="맑은 고딕"/>
        <family val="3"/>
        <charset val="129"/>
      </rPr>
      <t>법인세차감전이익</t>
    </r>
    <phoneticPr fontId="3" type="noConversion"/>
  </si>
  <si>
    <r>
      <rPr>
        <sz val="10"/>
        <rFont val="맑은 고딕"/>
        <family val="3"/>
        <charset val="129"/>
      </rPr>
      <t>법인세비용</t>
    </r>
    <phoneticPr fontId="3" type="noConversion"/>
  </si>
  <si>
    <r>
      <rPr>
        <b/>
        <sz val="10"/>
        <rFont val="맑은 고딕"/>
        <family val="3"/>
        <charset val="129"/>
      </rPr>
      <t>당기순이익</t>
    </r>
    <phoneticPr fontId="3" type="noConversion"/>
  </si>
  <si>
    <r>
      <t>[</t>
    </r>
    <r>
      <rPr>
        <b/>
        <sz val="10"/>
        <rFont val="맑은 고딕"/>
        <family val="3"/>
        <charset val="129"/>
      </rPr>
      <t>법인세</t>
    </r>
    <r>
      <rPr>
        <b/>
        <sz val="10"/>
        <rFont val="Arial Narrow"/>
        <family val="2"/>
      </rPr>
      <t xml:space="preserve"> </t>
    </r>
    <r>
      <rPr>
        <b/>
        <sz val="10"/>
        <rFont val="맑은 고딕"/>
        <family val="3"/>
        <charset val="129"/>
      </rPr>
      <t>세부</t>
    </r>
    <r>
      <rPr>
        <b/>
        <sz val="10"/>
        <rFont val="Arial Narrow"/>
        <family val="2"/>
      </rPr>
      <t xml:space="preserve"> </t>
    </r>
    <r>
      <rPr>
        <b/>
        <sz val="10"/>
        <rFont val="맑은 고딕"/>
        <family val="3"/>
        <charset val="129"/>
      </rPr>
      <t>계산내역</t>
    </r>
    <r>
      <rPr>
        <b/>
        <sz val="10"/>
        <rFont val="Arial Narrow"/>
        <family val="2"/>
      </rPr>
      <t>]</t>
    </r>
    <phoneticPr fontId="3" type="noConversion"/>
  </si>
  <si>
    <r>
      <rPr>
        <sz val="10"/>
        <rFont val="맑은 고딕"/>
        <family val="3"/>
        <charset val="129"/>
      </rPr>
      <t>법인세차감전순이익</t>
    </r>
    <phoneticPr fontId="72" type="noConversion"/>
  </si>
  <si>
    <r>
      <rPr>
        <sz val="10"/>
        <rFont val="맑은 고딕"/>
        <family val="3"/>
        <charset val="129"/>
      </rPr>
      <t>익금산입</t>
    </r>
    <phoneticPr fontId="72" type="noConversion"/>
  </si>
  <si>
    <r>
      <rPr>
        <sz val="10"/>
        <rFont val="맑은 고딕"/>
        <family val="3"/>
        <charset val="129"/>
      </rPr>
      <t>손금산입</t>
    </r>
    <phoneticPr fontId="72" type="noConversion"/>
  </si>
  <si>
    <t>각사업연도소득금액</t>
    <phoneticPr fontId="72" type="noConversion"/>
  </si>
  <si>
    <t>A</t>
    <phoneticPr fontId="3" type="noConversion"/>
  </si>
  <si>
    <r>
      <rPr>
        <sz val="10"/>
        <rFont val="맑은 고딕"/>
        <family val="3"/>
        <charset val="129"/>
      </rPr>
      <t>이월결손금공제</t>
    </r>
    <phoneticPr fontId="72" type="noConversion"/>
  </si>
  <si>
    <r>
      <t>발생 후 30기</t>
    </r>
    <r>
      <rPr>
        <sz val="10"/>
        <rFont val="맑은 고딕"/>
        <family val="3"/>
        <charset val="129"/>
      </rPr>
      <t/>
    </r>
  </si>
  <si>
    <t>발생 후 15년</t>
    <phoneticPr fontId="72" type="noConversion"/>
  </si>
  <si>
    <r>
      <t>발생 후 29기</t>
    </r>
    <r>
      <rPr>
        <sz val="10"/>
        <rFont val="맑은 고딕"/>
        <family val="3"/>
        <charset val="129"/>
      </rPr>
      <t/>
    </r>
  </si>
  <si>
    <r>
      <t>발생 후 28기</t>
    </r>
    <r>
      <rPr>
        <sz val="10"/>
        <rFont val="맑은 고딕"/>
        <family val="3"/>
        <charset val="129"/>
      </rPr>
      <t/>
    </r>
  </si>
  <si>
    <t>발생 후 14년</t>
    <phoneticPr fontId="72" type="noConversion"/>
  </si>
  <si>
    <r>
      <t>발생 후 27기</t>
    </r>
    <r>
      <rPr>
        <sz val="10"/>
        <rFont val="맑은 고딕"/>
        <family val="3"/>
        <charset val="129"/>
      </rPr>
      <t/>
    </r>
  </si>
  <si>
    <r>
      <t>발생 후 26기</t>
    </r>
    <r>
      <rPr>
        <sz val="10"/>
        <rFont val="맑은 고딕"/>
        <family val="3"/>
        <charset val="129"/>
      </rPr>
      <t/>
    </r>
  </si>
  <si>
    <t>발생 후 13년</t>
    <phoneticPr fontId="72" type="noConversion"/>
  </si>
  <si>
    <r>
      <t>발생 후 25기</t>
    </r>
    <r>
      <rPr>
        <sz val="10"/>
        <rFont val="맑은 고딕"/>
        <family val="3"/>
        <charset val="129"/>
      </rPr>
      <t/>
    </r>
  </si>
  <si>
    <r>
      <t>발생 후 24기</t>
    </r>
    <r>
      <rPr>
        <sz val="10"/>
        <rFont val="맑은 고딕"/>
        <family val="3"/>
        <charset val="129"/>
      </rPr>
      <t/>
    </r>
  </si>
  <si>
    <t>발생 후 12년</t>
    <phoneticPr fontId="72" type="noConversion"/>
  </si>
  <si>
    <r>
      <t>발생 후 23기</t>
    </r>
    <r>
      <rPr>
        <sz val="10"/>
        <rFont val="맑은 고딕"/>
        <family val="3"/>
        <charset val="129"/>
      </rPr>
      <t/>
    </r>
  </si>
  <si>
    <r>
      <t>발생 후 22기</t>
    </r>
    <r>
      <rPr>
        <sz val="10"/>
        <rFont val="맑은 고딕"/>
        <family val="3"/>
        <charset val="129"/>
      </rPr>
      <t/>
    </r>
  </si>
  <si>
    <t>발생 후 11년</t>
    <phoneticPr fontId="72" type="noConversion"/>
  </si>
  <si>
    <r>
      <t>발생 후 21기</t>
    </r>
    <r>
      <rPr>
        <sz val="10"/>
        <rFont val="맑은 고딕"/>
        <family val="3"/>
        <charset val="129"/>
      </rPr>
      <t/>
    </r>
  </si>
  <si>
    <r>
      <t>발생 후 20기</t>
    </r>
    <r>
      <rPr>
        <sz val="10"/>
        <rFont val="맑은 고딕"/>
        <family val="3"/>
        <charset val="129"/>
      </rPr>
      <t/>
    </r>
  </si>
  <si>
    <t>발생 후 10년</t>
    <phoneticPr fontId="72" type="noConversion"/>
  </si>
  <si>
    <r>
      <t>발생 후 19기</t>
    </r>
    <r>
      <rPr>
        <sz val="10"/>
        <rFont val="맑은 고딕"/>
        <family val="3"/>
        <charset val="129"/>
      </rPr>
      <t/>
    </r>
  </si>
  <si>
    <t>발생 후 18기</t>
    <phoneticPr fontId="72" type="noConversion"/>
  </si>
  <si>
    <t>발생 후 9년</t>
    <phoneticPr fontId="72" type="noConversion"/>
  </si>
  <si>
    <t>발생 후 17기</t>
    <phoneticPr fontId="72" type="noConversion"/>
  </si>
  <si>
    <t>발생 후 9년</t>
    <phoneticPr fontId="72" type="noConversion"/>
  </si>
  <si>
    <t>발생 후 16기</t>
    <phoneticPr fontId="72" type="noConversion"/>
  </si>
  <si>
    <t>발생 후 8년</t>
    <phoneticPr fontId="72" type="noConversion"/>
  </si>
  <si>
    <t>발생 후 15기</t>
    <phoneticPr fontId="72" type="noConversion"/>
  </si>
  <si>
    <t>발생 후 14기</t>
    <phoneticPr fontId="72" type="noConversion"/>
  </si>
  <si>
    <t>발생 후 7년</t>
    <phoneticPr fontId="72" type="noConversion"/>
  </si>
  <si>
    <t>발생 후 13기</t>
    <phoneticPr fontId="72" type="noConversion"/>
  </si>
  <si>
    <t>발생 후 7년</t>
    <phoneticPr fontId="72" type="noConversion"/>
  </si>
  <si>
    <t>발생 후 12기</t>
    <phoneticPr fontId="72" type="noConversion"/>
  </si>
  <si>
    <t>발생 후 6년</t>
    <phoneticPr fontId="72" type="noConversion"/>
  </si>
  <si>
    <t>발생 후 11기</t>
    <phoneticPr fontId="72" type="noConversion"/>
  </si>
  <si>
    <t>발생 후 6년</t>
    <phoneticPr fontId="72" type="noConversion"/>
  </si>
  <si>
    <t>발생 후 10기</t>
    <phoneticPr fontId="72" type="noConversion"/>
  </si>
  <si>
    <t>발생 후 5년</t>
    <phoneticPr fontId="72" type="noConversion"/>
  </si>
  <si>
    <t>발생 후 9기</t>
    <phoneticPr fontId="72" type="noConversion"/>
  </si>
  <si>
    <t>발생 후 8기</t>
    <phoneticPr fontId="72" type="noConversion"/>
  </si>
  <si>
    <t>발생 후 4년</t>
    <phoneticPr fontId="72" type="noConversion"/>
  </si>
  <si>
    <t>발생 후 7기</t>
    <phoneticPr fontId="72" type="noConversion"/>
  </si>
  <si>
    <t>발생 후 6기</t>
    <phoneticPr fontId="72" type="noConversion"/>
  </si>
  <si>
    <t>발생 후 3년</t>
    <phoneticPr fontId="72" type="noConversion"/>
  </si>
  <si>
    <t>발생 후 5기</t>
    <phoneticPr fontId="72" type="noConversion"/>
  </si>
  <si>
    <t>발생 후 3년</t>
    <phoneticPr fontId="72" type="noConversion"/>
  </si>
  <si>
    <t>발생 후 4기</t>
    <phoneticPr fontId="72" type="noConversion"/>
  </si>
  <si>
    <t>발생 후 2년</t>
    <phoneticPr fontId="72" type="noConversion"/>
  </si>
  <si>
    <t>발생 후 3기</t>
    <phoneticPr fontId="72" type="noConversion"/>
  </si>
  <si>
    <t>발생 후 2기</t>
    <phoneticPr fontId="72" type="noConversion"/>
  </si>
  <si>
    <t>발생 후 1년</t>
    <phoneticPr fontId="72" type="noConversion"/>
  </si>
  <si>
    <t>발생 후 1기</t>
    <phoneticPr fontId="72" type="noConversion"/>
  </si>
  <si>
    <t>B</t>
    <phoneticPr fontId="3" type="noConversion"/>
  </si>
  <si>
    <t>결손금공제후 소득금액</t>
    <phoneticPr fontId="72" type="noConversion"/>
  </si>
  <si>
    <t>C=A+B</t>
    <phoneticPr fontId="3" type="noConversion"/>
  </si>
  <si>
    <r>
      <rPr>
        <sz val="10"/>
        <rFont val="맑은 고딕"/>
        <family val="3"/>
        <charset val="129"/>
      </rPr>
      <t>배당소득공제액</t>
    </r>
    <phoneticPr fontId="72" type="noConversion"/>
  </si>
  <si>
    <t>E</t>
    <phoneticPr fontId="3" type="noConversion"/>
  </si>
  <si>
    <t>당기 배당소득공제</t>
    <phoneticPr fontId="72" type="noConversion"/>
  </si>
  <si>
    <t>F=D-E</t>
    <phoneticPr fontId="3" type="noConversion"/>
  </si>
  <si>
    <t>차기이월 소득공제</t>
    <phoneticPr fontId="72" type="noConversion"/>
  </si>
  <si>
    <t>G=-F or C+H-F</t>
    <phoneticPr fontId="3" type="noConversion"/>
  </si>
  <si>
    <t>&lt;배당소득공제 이월공제&gt;</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</si>
  <si>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10</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</si>
  <si>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</si>
  <si>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9</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</si>
  <si>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</si>
  <si>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6</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</si>
  <si>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</si>
  <si>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</si>
  <si>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</si>
  <si>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</si>
  <si>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t>
    </r>
    <r>
      <rPr>
        <sz val="10"/>
        <rFont val="맑은 고딕"/>
        <family val="3"/>
        <charset val="129"/>
      </rPr>
      <t>년</t>
    </r>
    <phoneticPr fontId="72" type="noConversion"/>
  </si>
  <si>
    <r>
      <rPr>
        <sz val="10"/>
        <color indexed="10"/>
        <rFont val="맑은 고딕"/>
        <family val="3"/>
        <charset val="129"/>
      </rPr>
      <t>발생</t>
    </r>
    <r>
      <rPr>
        <sz val="10"/>
        <color indexed="10"/>
        <rFont val="Arial Narrow"/>
        <family val="2"/>
      </rPr>
      <t xml:space="preserve"> </t>
    </r>
    <r>
      <rPr>
        <sz val="10"/>
        <color indexed="10"/>
        <rFont val="맑은 고딕"/>
        <family val="3"/>
        <charset val="129"/>
      </rPr>
      <t>후</t>
    </r>
    <r>
      <rPr>
        <sz val="10"/>
        <color indexed="10"/>
        <rFont val="Arial Narrow"/>
        <family val="2"/>
      </rPr>
      <t xml:space="preserve"> 1</t>
    </r>
    <r>
      <rPr>
        <sz val="10"/>
        <color indexed="10"/>
        <rFont val="맑은 고딕"/>
        <family val="3"/>
        <charset val="129"/>
      </rPr>
      <t>년</t>
    </r>
    <phoneticPr fontId="72" type="noConversion"/>
  </si>
  <si>
    <t>H</t>
    <phoneticPr fontId="3" type="noConversion"/>
  </si>
  <si>
    <t>과세표준(6개월)</t>
    <phoneticPr fontId="72" type="noConversion"/>
  </si>
  <si>
    <t>I=C-H-F</t>
    <phoneticPr fontId="3" type="noConversion"/>
  </si>
  <si>
    <t>과세표준(12개월 환산)</t>
    <phoneticPr fontId="72" type="noConversion"/>
  </si>
  <si>
    <t xml:space="preserve">법인세산출세액(12개월환산)   </t>
    <phoneticPr fontId="72" type="noConversion"/>
  </si>
  <si>
    <t>법인세산출세액(6개월환산)</t>
    <phoneticPr fontId="72" type="noConversion"/>
  </si>
  <si>
    <r>
      <rPr>
        <sz val="10"/>
        <rFont val="맑은 고딕"/>
        <family val="3"/>
        <charset val="129"/>
      </rPr>
      <t>법인세부담액</t>
    </r>
    <phoneticPr fontId="72" type="noConversion"/>
  </si>
  <si>
    <r>
      <rPr>
        <sz val="10"/>
        <rFont val="맑은 고딕"/>
        <family val="3"/>
        <charset val="129"/>
      </rPr>
      <t>납부시기</t>
    </r>
    <phoneticPr fontId="72" type="noConversion"/>
  </si>
  <si>
    <t>운영수익</t>
    <phoneticPr fontId="3" type="noConversion"/>
  </si>
  <si>
    <t>[배당금수익 포함]</t>
    <phoneticPr fontId="3" type="noConversion"/>
  </si>
  <si>
    <t>운영비용</t>
    <phoneticPr fontId="3" type="noConversion"/>
  </si>
  <si>
    <t>운영이익 [현금기준]</t>
    <phoneticPr fontId="3" type="noConversion"/>
  </si>
  <si>
    <t>감가상각비</t>
    <phoneticPr fontId="3" type="noConversion"/>
  </si>
  <si>
    <t>운영이익 [회계상]</t>
    <phoneticPr fontId="3" type="noConversion"/>
  </si>
  <si>
    <t>NOI</t>
    <phoneticPr fontId="3" type="noConversion"/>
  </si>
  <si>
    <r>
      <rPr>
        <b/>
        <sz val="10"/>
        <rFont val="돋움"/>
        <family val="3"/>
        <charset val="129"/>
      </rPr>
      <t>영업수익</t>
    </r>
    <phoneticPr fontId="3" type="noConversion"/>
  </si>
  <si>
    <r>
      <rPr>
        <b/>
        <sz val="10"/>
        <rFont val="돋움"/>
        <family val="3"/>
        <charset val="129"/>
      </rPr>
      <t>영업비용</t>
    </r>
    <phoneticPr fontId="3" type="noConversion"/>
  </si>
  <si>
    <r>
      <rPr>
        <sz val="10"/>
        <rFont val="돋움"/>
        <family val="3"/>
        <charset val="129"/>
      </rPr>
      <t>빌딩비용</t>
    </r>
    <phoneticPr fontId="3" type="noConversion"/>
  </si>
  <si>
    <r>
      <rPr>
        <sz val="10"/>
        <rFont val="돋움"/>
        <family val="3"/>
        <charset val="129"/>
      </rPr>
      <t>리츠비용</t>
    </r>
    <phoneticPr fontId="3" type="noConversion"/>
  </si>
  <si>
    <r>
      <rPr>
        <b/>
        <sz val="10"/>
        <rFont val="돋움"/>
        <family val="3"/>
        <charset val="129"/>
      </rPr>
      <t>영업이익</t>
    </r>
    <phoneticPr fontId="3" type="noConversion"/>
  </si>
  <si>
    <r>
      <rPr>
        <b/>
        <sz val="10"/>
        <rFont val="돋움"/>
        <family val="3"/>
        <charset val="129"/>
      </rPr>
      <t>영업외수익</t>
    </r>
    <phoneticPr fontId="3" type="noConversion"/>
  </si>
  <si>
    <r>
      <rPr>
        <b/>
        <sz val="10"/>
        <rFont val="돋움"/>
        <family val="3"/>
        <charset val="129"/>
      </rPr>
      <t>영업외비용</t>
    </r>
    <phoneticPr fontId="3" type="noConversion"/>
  </si>
  <si>
    <r>
      <rPr>
        <b/>
        <sz val="10"/>
        <rFont val="돋움"/>
        <family val="3"/>
        <charset val="129"/>
      </rPr>
      <t>영업외손익</t>
    </r>
    <phoneticPr fontId="3" type="noConversion"/>
  </si>
  <si>
    <t>당기순이익</t>
    <phoneticPr fontId="3" type="noConversion"/>
  </si>
  <si>
    <t>운영기간</t>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</si>
  <si>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</si>
  <si>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</si>
  <si>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</si>
  <si>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임대중개수수료상각비</t>
    </r>
    <phoneticPr fontId="3" type="noConversion"/>
  </si>
  <si>
    <r>
      <rPr>
        <sz val="10"/>
        <rFont val="맑은 고딕"/>
        <family val="3"/>
        <charset val="129"/>
      </rPr>
      <t>이자수익</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</si>
  <si>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</si>
  <si>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sz val="10"/>
        <rFont val="맑은 고딕"/>
        <family val="3"/>
        <charset val="129"/>
      </rPr>
      <t>이자비용</t>
    </r>
    <r>
      <rPr>
        <sz val="10"/>
        <rFont val="Arial Narrow"/>
        <family val="2"/>
      </rPr>
      <t xml:space="preserve">_Tr-A </t>
    </r>
    <r>
      <rPr>
        <sz val="10"/>
        <rFont val="맑은 고딕"/>
        <family val="3"/>
        <charset val="129"/>
      </rPr>
      <t>대출수수료</t>
    </r>
    <phoneticPr fontId="3" type="noConversion"/>
  </si>
  <si>
    <r>
      <rPr>
        <sz val="10"/>
        <rFont val="맑은 고딕"/>
        <family val="3"/>
        <charset val="129"/>
      </rPr>
      <t>이자비용</t>
    </r>
    <r>
      <rPr>
        <sz val="10"/>
        <rFont val="Arial Narrow"/>
        <family val="2"/>
      </rPr>
      <t xml:space="preserve">_Tr-B </t>
    </r>
    <r>
      <rPr>
        <sz val="10"/>
        <rFont val="맑은 고딕"/>
        <family val="3"/>
        <charset val="129"/>
      </rPr>
      <t>대출수수료</t>
    </r>
    <phoneticPr fontId="3" type="noConversion"/>
  </si>
  <si>
    <r>
      <rPr>
        <b/>
        <sz val="10"/>
        <rFont val="맑은 고딕"/>
        <family val="3"/>
        <charset val="129"/>
      </rPr>
      <t>법인세차감전이익</t>
    </r>
    <phoneticPr fontId="3" type="noConversion"/>
  </si>
  <si>
    <r>
      <rPr>
        <b/>
        <sz val="10"/>
        <rFont val="맑은 고딕"/>
        <family val="3"/>
        <charset val="129"/>
      </rPr>
      <t>법인세비용</t>
    </r>
    <phoneticPr fontId="3" type="noConversion"/>
  </si>
  <si>
    <r>
      <rPr>
        <b/>
        <sz val="10"/>
        <rFont val="맑은 고딕"/>
        <family val="3"/>
        <charset val="129"/>
      </rPr>
      <t>당기순이익</t>
    </r>
    <phoneticPr fontId="3" type="noConversion"/>
  </si>
  <si>
    <t>운영비용 [임대중개수수료 제외]</t>
    <phoneticPr fontId="3" type="noConversion"/>
  </si>
  <si>
    <t>[1차 리파이낸싱]</t>
    <phoneticPr fontId="3" type="noConversion"/>
  </si>
  <si>
    <t>[1차 대환 종료]</t>
    <phoneticPr fontId="3" type="noConversion"/>
  </si>
  <si>
    <t>&lt;월별 DSCR&gt;</t>
    <phoneticPr fontId="3" type="noConversion"/>
  </si>
  <si>
    <t>월차지수</t>
    <phoneticPr fontId="3" type="noConversion"/>
  </si>
  <si>
    <t>분기지수</t>
    <phoneticPr fontId="3" type="noConversion"/>
  </si>
  <si>
    <t>중순위이자비용</t>
    <phoneticPr fontId="3" type="noConversion"/>
  </si>
  <si>
    <t>선순위</t>
    <phoneticPr fontId="3" type="noConversion"/>
  </si>
  <si>
    <t>월별 손익계산서</t>
    <phoneticPr fontId="3" type="noConversion"/>
  </si>
  <si>
    <t>연차지수</t>
    <phoneticPr fontId="3" type="noConversion"/>
  </si>
  <si>
    <t>구분</t>
    <phoneticPr fontId="3" type="noConversion"/>
  </si>
  <si>
    <t>[운영개시]</t>
    <phoneticPr fontId="3" type="noConversion"/>
  </si>
  <si>
    <t>합계</t>
    <phoneticPr fontId="3" type="noConversion"/>
  </si>
  <si>
    <r>
      <rPr>
        <b/>
        <sz val="10"/>
        <rFont val="맑은 고딕"/>
        <family val="3"/>
        <charset val="129"/>
      </rPr>
      <t>영업수익</t>
    </r>
    <phoneticPr fontId="3" type="noConversion"/>
  </si>
  <si>
    <t>지급수수료(공모비용 등)</t>
    <phoneticPr fontId="3" type="noConversion"/>
  </si>
  <si>
    <r>
      <t>지급수수료</t>
    </r>
    <r>
      <rPr>
        <sz val="10"/>
        <color theme="0" tint="-0.34998626667073579"/>
        <rFont val="Arial Narrow"/>
        <family val="2"/>
      </rPr>
      <t>(</t>
    </r>
    <r>
      <rPr>
        <sz val="10"/>
        <color theme="0" tint="-0.34998626667073579"/>
        <rFont val="맑은 고딕"/>
        <family val="3"/>
        <charset val="129"/>
      </rPr>
      <t>대환관련</t>
    </r>
    <r>
      <rPr>
        <sz val="10"/>
        <color theme="0" tint="-0.34998626667073579"/>
        <rFont val="Arial Narrow"/>
        <family val="2"/>
      </rPr>
      <t xml:space="preserve"> </t>
    </r>
    <r>
      <rPr>
        <sz val="10"/>
        <color theme="0" tint="-0.34998626667073579"/>
        <rFont val="맑은 고딕"/>
        <family val="3"/>
        <charset val="129"/>
      </rPr>
      <t>실사수수료</t>
    </r>
    <r>
      <rPr>
        <sz val="10"/>
        <color theme="0" tint="-0.34998626667073579"/>
        <rFont val="Arial Narrow"/>
        <family val="2"/>
      </rPr>
      <t>)</t>
    </r>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</si>
  <si>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</si>
  <si>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</si>
  <si>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</si>
  <si>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</si>
  <si>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</si>
  <si>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t>리츠운용수수료</t>
    <phoneticPr fontId="3" type="noConversion"/>
  </si>
  <si>
    <t>일반관리비</t>
    <phoneticPr fontId="3" type="noConversion"/>
  </si>
  <si>
    <t>부동산관리비</t>
    <phoneticPr fontId="3" type="noConversion"/>
  </si>
  <si>
    <t>소계</t>
    <phoneticPr fontId="3" type="noConversion"/>
  </si>
  <si>
    <t>순운영이익</t>
    <phoneticPr fontId="3" type="noConversion"/>
  </si>
  <si>
    <t>이자비용</t>
    <phoneticPr fontId="3" type="noConversion"/>
  </si>
  <si>
    <t>선순위이자비용</t>
    <phoneticPr fontId="3" type="noConversion"/>
  </si>
  <si>
    <t>중순위이자비용</t>
    <phoneticPr fontId="3" type="noConversion"/>
  </si>
  <si>
    <t>DSCR</t>
    <phoneticPr fontId="3" type="noConversion"/>
  </si>
  <si>
    <t>DSCR 선순위</t>
    <phoneticPr fontId="3" type="noConversion"/>
  </si>
  <si>
    <t>DSCR 중순위</t>
    <phoneticPr fontId="3" type="noConversion"/>
  </si>
  <si>
    <t>check</t>
    <phoneticPr fontId="3" type="noConversion"/>
  </si>
  <si>
    <t>&lt;분기별 DSCR&gt;</t>
    <phoneticPr fontId="3" type="noConversion"/>
  </si>
  <si>
    <t>분기말</t>
    <phoneticPr fontId="3" type="noConversion"/>
  </si>
  <si>
    <t>이자비용</t>
    <phoneticPr fontId="3" type="noConversion"/>
  </si>
  <si>
    <t>선순위이자비용</t>
    <phoneticPr fontId="3" type="noConversion"/>
  </si>
  <si>
    <t>DSCR</t>
    <phoneticPr fontId="3" type="noConversion"/>
  </si>
  <si>
    <t>DSCR 하한</t>
    <phoneticPr fontId="3" type="noConversion"/>
  </si>
  <si>
    <t>중순위</t>
    <phoneticPr fontId="3" type="noConversion"/>
  </si>
  <si>
    <t>Max DSCR</t>
    <phoneticPr fontId="3" type="noConversion"/>
  </si>
  <si>
    <t>선순위</t>
    <phoneticPr fontId="3" type="noConversion"/>
  </si>
  <si>
    <t>중순위</t>
    <phoneticPr fontId="3" type="noConversion"/>
  </si>
  <si>
    <t>Min DSCR</t>
    <phoneticPr fontId="3" type="noConversion"/>
  </si>
  <si>
    <t>선순위</t>
    <phoneticPr fontId="3" type="noConversion"/>
  </si>
  <si>
    <t>중순위</t>
    <phoneticPr fontId="3" type="noConversion"/>
  </si>
  <si>
    <t>최대자금부족</t>
    <phoneticPr fontId="3" type="noConversion"/>
  </si>
  <si>
    <t>Good job!!</t>
  </si>
  <si>
    <r>
      <rPr>
        <sz val="10"/>
        <rFont val="맑은 고딕"/>
        <family val="3"/>
        <charset val="129"/>
      </rPr>
      <t>임대보증금의</t>
    </r>
    <r>
      <rPr>
        <sz val="10"/>
        <rFont val="Arial Narrow"/>
        <family val="2"/>
      </rPr>
      <t xml:space="preserve"> </t>
    </r>
    <r>
      <rPr>
        <sz val="10"/>
        <rFont val="맑은 고딕"/>
        <family val="3"/>
        <charset val="129"/>
      </rPr>
      <t>유입</t>
    </r>
    <phoneticPr fontId="3" type="noConversion"/>
  </si>
  <si>
    <r>
      <rPr>
        <sz val="10"/>
        <rFont val="맑은 고딕"/>
        <family val="3"/>
        <charset val="129"/>
      </rPr>
      <t>현금유출</t>
    </r>
    <phoneticPr fontId="3" type="noConversion"/>
  </si>
  <si>
    <r>
      <rPr>
        <sz val="10"/>
        <color theme="0" tint="-0.34998626667073579"/>
        <rFont val="맑은 고딕"/>
        <family val="3"/>
        <charset val="129"/>
      </rPr>
      <t>단기차입금의</t>
    </r>
    <r>
      <rPr>
        <sz val="10"/>
        <color theme="0" tint="-0.34998626667073579"/>
        <rFont val="Arial Narrow"/>
        <family val="2"/>
      </rPr>
      <t xml:space="preserve"> </t>
    </r>
    <r>
      <rPr>
        <sz val="10"/>
        <color theme="0" tint="-0.34998626667073579"/>
        <rFont val="맑은 고딕"/>
        <family val="3"/>
        <charset val="129"/>
      </rPr>
      <t>상환</t>
    </r>
    <r>
      <rPr>
        <sz val="10"/>
        <color theme="0" tint="-0.34998626667073579"/>
        <rFont val="Arial Narrow"/>
        <family val="2"/>
      </rPr>
      <t>(</t>
    </r>
    <r>
      <rPr>
        <sz val="10"/>
        <color theme="0" tint="-0.34998626667073579"/>
        <rFont val="맑은 고딕"/>
        <family val="3"/>
        <charset val="129"/>
      </rPr>
      <t>현금부족</t>
    </r>
    <r>
      <rPr>
        <sz val="10"/>
        <color theme="0" tint="-0.34998626667073579"/>
        <rFont val="Arial Narrow"/>
        <family val="2"/>
      </rPr>
      <t>)</t>
    </r>
    <phoneticPr fontId="3" type="noConversion"/>
  </si>
  <si>
    <t>감자대금의 지급 [2종 종류주 납입원본]</t>
    <phoneticPr fontId="3" type="noConversion"/>
  </si>
  <si>
    <t>분석기간 최소현금</t>
    <phoneticPr fontId="3" type="noConversion"/>
  </si>
  <si>
    <r>
      <rPr>
        <sz val="10"/>
        <rFont val="맑은 고딕"/>
        <family val="3"/>
        <charset val="129"/>
      </rPr>
      <t>기초</t>
    </r>
    <phoneticPr fontId="3" type="noConversion"/>
  </si>
  <si>
    <r>
      <rPr>
        <sz val="10"/>
        <rFont val="맑은 고딕"/>
        <family val="3"/>
        <charset val="129"/>
      </rPr>
      <t>감소</t>
    </r>
    <phoneticPr fontId="3" type="noConversion"/>
  </si>
  <si>
    <r>
      <rPr>
        <sz val="10"/>
        <rFont val="맑은 고딕"/>
        <family val="3"/>
        <charset val="129"/>
      </rPr>
      <t>단기차입금이자비용</t>
    </r>
    <phoneticPr fontId="3" type="noConversion"/>
  </si>
  <si>
    <t>기초현금</t>
    <phoneticPr fontId="3" type="noConversion"/>
  </si>
  <si>
    <t>기초 질권설정예금</t>
    <phoneticPr fontId="3" type="noConversion"/>
  </si>
  <si>
    <t>Capital Gain 배당-1 [운영배당 부족분] 포함</t>
    <phoneticPr fontId="3" type="noConversion"/>
  </si>
  <si>
    <t>1종 종류주 IRR</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</si>
  <si>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</si>
  <si>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</si>
  <si>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분석기간이전 운영배당</t>
    <phoneticPr fontId="3" type="noConversion"/>
  </si>
  <si>
    <r>
      <t xml:space="preserve">Equity IRR - Capital Gain </t>
    </r>
    <r>
      <rPr>
        <b/>
        <sz val="10"/>
        <color theme="0" tint="-0.249977111117893"/>
        <rFont val="맑은 고딕"/>
        <family val="3"/>
        <charset val="129"/>
      </rPr>
      <t>포함</t>
    </r>
    <phoneticPr fontId="3" type="noConversion"/>
  </si>
  <si>
    <t>사업연도별 이익잉여금처분계산서</t>
    <phoneticPr fontId="72" type="noConversion"/>
  </si>
  <si>
    <r>
      <rPr>
        <b/>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</si>
  <si>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</si>
  <si>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기초결손금의 반영</t>
    <phoneticPr fontId="72" type="noConversion"/>
  </si>
  <si>
    <r>
      <rPr>
        <sz val="10"/>
        <rFont val="맑은 고딕"/>
        <family val="3"/>
        <charset val="129"/>
      </rPr>
      <t>당기순이익</t>
    </r>
    <phoneticPr fontId="72" type="noConversion"/>
  </si>
  <si>
    <t>자본잉여금의 이입</t>
    <phoneticPr fontId="72" type="noConversion"/>
  </si>
  <si>
    <r>
      <rPr>
        <b/>
        <sz val="10"/>
        <rFont val="맑은 고딕"/>
        <family val="3"/>
        <charset val="129"/>
      </rPr>
      <t>당기처분액</t>
    </r>
    <phoneticPr fontId="72" type="noConversion"/>
  </si>
  <si>
    <r>
      <rPr>
        <sz val="10"/>
        <color theme="0" tint="-0.34998626667073579"/>
        <rFont val="맑은 고딕"/>
        <family val="3"/>
        <charset val="129"/>
      </rPr>
      <t>주식할인발행차금상각</t>
    </r>
    <phoneticPr fontId="72" type="noConversion"/>
  </si>
  <si>
    <r>
      <rPr>
        <sz val="10"/>
        <rFont val="맑은 고딕"/>
        <family val="3"/>
        <charset val="129"/>
      </rPr>
      <t>현금배당</t>
    </r>
    <phoneticPr fontId="72" type="noConversion"/>
  </si>
  <si>
    <r>
      <rPr>
        <b/>
        <sz val="10"/>
        <rFont val="맑은 고딕"/>
        <family val="3"/>
        <charset val="129"/>
      </rPr>
      <t>차기이월이익잉여금</t>
    </r>
    <phoneticPr fontId="72" type="noConversion"/>
  </si>
  <si>
    <t>(*) 감자의제배당은 감자차손이므로 이익잉여금 처분이 아닌 자본잉여금 직접 감소 처리로 반영</t>
    <phoneticPr fontId="3" type="noConversion"/>
  </si>
  <si>
    <t>자본잉여금의 이입</t>
    <phoneticPr fontId="3" type="noConversion"/>
  </si>
  <si>
    <t>I. EBITDA</t>
    <phoneticPr fontId="72" type="noConversion"/>
  </si>
  <si>
    <t>운영이익</t>
    <phoneticPr fontId="72" type="noConversion"/>
  </si>
  <si>
    <t>감가상각비</t>
    <phoneticPr fontId="72" type="noConversion"/>
  </si>
  <si>
    <t>II. 지본잉여금 이입한도</t>
    <phoneticPr fontId="72" type="noConversion"/>
  </si>
  <si>
    <t>당월 준비금감소전 금액</t>
    <phoneticPr fontId="72" type="noConversion"/>
  </si>
  <si>
    <t>III. 자본잉여금 이입액</t>
    <phoneticPr fontId="3" type="noConversion"/>
  </si>
  <si>
    <t>1종 종류주 요구배당액 부족액 충당</t>
    <phoneticPr fontId="72" type="noConversion"/>
  </si>
  <si>
    <t>2종 종류주 요구배당액 부족액 충당</t>
    <phoneticPr fontId="72" type="noConversion"/>
  </si>
  <si>
    <t>보통주 요구배당액 부족액 충당</t>
    <phoneticPr fontId="72" type="noConversion"/>
  </si>
  <si>
    <t>최종 이입금액</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</si>
  <si>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</si>
  <si>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</si>
  <si>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r>
      <rPr>
        <sz val="10"/>
        <rFont val="맑은 고딕"/>
        <family val="3"/>
        <charset val="129"/>
      </rPr>
      <t>감가상각비초과배당</t>
    </r>
    <phoneticPr fontId="72" type="noConversion"/>
  </si>
  <si>
    <t>자본잉여금의 이입</t>
    <phoneticPr fontId="72" type="noConversion"/>
  </si>
  <si>
    <r>
      <rPr>
        <sz val="10"/>
        <rFont val="맑은 고딕"/>
        <family val="3"/>
        <charset val="129"/>
      </rPr>
      <t>당기처분액</t>
    </r>
    <phoneticPr fontId="72" type="noConversion"/>
  </si>
  <si>
    <r>
      <rPr>
        <sz val="10"/>
        <rFont val="맑은 고딕"/>
        <family val="3"/>
        <charset val="129"/>
      </rPr>
      <t>현금배당</t>
    </r>
    <phoneticPr fontId="72" type="noConversion"/>
  </si>
  <si>
    <r>
      <rPr>
        <sz val="10"/>
        <rFont val="맑은 고딕"/>
        <family val="3"/>
        <charset val="129"/>
      </rPr>
      <t>차기이월이익잉여금</t>
    </r>
    <phoneticPr fontId="72" type="noConversion"/>
  </si>
  <si>
    <r>
      <rPr>
        <sz val="10"/>
        <rFont val="맑은 고딕"/>
        <family val="3"/>
        <charset val="129"/>
      </rPr>
      <t>주할차상각처분일</t>
    </r>
    <phoneticPr fontId="72" type="noConversion"/>
  </si>
  <si>
    <r>
      <rPr>
        <b/>
        <sz val="10"/>
        <rFont val="맑은 고딕"/>
        <family val="3"/>
        <charset val="129"/>
      </rPr>
      <t>배당금의</t>
    </r>
    <r>
      <rPr>
        <b/>
        <sz val="10"/>
        <rFont val="Arial Narrow"/>
        <family val="2"/>
      </rPr>
      <t xml:space="preserve"> </t>
    </r>
    <r>
      <rPr>
        <b/>
        <sz val="10"/>
        <rFont val="맑은 고딕"/>
        <family val="3"/>
        <charset val="129"/>
      </rPr>
      <t>구분</t>
    </r>
    <phoneticPr fontId="3" type="noConversion"/>
  </si>
  <si>
    <t>회계상 운영이익배당</t>
    <phoneticPr fontId="3" type="noConversion"/>
  </si>
  <si>
    <t>회계상 처분이익배당</t>
    <phoneticPr fontId="3" type="noConversion"/>
  </si>
  <si>
    <t>(*) 감자의제배당은 감자차손이므로 이익잉여금 처분이 아닌 자본잉여금 직접 감소 처리로 반영</t>
    <phoneticPr fontId="3" type="noConversion"/>
  </si>
  <si>
    <t>1종 종류주 감자의제배당</t>
    <phoneticPr fontId="3" type="noConversion"/>
  </si>
  <si>
    <t>2종 종류주 감자의제배당</t>
    <phoneticPr fontId="3" type="noConversion"/>
  </si>
  <si>
    <t>1)</t>
    <phoneticPr fontId="3" type="noConversion"/>
  </si>
  <si>
    <t>운영배당금의 구분</t>
    <phoneticPr fontId="3" type="noConversion"/>
  </si>
  <si>
    <t xml:space="preserve"> (=회계상 운영이익배당)</t>
    <phoneticPr fontId="3" type="noConversion"/>
  </si>
  <si>
    <t>1종 종류주 당기 요구배당액</t>
    <phoneticPr fontId="3" type="noConversion"/>
  </si>
  <si>
    <t>1종 종류주 당기 요구배당액</t>
    <phoneticPr fontId="3" type="noConversion"/>
  </si>
  <si>
    <t>1종 종류주 운영배당</t>
    <phoneticPr fontId="3" type="noConversion"/>
  </si>
  <si>
    <t>2종 종류주 평균투하자본</t>
    <phoneticPr fontId="3" type="noConversion"/>
  </si>
  <si>
    <t>2종 종류주 요구배당률</t>
    <phoneticPr fontId="3" type="noConversion"/>
  </si>
  <si>
    <t>2종 종류주 누적 요구배당액</t>
    <phoneticPr fontId="3" type="noConversion"/>
  </si>
  <si>
    <t>2종 종류주 당기 요구배당액</t>
    <phoneticPr fontId="3" type="noConversion"/>
  </si>
  <si>
    <t>2종 종류주 운영배당</t>
    <phoneticPr fontId="3" type="noConversion"/>
  </si>
  <si>
    <t>보통주 요구배당률</t>
    <phoneticPr fontId="3" type="noConversion"/>
  </si>
  <si>
    <t>보통주 당기 요구배당액</t>
    <phoneticPr fontId="3" type="noConversion"/>
  </si>
  <si>
    <t>보통주 누적 요구배당액</t>
    <phoneticPr fontId="3" type="noConversion"/>
  </si>
  <si>
    <t>보통주 당기 요구배당액</t>
    <phoneticPr fontId="3" type="noConversion"/>
  </si>
  <si>
    <t>보통주 운영배당</t>
    <phoneticPr fontId="3" type="noConversion"/>
  </si>
  <si>
    <r>
      <rPr>
        <sz val="10"/>
        <rFont val="맑은 고딕"/>
        <family val="3"/>
        <charset val="129"/>
      </rPr>
      <t>배당금지급일</t>
    </r>
    <phoneticPr fontId="72" type="noConversion"/>
  </si>
  <si>
    <t>2)</t>
    <phoneticPr fontId="3" type="noConversion"/>
  </si>
  <si>
    <t>1종 종류주 운영배당 부족분 지급은 보통주 원본도 이용가능</t>
    <phoneticPr fontId="3" type="noConversion"/>
  </si>
  <si>
    <t>1종 종류주 C.G 배당 [운영배당 부족분]</t>
    <phoneticPr fontId="3" type="noConversion"/>
  </si>
  <si>
    <t>2종 운영배당 부족분 지급은 보통주 원본도 이용가능</t>
    <phoneticPr fontId="3" type="noConversion"/>
  </si>
  <si>
    <t>2종 종류주 C.G 배당 [운영배당 부족분]</t>
    <phoneticPr fontId="3" type="noConversion"/>
  </si>
  <si>
    <t>2종 종류주 납입자본</t>
    <phoneticPr fontId="72" type="noConversion"/>
  </si>
  <si>
    <t>보통주 납입자본</t>
    <phoneticPr fontId="72" type="noConversion"/>
  </si>
  <si>
    <t>잔여 Capital Gain</t>
    <phoneticPr fontId="72" type="noConversion"/>
  </si>
  <si>
    <t>1종 종류주 C.G 배당 [잔여분]</t>
    <phoneticPr fontId="3" type="noConversion"/>
  </si>
  <si>
    <t>보통주 C.G 배당 [잔여분]</t>
    <phoneticPr fontId="3" type="noConversion"/>
  </si>
  <si>
    <t>Check</t>
    <phoneticPr fontId="72" type="noConversion"/>
  </si>
  <si>
    <t>[운영이익 배당]</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</si>
  <si>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</si>
  <si>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</si>
  <si>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운영순이익</t>
    <phoneticPr fontId="72" type="noConversion"/>
  </si>
  <si>
    <r>
      <rPr>
        <sz val="10"/>
        <rFont val="맑은 고딕"/>
        <family val="3"/>
        <charset val="129"/>
      </rPr>
      <t>감가상각비초과배당</t>
    </r>
    <phoneticPr fontId="72" type="noConversion"/>
  </si>
  <si>
    <t>자본잉여금 이입</t>
    <phoneticPr fontId="3" type="noConversion"/>
  </si>
  <si>
    <r>
      <rPr>
        <sz val="10"/>
        <rFont val="맑은 고딕"/>
        <family val="3"/>
        <charset val="129"/>
      </rPr>
      <t>당기처분액</t>
    </r>
    <phoneticPr fontId="72" type="noConversion"/>
  </si>
  <si>
    <r>
      <rPr>
        <sz val="10"/>
        <rFont val="맑은 고딕"/>
        <family val="3"/>
        <charset val="129"/>
      </rPr>
      <t>주식할인발행차금상각</t>
    </r>
    <phoneticPr fontId="72" type="noConversion"/>
  </si>
  <si>
    <r>
      <rPr>
        <sz val="10"/>
        <rFont val="맑은 고딕"/>
        <family val="3"/>
        <charset val="129"/>
      </rPr>
      <t>차기이월이익잉여금</t>
    </r>
    <phoneticPr fontId="72" type="noConversion"/>
  </si>
  <si>
    <t>&lt;&lt; 240916 재무모델</t>
    <phoneticPr fontId="3" type="noConversion"/>
  </si>
  <si>
    <t>월별 현금흐름표</t>
    <phoneticPr fontId="3" type="noConversion"/>
  </si>
  <si>
    <t>연차지수</t>
    <phoneticPr fontId="3" type="noConversion"/>
  </si>
  <si>
    <t>[운영종료]</t>
    <phoneticPr fontId="3" type="noConversion"/>
  </si>
  <si>
    <r>
      <rPr>
        <sz val="10"/>
        <rFont val="맑은 고딕"/>
        <family val="3"/>
        <charset val="129"/>
      </rPr>
      <t>현금유입</t>
    </r>
    <phoneticPr fontId="3" type="noConversion"/>
  </si>
  <si>
    <r>
      <rPr>
        <sz val="10"/>
        <rFont val="맑은 고딕"/>
        <family val="3"/>
        <charset val="129"/>
      </rPr>
      <t>임대수익</t>
    </r>
    <phoneticPr fontId="3" type="noConversion"/>
  </si>
  <si>
    <t>보유세</t>
    <phoneticPr fontId="3" type="noConversion"/>
  </si>
  <si>
    <r>
      <rPr>
        <sz val="10"/>
        <rFont val="맑은 고딕"/>
        <family val="3"/>
        <charset val="129"/>
      </rPr>
      <t>간주임대료부가세</t>
    </r>
    <phoneticPr fontId="3" type="noConversion"/>
  </si>
  <si>
    <t>기초 LM수수료잔여분 포함</t>
    <phoneticPr fontId="3" type="noConversion"/>
  </si>
  <si>
    <t>Tenant Improvements</t>
    <phoneticPr fontId="3" type="noConversion"/>
  </si>
  <si>
    <r>
      <rPr>
        <sz val="10"/>
        <rFont val="맑은 고딕"/>
        <family val="3"/>
        <charset val="129"/>
      </rPr>
      <t>법인세납부액</t>
    </r>
    <phoneticPr fontId="3" type="noConversion"/>
  </si>
  <si>
    <t>부동산의 매각</t>
    <phoneticPr fontId="3" type="noConversion"/>
  </si>
  <si>
    <t>질권설정예금 인출</t>
    <phoneticPr fontId="3" type="noConversion"/>
  </si>
  <si>
    <t>기초 부동산장부금액</t>
    <phoneticPr fontId="3" type="noConversion"/>
  </si>
  <si>
    <r>
      <rPr>
        <sz val="10"/>
        <rFont val="맑은 고딕"/>
        <family val="3"/>
        <charset val="129"/>
      </rPr>
      <t>기중</t>
    </r>
    <r>
      <rPr>
        <sz val="10"/>
        <rFont val="Arial Narrow"/>
        <family val="2"/>
      </rPr>
      <t xml:space="preserve"> </t>
    </r>
    <r>
      <rPr>
        <sz val="10"/>
        <rFont val="맑은 고딕"/>
        <family val="3"/>
        <charset val="129"/>
      </rPr>
      <t>자본적지출</t>
    </r>
    <phoneticPr fontId="3" type="noConversion"/>
  </si>
  <si>
    <t>질권설정예금 적립</t>
    <phoneticPr fontId="3" type="noConversion"/>
  </si>
  <si>
    <r>
      <rPr>
        <sz val="10"/>
        <rFont val="맑은 고딕"/>
        <family val="3"/>
        <charset val="129"/>
      </rPr>
      <t>부가세납부</t>
    </r>
    <phoneticPr fontId="3" type="noConversion"/>
  </si>
  <si>
    <r>
      <rPr>
        <sz val="10"/>
        <rFont val="맑은 고딕"/>
        <family val="3"/>
        <charset val="129"/>
      </rPr>
      <t>현금유입</t>
    </r>
    <phoneticPr fontId="3" type="noConversion"/>
  </si>
  <si>
    <t>1종 종류주발행</t>
    <phoneticPr fontId="3" type="noConversion"/>
  </si>
  <si>
    <t>2종 종류주발행</t>
    <phoneticPr fontId="3" type="noConversion"/>
  </si>
  <si>
    <t>기초 미지급배당금</t>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</si>
  <si>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</si>
  <si>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</si>
  <si>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</si>
  <si>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t>VAT loan</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</si>
  <si>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단기차입금의</t>
    </r>
    <r>
      <rPr>
        <sz val="10"/>
        <rFont val="Arial Narrow"/>
        <family val="2"/>
      </rPr>
      <t xml:space="preserve"> </t>
    </r>
    <r>
      <rPr>
        <sz val="10"/>
        <rFont val="맑은 고딕"/>
        <family val="3"/>
        <charset val="129"/>
      </rPr>
      <t>차입</t>
    </r>
    <r>
      <rPr>
        <sz val="10"/>
        <rFont val="Arial Narrow"/>
        <family val="2"/>
      </rPr>
      <t>(</t>
    </r>
    <r>
      <rPr>
        <sz val="10"/>
        <rFont val="맑은 고딕"/>
        <family val="3"/>
        <charset val="129"/>
      </rPr>
      <t>현금부족</t>
    </r>
    <r>
      <rPr>
        <sz val="10"/>
        <rFont val="Arial Narrow"/>
        <family val="2"/>
      </rPr>
      <t>)</t>
    </r>
    <phoneticPr fontId="3" type="noConversion"/>
  </si>
  <si>
    <t>기초 주식발행비용</t>
    <phoneticPr fontId="3" type="noConversion"/>
  </si>
  <si>
    <t>기초 미지급배당금 지급</t>
    <phoneticPr fontId="3" type="noConversion"/>
  </si>
  <si>
    <t>분석기간이전 준비금 감소</t>
    <phoneticPr fontId="3" type="noConversion"/>
  </si>
  <si>
    <t>기초 이월결손금</t>
    <phoneticPr fontId="3" type="noConversion"/>
  </si>
  <si>
    <t>대출관련 수수료의 지급</t>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</si>
  <si>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상환</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</si>
  <si>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</si>
  <si>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감자대금의 지급 [1종 종류주 의제배당]</t>
    <phoneticPr fontId="3" type="noConversion"/>
  </si>
  <si>
    <t>잔여재산 분배</t>
    <phoneticPr fontId="3" type="noConversion"/>
  </si>
  <si>
    <r>
      <rPr>
        <sz val="10"/>
        <rFont val="맑은 고딕"/>
        <family val="3"/>
        <charset val="129"/>
      </rPr>
      <t>단기차입금</t>
    </r>
    <phoneticPr fontId="3" type="noConversion"/>
  </si>
  <si>
    <t>소계</t>
    <phoneticPr fontId="3" type="noConversion"/>
  </si>
  <si>
    <t>[연이자율]</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</si>
  <si>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</si>
  <si>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</si>
  <si>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납입자본 반환</t>
    <phoneticPr fontId="3" type="noConversion"/>
  </si>
  <si>
    <r>
      <rPr>
        <sz val="10"/>
        <rFont val="맑은 고딕"/>
        <family val="3"/>
        <charset val="129"/>
      </rPr>
      <t>합계</t>
    </r>
    <r>
      <rPr>
        <sz val="10"/>
        <rFont val="Arial Narrow"/>
        <family val="2"/>
      </rPr>
      <t xml:space="preserve"> (A)</t>
    </r>
    <phoneticPr fontId="3" type="noConversion"/>
  </si>
  <si>
    <t>Capital Gain-1, 2</t>
    <phoneticPr fontId="3" type="noConversion"/>
  </si>
  <si>
    <r>
      <t xml:space="preserve">Equity IRR - Capital Gain </t>
    </r>
    <r>
      <rPr>
        <b/>
        <sz val="10"/>
        <color theme="0"/>
        <rFont val="맑은 고딕"/>
        <family val="3"/>
        <charset val="129"/>
      </rPr>
      <t>제외</t>
    </r>
    <phoneticPr fontId="3" type="noConversion"/>
  </si>
  <si>
    <t>Capital Gain 배당-1 [운영배당 부족분] 포함</t>
    <phoneticPr fontId="3" type="noConversion"/>
  </si>
  <si>
    <t>Capital Gain (B)</t>
    <phoneticPr fontId="3" type="noConversion"/>
  </si>
  <si>
    <t xml:space="preserve"> 매각관련 수수료 제외</t>
    <phoneticPr fontId="3" type="noConversion"/>
  </si>
  <si>
    <t xml:space="preserve">  매각차익 제외</t>
    <phoneticPr fontId="3" type="noConversion"/>
  </si>
  <si>
    <t>확인완료</t>
    <phoneticPr fontId="3" type="noConversion"/>
  </si>
  <si>
    <t>보통주 배당 없는건지 확인 필요</t>
    <phoneticPr fontId="3" type="noConversion"/>
  </si>
  <si>
    <t>자본회수</t>
    <phoneticPr fontId="3" type="noConversion"/>
  </si>
  <si>
    <r>
      <rPr>
        <sz val="10"/>
        <rFont val="돋움"/>
        <family val="3"/>
        <charset val="129"/>
      </rPr>
      <t>전기판</t>
    </r>
    <r>
      <rPr>
        <sz val="10"/>
        <rFont val="Arial Narrow"/>
        <family val="2"/>
      </rPr>
      <t xml:space="preserve"> </t>
    </r>
    <r>
      <rPr>
        <sz val="10"/>
        <rFont val="돋움"/>
        <family val="3"/>
        <charset val="129"/>
      </rPr>
      <t>배당지급</t>
    </r>
    <r>
      <rPr>
        <sz val="10"/>
        <rFont val="Arial Narrow"/>
        <family val="2"/>
      </rPr>
      <t xml:space="preserve"> </t>
    </r>
    <r>
      <rPr>
        <sz val="10"/>
        <rFont val="돋움"/>
        <family val="3"/>
        <charset val="129"/>
      </rPr>
      <t>확인</t>
    </r>
    <r>
      <rPr>
        <sz val="10"/>
        <rFont val="Arial Narrow"/>
        <family val="2"/>
      </rPr>
      <t xml:space="preserve"> (</t>
    </r>
    <r>
      <rPr>
        <sz val="10"/>
        <rFont val="돋움"/>
        <family val="3"/>
        <charset val="129"/>
      </rPr>
      <t>검토용</t>
    </r>
    <r>
      <rPr>
        <sz val="10"/>
        <rFont val="Arial Narrow"/>
        <family val="2"/>
      </rPr>
      <t>)</t>
    </r>
    <phoneticPr fontId="3" type="noConversion"/>
  </si>
  <si>
    <t>O</t>
    <phoneticPr fontId="3" type="noConversion"/>
  </si>
  <si>
    <t>X</t>
    <phoneticPr fontId="3" type="noConversion"/>
  </si>
  <si>
    <t>1. 평가대상기업 법인세율</t>
    <phoneticPr fontId="3" type="noConversion"/>
  </si>
  <si>
    <t>2. 적용기업 선택</t>
    <phoneticPr fontId="3" type="noConversion"/>
  </si>
  <si>
    <t>평가대상기업 법인세율</t>
    <phoneticPr fontId="3" type="noConversion"/>
  </si>
  <si>
    <t>조회일</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</si>
  <si>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</si>
  <si>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</si>
  <si>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</si>
  <si>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</si>
  <si>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</si>
  <si>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</si>
  <si>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</si>
  <si>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</si>
  <si>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</si>
  <si>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</si>
  <si>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자기관리</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</si>
  <si>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</si>
  <si>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</si>
  <si>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</si>
  <si>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자기관리</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</si>
  <si>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</si>
  <si>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</si>
  <si>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</si>
  <si>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</si>
  <si>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</si>
  <si>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</si>
  <si>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</si>
  <si>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</si>
  <si>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</si>
  <si>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</si>
  <si>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</si>
  <si>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</si>
  <si>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</si>
  <si>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</si>
  <si>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</si>
  <si>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</si>
  <si>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</si>
  <si>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</si>
  <si>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</si>
  <si>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</si>
  <si>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</si>
  <si>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</si>
  <si>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</si>
  <si>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</si>
  <si>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</si>
  <si>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</si>
  <si>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</si>
  <si>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</si>
  <si>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</si>
  <si>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</si>
  <si>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</si>
  <si>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</si>
  <si>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</si>
  <si>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</si>
  <si>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</si>
  <si>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</si>
  <si>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</si>
  <si>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</si>
  <si>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오피스, 물류</t>
    <phoneticPr fontId="3" type="noConversion"/>
  </si>
  <si>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phoneticPr fontId="3" type="noConversion"/>
  </si>
  <si>
    <t>미래에셋글로벌리츠</t>
    <phoneticPr fontId="3" type="noConversion"/>
  </si>
  <si>
    <t>간접투자</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</si>
  <si>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</si>
  <si>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</si>
  <si>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</si>
  <si>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</si>
  <si>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</si>
  <si>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</si>
  <si>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- 3,725억
2. 용산 그랜드머큐어호텔 - 1,700억 
3. 나인트리 동대문 호텔 - 630억</t>
    <phoneticPr fontId="3" type="noConversion"/>
  </si>
  <si>
    <t>코람코더원리츠</t>
    <phoneticPr fontId="3" type="noConversion"/>
  </si>
  <si>
    <t>417310 KS Equity</t>
    <phoneticPr fontId="3" type="noConversion"/>
  </si>
  <si>
    <t>오피스</t>
    <phoneticPr fontId="3" type="noConversion"/>
  </si>
  <si>
    <t>24년 2월 기준 투자부동산 정보
1. 여의도 하나증권 빌딩 - 5,055억</t>
    <phoneticPr fontId="3" type="noConversion"/>
  </si>
  <si>
    <t>마스턴프리미어리츠</t>
    <phoneticPr fontId="3" type="noConversion"/>
  </si>
  <si>
    <t>357430 KS Equity</t>
    <phoneticPr fontId="3" type="noConversion"/>
  </si>
  <si>
    <t>오피스, 물류
(해외)</t>
    <phoneticPr fontId="3" type="noConversion"/>
  </si>
  <si>
    <t>24년 2월 기준 투자부동산 정보
1. 프랑스 Crystal Park 투자 수익증권(마스턴신탁) - 504억
2. 인천항동스마트물류센터 지분증권(코크렙52호리츠) - 412억
3. 프랑스 아마존 물류센터 지분증권(마스턴신탁) - 332억</t>
    <phoneticPr fontId="3" type="noConversion"/>
  </si>
  <si>
    <t>KB스타리츠</t>
    <phoneticPr fontId="3" type="noConversion"/>
  </si>
  <si>
    <t>432320 KS Equity</t>
    <phoneticPr fontId="3" type="noConversion"/>
  </si>
  <si>
    <t>간접투자</t>
    <phoneticPr fontId="3" type="noConversion"/>
  </si>
  <si>
    <t>오피스(해외)</t>
    <phoneticPr fontId="3" type="noConversion"/>
  </si>
  <si>
    <t>24년 1월 기준 투자부동산 정보
1. 벨기에 브뤼셀 North Galaxy Towers(자회사리츠보통주) - 4,293억
2. 영국 런던 Samsung Europe HQ(수익증권) - 502억</t>
    <phoneticPr fontId="3" type="noConversion"/>
  </si>
  <si>
    <t>한화리츠</t>
    <phoneticPr fontId="3" type="noConversion"/>
  </si>
  <si>
    <t>451800 KS Equity</t>
  </si>
  <si>
    <t>삼성FN리츠</t>
    <phoneticPr fontId="3" type="noConversion"/>
  </si>
  <si>
    <t>448730 KS Equity</t>
  </si>
  <si>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</si>
  <si>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</si>
  <si>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</si>
  <si>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</si>
  <si>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</si>
  <si>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</si>
  <si>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</si>
  <si>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</si>
  <si>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</si>
  <si>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</si>
  <si>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</si>
  <si>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</si>
  <si>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</si>
  <si>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</si>
  <si>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</si>
  <si>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</si>
  <si>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</si>
  <si>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</si>
  <si>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</si>
  <si>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_확정(7,8기 사업계획)</t>
    <phoneticPr fontId="3" type="noConversion"/>
  </si>
  <si>
    <t>NOI</t>
    <phoneticPr fontId="3" type="noConversion"/>
  </si>
  <si>
    <t>사업개시보증금</t>
    <phoneticPr fontId="3" type="noConversion"/>
  </si>
  <si>
    <r>
      <rPr>
        <sz val="10"/>
        <rFont val="돋움"/>
        <family val="3"/>
        <charset val="129"/>
      </rPr>
      <t>순투자금액</t>
    </r>
    <r>
      <rPr>
        <sz val="10"/>
        <rFont val="Arial Narrow"/>
        <family val="2"/>
      </rPr>
      <t>??</t>
    </r>
    <phoneticPr fontId="3" type="noConversion"/>
  </si>
  <si>
    <t>토지</t>
  </si>
  <si>
    <t>건물</t>
  </si>
  <si>
    <t>부동산장부금액</t>
    <phoneticPr fontId="3" type="noConversion"/>
  </si>
  <si>
    <t>취득원가</t>
    <phoneticPr fontId="3" type="noConversion"/>
  </si>
  <si>
    <t>감가상각누계</t>
    <phoneticPr fontId="3" type="noConversion"/>
  </si>
  <si>
    <t>NOI</t>
    <phoneticPr fontId="3" type="noConversion"/>
  </si>
  <si>
    <t>최승준대리</t>
    <phoneticPr fontId="3" type="noConversion"/>
  </si>
  <si>
    <t>Tel: +82-2-2020-7443 | Mobile : +82-10-6717-9197</t>
    <phoneticPr fontId="3" type="noConversion"/>
  </si>
  <si>
    <t xml:space="preserve">2409 MEMO 
대출 리파이낸싱으로 인한 대출이자비용 상승 -&gt; 임대료 상향조정 -&gt; NOI 추정 변경, 매각금액 상승 (재무모델 변경). 삼성증권에서는 가격 상승 인지하고 있음. 보통주도 배당 중간에 없는 것으로 인지함. </t>
    <phoneticPr fontId="3" type="noConversion"/>
  </si>
  <si>
    <t>연초생산안정화재단</t>
    <phoneticPr fontId="3" type="noConversion"/>
  </si>
  <si>
    <t xml:space="preserve">240930 수정_ 연초생산안정화재단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</si>
</sst>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1">
    <numFmt numFmtId="41" formatCode="_-* #,##0_-;\-* #,##0_-;_-* &quot;-&quot;_-;_-@_-"/>
    <numFmt numFmtId="43" formatCode="_-* #,##0.00_-;\-* #,##0.00_-;_-* &quot;-&quot;??_-;_-@_-"/>
    <numFmt numFmtId="176" formatCode="#,##0.00_ "/>
    <numFmt numFmtId="177" formatCode="General\ &quot;년&quot;"/>
    <numFmt numFmtId="178" formatCode="General\ &quot;기&quot;"/>
    <numFmt numFmtId="179" formatCode="yyyy/mm"/>
    <numFmt numFmtId="180" formatCode="_-* #,##0_-;[Red]\(#,##0\)_-;_-* &quot;-&quot;_-;_-@_-"/>
    <numFmt numFmtId="181" formatCode="_-* #,##0.00_-;\-* #,##0.00_-;_-* &quot;-&quot;_-;_-@_-"/>
    <numFmt numFmtId="182" formatCode="0.0%"/>
    <numFmt numFmtId="183" formatCode="#,##0_);[Red]\(#,##0\)"/>
    <numFmt numFmtId="184" formatCode="#,##0_);[Red]\(#,##0\);&quot;-  &quot;"/>
    <numFmt numFmtId="185" formatCode="General\ &quot;년차&quot;;\-* #,##0_-;_-* &quot;-&quot;_-;_-@_-"/>
    <numFmt numFmtId="186" formatCode="General&quot;기 이전&quot;"/>
    <numFmt numFmtId="187" formatCode="0.00%;\-0.00%;_-* &quot;-&quot;_-;_-@_-"/>
    <numFmt numFmtId="188" formatCode="General&quot;기 이후&quot;"/>
    <numFmt numFmtId="189" formatCode="#,##0&quot;개월 후&quot;"/>
    <numFmt numFmtId="190" formatCode="General\ &quot;백만원/월&quot;"/>
    <numFmt numFmtId="191" formatCode="_-* #,##0.0_-;\-* #,##0.0_-;_-* &quot;-&quot;??_-;_-@_-"/>
    <numFmt numFmtId="192" formatCode="General&quot;년&quot;"/>
    <numFmt numFmtId="193" formatCode="#,##0&quot;차연도&quot;"/>
    <numFmt numFmtId="194" formatCode="_-* #,##0_-;[Red]\(#,##0\);_-* &quot;-&quot;_-;_-@_-"/>
    <numFmt numFmtId="195" formatCode="0.0%;\-0.0%;_-* &quot;-&quot;_-;_-@_-"/>
    <numFmt numFmtId="196" formatCode="0.000%;\-0.000%;_-* &quot;-&quot;_-;_-@_-"/>
    <numFmt numFmtId="197" formatCode="0%;\-0%;_-* &quot;-&quot;_-;_-@_-"/>
    <numFmt numFmtId="198" formatCode="0.000%"/>
    <numFmt numFmtId="199" formatCode="_-* #,##0.0_-&quot;년&quot;;\-* #,##0.0_-;_-* &quot;-&quot;_-;_-@_-"/>
    <numFmt numFmtId="200" formatCode="0.000_);[Red]\(0.000\)"/>
    <numFmt numFmtId="201" formatCode="0.00_ "/>
    <numFmt numFmtId="202" formatCode="#,##0.000_ ;[Red]\-#,##0.000\ "/>
    <numFmt numFmtId="203" formatCode="#,##0.00_ ;[Red]\-#,##0.00\ "/>
    <numFmt numFmtId="204" formatCode="#,##0.000"/>
    <numFmt numFmtId="205" formatCode="#,##0.0000"/>
    <numFmt numFmtId="206" formatCode="_-* #,##0.000_-;\-* #,##0.000_-;_-* &quot;-&quot;_-;_-@_-"/>
    <numFmt numFmtId="207" formatCode="#,##0.000000000000_ "/>
    <numFmt numFmtId="208" formatCode="0.000"/>
    <numFmt numFmtId="209" formatCode="#,##0.00&quot;㎡&quot;"/>
    <numFmt numFmtId="210" formatCode="General&quot;개&quot;&quot;월&quot;"/>
    <numFmt numFmtId="211" formatCode="General&quot;기&quot;"/>
    <numFmt numFmtId="212" formatCode="#,##0&quot;백만원&quot;"/>
    <numFmt numFmtId="213" formatCode="_-* #,##0.00&quot;평&quot;;\-* #,##0.00_-;_-* &quot;-&quot;_-;_-@_-"/>
    <numFmt numFmtId="214" formatCode="mm&quot;월&quot;\ dd&quot;일&quot;"/>
    <numFmt numFmtId="215" formatCode="#,##0.0&quot;개월&quot;"/>
    <numFmt numFmtId="216" formatCode="_-* #,##0_-&quot;원&quot;;\-* #,##0_-;_-* &quot;-&quot;_-;_-@_-"/>
    <numFmt numFmtId="217" formatCode="&quot;(&quot;General&quot;개월)&quot;;[Red]\(#,##0\)_-;_-* &quot;-&quot;_-;_-@_-"/>
    <numFmt numFmtId="218" formatCode="0.00%;\-* #,##0.00_-;_-* &quot;-&quot;_-;_-@_-"/>
    <numFmt numFmtId="219" formatCode="General&quot;년&quot;&quot;차&quot;"/>
    <numFmt numFmtId="220" formatCode="&quot;매&quot;\ General&quot;개&quot;&quot;월&quot;"/>
    <numFmt numFmtId="221" formatCode="&quot;매년&quot;\ General&quot;월&quot;"/>
    <numFmt numFmtId="222" formatCode="#,##0&quot;개월&quot;"/>
    <numFmt numFmtId="223" formatCode="&quot;최초&quot;\ General&quot;개월&quot;"/>
    <numFmt numFmtId="224" formatCode="&quot;(&quot;General&quot;개월)&quot;;[Red]\(#,##0.0\)_-;_-* &quot;-&quot;_-;_-@_-"/>
    <numFmt numFmtId="225" formatCode="&quot;2기&quot;\ General&quot;개월&quot;"/>
    <numFmt numFmtId="226" formatCode="General\ &quot;월말&quot;"/>
    <numFmt numFmtId="227" formatCode="0.0%;\-* #,##0.0_-;_-* &quot;-&quot;_-;_-@_-"/>
    <numFmt numFmtId="228" formatCode="General\ &quot;차년&quot;"/>
    <numFmt numFmtId="229" formatCode="&quot;(New&quot;\ General&quot;)&quot;"/>
    <numFmt numFmtId="230" formatCode="yyyy/mm\ &quot;~&quot;\ \ \ "/>
    <numFmt numFmtId="231" formatCode="General\ &quot;차년 이후&quot;"/>
    <numFmt numFmtId="232" formatCode="#,##0&quot;평&quot;"/>
    <numFmt numFmtId="233" formatCode="&quot;1종[ 평당&quot;\ #,##0.00\ &quot;]&quot;_-;\-* #,##0.00_-;_-* &quot;-&quot;_-;_-@_-"/>
    <numFmt numFmtId="234" formatCode="&quot;[ 평당&quot;\ #,##0.00\ &quot;]&quot;_-;\-* #,##0.00_-;_-* &quot;-&quot;_-;_-@_-"/>
    <numFmt numFmtId="235" formatCode="General\ &quot;개월&quot;"/>
    <numFmt numFmtId="236" formatCode="0.0%;\-* #,##0_-;_-* &quot;-&quot;_-;_-@_-"/>
    <numFmt numFmtId="237" formatCode="&quot;각&quot;\ General&quot;개&quot;&quot;월&quot;"/>
    <numFmt numFmtId="238" formatCode="_-* #,##0.00_-&quot;평&quot;;\-* #,##0.00_-;_-* &quot;-&quot;_-;_-@_-"/>
    <numFmt numFmtId="239" formatCode="_-* #,##0_-;\-* #,##0_-;_-* &quot;-&quot;??_-;_-@_-"/>
    <numFmt numFmtId="240" formatCode="General&quot;개월 선급&quot;"/>
    <numFmt numFmtId="241" formatCode="General&quot;년 이전&quot;"/>
    <numFmt numFmtId="242" formatCode="0.0000%"/>
    <numFmt numFmtId="243" formatCode="&quot;~&quot;\ \ \ yyyy/mm"/>
    <numFmt numFmtId="244" formatCode="General&quot;개월 후급&quot;"/>
    <numFmt numFmtId="245" formatCode="yyyy/mm\ \ \ &quot;~&quot;\ \ \ "/>
    <numFmt numFmtId="246" formatCode="General&quot;년 이후&quot;"/>
    <numFmt numFmtId="247" formatCode="General&quot;년 평균&quot;"/>
    <numFmt numFmtId="248" formatCode="&quot;연&quot;\ 0.00%\ &quot;상승&quot;"/>
    <numFmt numFmtId="249" formatCode="_-* #,##0.0&quot;평&quot;;\-* #,##0.0_-;_-* &quot;-&quot;_-;_-@_-"/>
    <numFmt numFmtId="250" formatCode="&quot;Tr.A LTV : &quot;\ 0.00%"/>
    <numFmt numFmtId="251" formatCode="&quot;Tr.B LTV : &quot;\ 0.00%"/>
    <numFmt numFmtId="252" formatCode="_-* #,##0.00_-&quot;년&quot;;\-* #,##0.00_-;_-* &quot;-&quot;_-;_-@_-"/>
    <numFmt numFmtId="253" formatCode="0.00\ &quot;개월&quot;"/>
    <numFmt numFmtId="254" formatCode="0_ "/>
  </numFmts>
  <fonts count="28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sz val="8"/>
      <name val="맑은 고딕"/>
      <family val="2"/>
      <charset val="129"/>
      <scheme val="minor"/>
    </font>
    <font>
      <b/>
      <sz val="12"/>
      <color theme="1"/>
      <name val="맑은 고딕"/>
      <family val="3"/>
      <charset val="129"/>
    </font>
    <font>
      <b/>
      <sz val="11"/>
      <color theme="0"/>
      <name val="맑은 고딕"/>
      <family val="3"/>
      <charset val="129"/>
      <scheme val="minor"/>
    </font>
    <font>
      <b/>
      <sz val="11"/>
      <name val="맑은 고딕"/>
      <family val="3"/>
      <charset val="129"/>
      <scheme val="minor"/>
    </font>
    <font>
      <b/>
      <sz val="11"/>
      <color rgb="FFC00000"/>
      <name val="맑은 고딕"/>
      <family val="3"/>
      <charset val="129"/>
      <scheme val="minor"/>
    </font>
    <font>
      <b/>
      <sz val="11"/>
      <color rgb="FF3333CC"/>
      <name val="맑은 고딕"/>
      <family val="3"/>
      <charset val="129"/>
      <scheme val="minor"/>
    </font>
    <font>
      <b/>
      <i/>
      <sz val="11"/>
      <color theme="1"/>
      <name val="맑은 고딕"/>
      <family val="3"/>
      <charset val="129"/>
      <scheme val="minor"/>
    </font>
    <font>
      <b/>
      <sz val="11"/>
      <color rgb="FF000000"/>
      <name val="맑은 고딕"/>
      <family val="3"/>
      <charset val="129"/>
    </font>
    <font>
      <b/>
      <sz val="7"/>
      <color rgb="FF000000"/>
      <name val="Times New Roman"/>
      <family val="1"/>
    </font>
    <font>
      <b/>
      <sz val="11"/>
      <color rgb="FF3333CC"/>
      <name val="맑은 고딕"/>
      <family val="3"/>
      <charset val="129"/>
    </font>
    <font>
      <b/>
      <sz val="10"/>
      <color rgb="FF000000"/>
      <name val="맑은 고딕"/>
      <family val="3"/>
      <charset val="129"/>
    </font>
    <font>
      <sz val="11"/>
      <color rgb="FF3333CC"/>
      <name val="맑은 고딕"/>
      <family val="2"/>
      <charset val="129"/>
      <scheme val="minor"/>
    </font>
    <font>
      <b/>
      <sz val="10"/>
      <color rgb="FF3333CC"/>
      <name val="맑은 고딕"/>
      <family val="3"/>
      <charset val="129"/>
    </font>
    <font>
      <b/>
      <sz val="10"/>
      <color rgb="FFFF0000"/>
      <name val="맑은 고딕"/>
      <family val="3"/>
      <charset val="129"/>
    </font>
    <font>
      <b/>
      <vertAlign val="superscript"/>
      <sz val="11"/>
      <color rgb="FF000000"/>
      <name val="맑은 고딕"/>
      <family val="3"/>
      <charset val="129"/>
    </font>
    <font>
      <sz val="10"/>
      <color theme="1"/>
      <name val="맑은 고딕"/>
      <family val="2"/>
      <charset val="129"/>
      <scheme val="minor"/>
    </font>
    <font>
      <b/>
      <sz val="10"/>
      <color rgb="FFFF0000"/>
      <name val="맑은 고딕"/>
      <family val="3"/>
      <charset val="129"/>
      <scheme val="minor"/>
    </font>
    <font>
      <sz val="6"/>
      <color theme="1"/>
      <name val="맑은 고딕"/>
      <family val="3"/>
      <charset val="129"/>
    </font>
    <font>
      <b/>
      <sz val="10"/>
      <color theme="1"/>
      <name val="맑은 고딕"/>
      <family val="3"/>
      <charset val="129"/>
      <scheme val="minor"/>
    </font>
    <font>
      <sz val="10"/>
      <color theme="0" tint="-0.34998626667073579"/>
      <name val="맑은 고딕"/>
      <family val="3"/>
      <charset val="129"/>
    </font>
    <font>
      <sz val="10"/>
      <color theme="1"/>
      <name val="맑은 고딕"/>
      <family val="3"/>
      <charset val="129"/>
    </font>
    <font>
      <sz val="7"/>
      <color theme="0" tint="-0.34998626667073579"/>
      <name val="Times New Roman"/>
      <family val="1"/>
    </font>
    <font>
      <sz val="10"/>
      <color theme="0" tint="-0.34998626667073579"/>
      <name val="Times New Roman"/>
      <family val="1"/>
    </font>
    <font>
      <sz val="11"/>
      <color rgb="FF000000"/>
      <name val="맑은 고딕"/>
      <family val="3"/>
      <charset val="129"/>
    </font>
    <font>
      <sz val="10"/>
      <color rgb="FF000000"/>
      <name val="맑은 고딕"/>
      <family val="3"/>
      <charset val="129"/>
    </font>
    <font>
      <b/>
      <sz val="11"/>
      <color theme="1"/>
      <name val="맑은 고딕"/>
      <family val="3"/>
      <charset val="129"/>
      <scheme val="minor"/>
    </font>
    <font>
      <sz val="11"/>
      <name val="맑은 고딕"/>
      <family val="2"/>
      <charset val="129"/>
      <scheme val="minor"/>
    </font>
    <font>
      <b/>
      <sz val="11"/>
      <color rgb="FF000000"/>
      <name val="Times New Roman"/>
      <family val="1"/>
    </font>
    <font>
      <b/>
      <sz val="7"/>
      <color rgb="FF000000"/>
      <name val="맑은 고딕"/>
      <family val="3"/>
      <charset val="129"/>
    </font>
    <font>
      <sz val="18"/>
      <color theme="1"/>
      <name val="맑은 고딕"/>
      <family val="2"/>
      <charset val="129"/>
      <scheme val="minor"/>
    </font>
    <font>
      <b/>
      <sz val="9"/>
      <color theme="1"/>
      <name val="맑은 고딕"/>
      <family val="3"/>
      <charset val="129"/>
    </font>
    <font>
      <b/>
      <sz val="9"/>
      <color rgb="FF000000"/>
      <name val="맑은 고딕"/>
      <family val="3"/>
      <charset val="129"/>
    </font>
    <font>
      <sz val="9"/>
      <color rgb="FF000000"/>
      <name val="맑은 고딕"/>
      <family val="3"/>
      <charset val="129"/>
    </font>
    <font>
      <b/>
      <sz val="15"/>
      <color rgb="FFC00000"/>
      <name val="맑은 고딕"/>
      <family val="3"/>
      <charset val="129"/>
    </font>
    <font>
      <b/>
      <sz val="11"/>
      <color theme="1"/>
      <name val="맑은 고딕"/>
      <family val="3"/>
      <charset val="129"/>
    </font>
    <font>
      <sz val="8"/>
      <color rgb="FF000000"/>
      <name val="Wingdings"/>
      <charset val="2"/>
    </font>
    <font>
      <sz val="7"/>
      <color rgb="FF000000"/>
      <name val="Times New Roman"/>
      <family val="1"/>
    </font>
    <font>
      <b/>
      <sz val="12"/>
      <color rgb="FF000000"/>
      <name val="맑은 고딕"/>
      <family val="3"/>
      <charset val="129"/>
    </font>
    <font>
      <sz val="11"/>
      <color rgb="FFFF0000"/>
      <name val="맑은 고딕"/>
      <family val="3"/>
      <charset val="129"/>
      <scheme val="minor"/>
    </font>
    <font>
      <sz val="9"/>
      <color theme="1"/>
      <name val="맑은 고딕"/>
      <family val="3"/>
      <charset val="129"/>
    </font>
    <font>
      <sz val="12"/>
      <color theme="1"/>
      <name val="맑은 고딕"/>
      <family val="3"/>
      <charset val="129"/>
    </font>
    <font>
      <b/>
      <sz val="9"/>
      <color rgb="FFC00000"/>
      <name val="맑은 고딕"/>
      <family val="3"/>
      <charset val="129"/>
    </font>
    <font>
      <i/>
      <sz val="11"/>
      <color theme="1"/>
      <name val="맑은 고딕"/>
      <family val="3"/>
      <charset val="129"/>
      <scheme val="minor"/>
    </font>
    <font>
      <b/>
      <sz val="11"/>
      <color theme="0" tint="-0.34998626667073579"/>
      <name val="맑은 고딕"/>
      <family val="3"/>
      <charset val="129"/>
      <scheme val="minor"/>
    </font>
    <font>
      <sz val="11"/>
      <color theme="0" tint="-0.34998626667073579"/>
      <name val="맑은 고딕"/>
      <family val="3"/>
      <charset val="129"/>
      <scheme val="minor"/>
    </font>
    <font>
      <b/>
      <u/>
      <sz val="11"/>
      <color theme="0" tint="-0.34998626667073579"/>
      <name val="맑은 고딕"/>
      <family val="3"/>
      <charset val="129"/>
      <scheme val="minor"/>
    </font>
    <font>
      <b/>
      <sz val="11"/>
      <color rgb="FFFF0000"/>
      <name val="맑은 고딕"/>
      <family val="3"/>
      <charset val="129"/>
      <scheme val="minor"/>
    </font>
    <font>
      <b/>
      <u/>
      <sz val="11"/>
      <color theme="1"/>
      <name val="맑은 고딕"/>
      <family val="3"/>
      <charset val="129"/>
      <scheme val="minor"/>
    </font>
    <font>
      <b/>
      <sz val="12"/>
      <color theme="1"/>
      <name val="맑은 고딕"/>
      <family val="3"/>
      <charset val="129"/>
      <scheme val="minor"/>
    </font>
    <font>
      <sz val="11"/>
      <color theme="1"/>
      <name val="맑은 고딕"/>
      <family val="3"/>
      <charset val="129"/>
      <scheme val="minor"/>
    </font>
    <font>
      <b/>
      <sz val="8.5"/>
      <color rgb="FF000000"/>
      <name val="맑은 고딕"/>
      <family val="3"/>
      <charset val="129"/>
    </font>
    <font>
      <b/>
      <sz val="10"/>
      <color theme="1"/>
      <name val="맑은 고딕"/>
      <family val="3"/>
      <charset val="129"/>
    </font>
    <font>
      <b/>
      <sz val="9"/>
      <color indexed="81"/>
      <name val="돋움"/>
      <family val="3"/>
      <charset val="129"/>
    </font>
    <font>
      <b/>
      <sz val="9"/>
      <color indexed="81"/>
      <name val="Tahoma"/>
      <family val="2"/>
    </font>
    <font>
      <b/>
      <sz val="12"/>
      <color indexed="9"/>
      <name val="맑은 고딕"/>
      <family val="3"/>
      <charset val="129"/>
      <scheme val="minor"/>
    </font>
    <font>
      <b/>
      <sz val="10"/>
      <color indexed="9"/>
      <name val="맑은 고딕"/>
      <family val="3"/>
      <charset val="129"/>
      <scheme val="minor"/>
    </font>
    <font>
      <b/>
      <sz val="11"/>
      <color indexed="9"/>
      <name val="맑은 고딕"/>
      <family val="3"/>
      <charset val="129"/>
      <scheme val="minor"/>
    </font>
    <font>
      <b/>
      <sz val="10"/>
      <color theme="0" tint="-0.34998626667073579"/>
      <name val="맑은 고딕"/>
      <family val="3"/>
      <charset val="129"/>
      <scheme val="minor"/>
    </font>
    <font>
      <b/>
      <sz val="10"/>
      <name val="맑은 고딕"/>
      <family val="3"/>
      <charset val="129"/>
      <scheme val="minor"/>
    </font>
    <font>
      <sz val="10"/>
      <name val="Arial Narrow"/>
      <family val="2"/>
    </font>
    <font>
      <sz val="10"/>
      <color theme="0" tint="-0.249977111117893"/>
      <name val="Arial Narrow"/>
      <family val="2"/>
    </font>
    <font>
      <sz val="10"/>
      <name val="맑은 고딕"/>
      <family val="3"/>
      <charset val="129"/>
      <scheme val="minor"/>
    </font>
    <font>
      <b/>
      <sz val="10"/>
      <name val="Arial Narrow"/>
      <family val="2"/>
    </font>
    <font>
      <b/>
      <sz val="10"/>
      <name val="맑은 고딕"/>
      <family val="3"/>
      <charset val="129"/>
    </font>
    <font>
      <b/>
      <sz val="10"/>
      <color theme="0"/>
      <name val="Arial Narrow"/>
      <family val="2"/>
    </font>
    <font>
      <sz val="10"/>
      <name val="맑은 고딕"/>
      <family val="3"/>
      <charset val="129"/>
    </font>
    <font>
      <sz val="10"/>
      <color theme="0"/>
      <name val="Arial Narrow"/>
      <family val="2"/>
    </font>
    <font>
      <sz val="10"/>
      <name val="돋움"/>
      <family val="3"/>
      <charset val="129"/>
    </font>
    <font>
      <b/>
      <sz val="10"/>
      <color indexed="9"/>
      <name val="Arial Narrow"/>
      <family val="2"/>
    </font>
    <font>
      <sz val="8"/>
      <name val="돋움"/>
      <family val="3"/>
      <charset val="129"/>
    </font>
    <font>
      <sz val="11"/>
      <name val="돋움"/>
      <family val="3"/>
      <charset val="129"/>
    </font>
    <font>
      <b/>
      <sz val="10"/>
      <color indexed="10"/>
      <name val="Arial Narrow"/>
      <family val="2"/>
    </font>
    <font>
      <b/>
      <sz val="10"/>
      <color indexed="10"/>
      <name val="맑은 고딕"/>
      <family val="3"/>
      <charset val="129"/>
    </font>
    <font>
      <sz val="10"/>
      <color indexed="10"/>
      <name val="Arial Narrow"/>
      <family val="2"/>
    </font>
    <font>
      <sz val="10"/>
      <color indexed="10"/>
      <name val="맑은 고딕"/>
      <family val="3"/>
      <charset val="129"/>
    </font>
    <font>
      <i/>
      <sz val="10"/>
      <name val="Arial Narrow"/>
      <family val="2"/>
    </font>
    <font>
      <i/>
      <sz val="10"/>
      <name val="맑은 고딕"/>
      <family val="3"/>
      <charset val="129"/>
    </font>
    <font>
      <i/>
      <sz val="10"/>
      <name val="맑은 고딕"/>
      <family val="3"/>
      <charset val="129"/>
      <scheme val="minor"/>
    </font>
    <font>
      <b/>
      <i/>
      <sz val="10"/>
      <name val="Arial Narrow"/>
      <family val="2"/>
    </font>
    <font>
      <b/>
      <i/>
      <sz val="10"/>
      <color rgb="FFC00000"/>
      <name val="맑은 고딕"/>
      <family val="3"/>
      <charset val="129"/>
      <scheme val="minor"/>
    </font>
    <font>
      <i/>
      <u/>
      <sz val="10"/>
      <name val="맑은 고딕"/>
      <family val="3"/>
      <charset val="129"/>
      <scheme val="minor"/>
    </font>
    <font>
      <sz val="10"/>
      <color theme="1"/>
      <name val="맑은 고딕"/>
      <family val="3"/>
      <charset val="129"/>
      <scheme val="minor"/>
    </font>
    <font>
      <sz val="10"/>
      <color theme="1"/>
      <name val="Arial Narrow"/>
      <family val="2"/>
    </font>
    <font>
      <sz val="10"/>
      <color theme="0" tint="-0.34998626667073579"/>
      <name val="Arial Narrow"/>
      <family val="2"/>
    </font>
    <font>
      <sz val="10"/>
      <color theme="0" tint="-0.34998626667073579"/>
      <name val="맑은 고딕"/>
      <family val="3"/>
      <charset val="129"/>
      <scheme val="minor"/>
    </font>
    <font>
      <i/>
      <sz val="10"/>
      <name val="맑은 고딕"/>
      <family val="3"/>
      <charset val="129"/>
      <scheme val="major"/>
    </font>
    <font>
      <sz val="10"/>
      <color rgb="FFFF0000"/>
      <name val="Arial Narrow"/>
      <family val="2"/>
    </font>
    <font>
      <b/>
      <sz val="10"/>
      <color theme="1"/>
      <name val="Arial Narrow"/>
      <family val="2"/>
    </font>
    <font>
      <i/>
      <sz val="10"/>
      <color theme="0" tint="-0.34998626667073579"/>
      <name val="맑은 고딕"/>
      <family val="3"/>
      <charset val="129"/>
      <scheme val="minor"/>
    </font>
    <font>
      <i/>
      <sz val="10"/>
      <color theme="5" tint="-0.249977111117893"/>
      <name val="Arial Narrow"/>
      <family val="2"/>
    </font>
    <font>
      <sz val="10"/>
      <color rgb="FFFF0000"/>
      <name val="맑은 고딕"/>
      <family val="3"/>
      <charset val="129"/>
      <scheme val="minor"/>
    </font>
    <font>
      <sz val="10"/>
      <color rgb="FFC00000"/>
      <name val="Arial Narrow"/>
      <family val="2"/>
    </font>
    <font>
      <sz val="10"/>
      <color rgb="FF0000FF"/>
      <name val="맑은 고딕"/>
      <family val="3"/>
      <charset val="129"/>
      <scheme val="minor"/>
    </font>
    <font>
      <sz val="10"/>
      <color theme="0" tint="-0.499984740745262"/>
      <name val="맑은 고딕"/>
      <family val="3"/>
      <charset val="129"/>
      <scheme val="minor"/>
    </font>
    <font>
      <sz val="10"/>
      <color theme="0" tint="-0.249977111117893"/>
      <name val="맑은 고딕"/>
      <family val="3"/>
      <charset val="129"/>
      <scheme val="minor"/>
    </font>
    <font>
      <i/>
      <sz val="10"/>
      <color theme="0" tint="-0.499984740745262"/>
      <name val="Arial Narrow"/>
      <family val="2"/>
    </font>
    <font>
      <i/>
      <sz val="10"/>
      <color rgb="FFC00000"/>
      <name val="맑은 고딕"/>
      <family val="3"/>
      <charset val="129"/>
      <scheme val="minor"/>
    </font>
    <font>
      <b/>
      <sz val="10"/>
      <color theme="0" tint="-0.249977111117893"/>
      <name val="Arial Narrow"/>
      <family val="2"/>
    </font>
    <font>
      <b/>
      <i/>
      <sz val="10"/>
      <color theme="0" tint="-0.34998626667073579"/>
      <name val="맑은 고딕"/>
      <family val="3"/>
      <charset val="129"/>
      <scheme val="minor"/>
    </font>
    <font>
      <sz val="10"/>
      <color theme="0" tint="-0.499984740745262"/>
      <name val="Arial Narrow"/>
      <family val="2"/>
    </font>
    <font>
      <b/>
      <i/>
      <sz val="10"/>
      <name val="맑은 고딕"/>
      <family val="3"/>
      <charset val="129"/>
      <scheme val="minor"/>
    </font>
    <font>
      <sz val="10"/>
      <name val="Arial"/>
      <family val="2"/>
    </font>
    <font>
      <sz val="10"/>
      <color theme="0" tint="-0.499984740745262"/>
      <name val="맑은 고딕"/>
      <family val="3"/>
      <charset val="129"/>
      <scheme val="major"/>
    </font>
    <font>
      <i/>
      <sz val="10"/>
      <color theme="5" tint="-0.249977111117893"/>
      <name val="맑은 고딕"/>
      <family val="3"/>
      <charset val="129"/>
      <scheme val="minor"/>
    </font>
    <font>
      <sz val="10"/>
      <color theme="9" tint="-0.499984740745262"/>
      <name val="Arial Narrow"/>
      <family val="2"/>
    </font>
    <font>
      <sz val="10"/>
      <color theme="9" tint="-0.499984740745262"/>
      <name val="맑은 고딕"/>
      <family val="3"/>
      <charset val="129"/>
      <scheme val="minor"/>
    </font>
    <font>
      <sz val="10"/>
      <color theme="5" tint="-0.249977111117893"/>
      <name val="Arial Narrow"/>
      <family val="2"/>
    </font>
    <font>
      <i/>
      <sz val="10"/>
      <color rgb="FFFF0000"/>
      <name val="Arial Narrow"/>
      <family val="2"/>
    </font>
    <font>
      <sz val="10"/>
      <color theme="5" tint="-0.249977111117893"/>
      <name val="맑은 고딕"/>
      <family val="3"/>
      <charset val="129"/>
      <scheme val="minor"/>
    </font>
    <font>
      <sz val="10"/>
      <color theme="1" tint="0.499984740745262"/>
      <name val="Arial Narrow"/>
      <family val="2"/>
    </font>
    <font>
      <u/>
      <sz val="10"/>
      <color rgb="FFFF0000"/>
      <name val="맑은 고딕"/>
      <family val="3"/>
      <charset val="129"/>
      <scheme val="minor"/>
    </font>
    <font>
      <u/>
      <sz val="10"/>
      <name val="맑은 고딕"/>
      <family val="3"/>
      <charset val="129"/>
      <scheme val="minor"/>
    </font>
    <font>
      <i/>
      <sz val="10"/>
      <color theme="1" tint="0.499984740745262"/>
      <name val="Arial Narrow"/>
      <family val="2"/>
    </font>
    <font>
      <sz val="10"/>
      <color rgb="FFC00000"/>
      <name val="맑은 고딕"/>
      <family val="3"/>
      <charset val="129"/>
      <scheme val="minor"/>
    </font>
    <font>
      <i/>
      <sz val="10"/>
      <color theme="0" tint="-0.249977111117893"/>
      <name val="Arial Narrow"/>
      <family val="2"/>
    </font>
    <font>
      <sz val="10"/>
      <color indexed="55"/>
      <name val="Arial Narrow"/>
      <family val="2"/>
    </font>
    <font>
      <sz val="12"/>
      <color theme="1"/>
      <name val="Times New Roman"/>
      <family val="1"/>
    </font>
    <font>
      <sz val="10"/>
      <color rgb="FF0000FF"/>
      <name val="Arial Narrow"/>
      <family val="2"/>
    </font>
    <font>
      <i/>
      <u/>
      <sz val="10"/>
      <color rgb="FFC00000"/>
      <name val="맑은 고딕"/>
      <family val="3"/>
      <charset val="129"/>
    </font>
    <font>
      <b/>
      <i/>
      <sz val="10"/>
      <color rgb="FF0000FF"/>
      <name val="Arial Narrow"/>
      <family val="2"/>
    </font>
    <font>
      <sz val="10"/>
      <color indexed="19"/>
      <name val="Arial Narrow"/>
      <family val="2"/>
    </font>
    <font>
      <sz val="10"/>
      <color indexed="23"/>
      <name val="Arial Narrow"/>
      <family val="2"/>
    </font>
    <font>
      <sz val="10"/>
      <color indexed="22"/>
      <name val="Arial Narrow"/>
      <family val="2"/>
    </font>
    <font>
      <sz val="10"/>
      <color indexed="22"/>
      <name val="맑은 고딕"/>
      <family val="3"/>
      <charset val="129"/>
      <scheme val="minor"/>
    </font>
    <font>
      <sz val="10"/>
      <color indexed="23"/>
      <name val="맑은 고딕"/>
      <family val="3"/>
      <charset val="129"/>
      <scheme val="minor"/>
    </font>
    <font>
      <sz val="10"/>
      <color indexed="10"/>
      <name val="맑은 고딕"/>
      <family val="3"/>
      <charset val="129"/>
      <scheme val="minor"/>
    </font>
    <font>
      <sz val="10"/>
      <color indexed="12"/>
      <name val="Arial Narrow"/>
      <family val="2"/>
    </font>
    <font>
      <sz val="9"/>
      <name val="맑은 고딕"/>
      <family val="3"/>
      <charset val="129"/>
      <scheme val="minor"/>
    </font>
    <font>
      <b/>
      <sz val="9"/>
      <name val="맑은 고딕"/>
      <family val="3"/>
      <charset val="129"/>
      <scheme val="minor"/>
    </font>
    <font>
      <b/>
      <sz val="10"/>
      <color theme="0"/>
      <name val="맑은 고딕"/>
      <family val="3"/>
      <charset val="129"/>
      <scheme val="minor"/>
    </font>
    <font>
      <b/>
      <sz val="10"/>
      <color theme="0" tint="-0.34998626667073579"/>
      <name val="Arial Narrow"/>
      <family val="2"/>
    </font>
    <font>
      <b/>
      <sz val="9"/>
      <color rgb="FFFF0000"/>
      <name val="맑은 고딕"/>
      <family val="3"/>
      <charset val="129"/>
      <scheme val="minor"/>
    </font>
    <font>
      <b/>
      <sz val="9"/>
      <color theme="3"/>
      <name val="맑은 고딕"/>
      <family val="3"/>
      <charset val="129"/>
      <scheme val="minor"/>
    </font>
    <font>
      <sz val="9"/>
      <color theme="1"/>
      <name val="맑은 고딕"/>
      <family val="2"/>
      <charset val="129"/>
      <scheme val="minor"/>
    </font>
    <font>
      <sz val="9"/>
      <color theme="1"/>
      <name val="맑은 고딕"/>
      <family val="3"/>
      <charset val="129"/>
      <scheme val="minor"/>
    </font>
    <font>
      <sz val="8"/>
      <color theme="1"/>
      <name val="맑은 고딕"/>
      <family val="3"/>
      <charset val="129"/>
      <scheme val="minor"/>
    </font>
    <font>
      <b/>
      <sz val="10"/>
      <color rgb="FF3333CC"/>
      <name val="맑은 고딕"/>
      <family val="3"/>
      <charset val="129"/>
      <scheme val="minor"/>
    </font>
    <font>
      <sz val="9"/>
      <color rgb="FFFF0000"/>
      <name val="맑은 고딕"/>
      <family val="2"/>
      <charset val="129"/>
      <scheme val="minor"/>
    </font>
    <font>
      <b/>
      <sz val="9"/>
      <color rgb="FFFF0000"/>
      <name val="맑은 고딕"/>
      <family val="3"/>
      <charset val="129"/>
    </font>
    <font>
      <b/>
      <sz val="9"/>
      <color theme="1"/>
      <name val="맑은 고딕"/>
      <family val="3"/>
      <charset val="129"/>
      <scheme val="minor"/>
    </font>
    <font>
      <u/>
      <sz val="11"/>
      <color theme="10"/>
      <name val="맑은 고딕"/>
      <family val="2"/>
      <charset val="129"/>
      <scheme val="minor"/>
    </font>
    <font>
      <b/>
      <sz val="9"/>
      <color theme="1"/>
      <name val="돋움"/>
      <family val="3"/>
      <charset val="129"/>
    </font>
    <font>
      <b/>
      <sz val="9"/>
      <color theme="1"/>
      <name val="Mgb"/>
      <family val="2"/>
    </font>
    <font>
      <sz val="9"/>
      <color theme="1"/>
      <name val="Arial"/>
      <family val="2"/>
    </font>
    <font>
      <sz val="9"/>
      <color theme="1"/>
      <name val="돋움"/>
      <family val="3"/>
      <charset val="129"/>
    </font>
    <font>
      <sz val="9"/>
      <color rgb="FF4D4D4D"/>
      <name val="나눔고딕"/>
      <family val="3"/>
      <charset val="129"/>
    </font>
    <font>
      <sz val="9"/>
      <color rgb="FFFF0000"/>
      <name val="Arial"/>
      <family val="2"/>
    </font>
    <font>
      <sz val="9"/>
      <color rgb="FFFF0000"/>
      <name val="돋움"/>
      <family val="3"/>
      <charset val="129"/>
    </font>
    <font>
      <b/>
      <sz val="8"/>
      <name val="맑은 고딕"/>
      <family val="3"/>
      <charset val="129"/>
      <scheme val="minor"/>
    </font>
    <font>
      <vertAlign val="subscript"/>
      <sz val="9"/>
      <color rgb="FF000000"/>
      <name val="맑은 고딕"/>
      <family val="3"/>
      <charset val="129"/>
    </font>
    <font>
      <sz val="9"/>
      <color rgb="FFFF0000"/>
      <name val="맑은 고딕"/>
      <family val="3"/>
      <charset val="129"/>
    </font>
    <font>
      <b/>
      <sz val="9"/>
      <color rgb="FFFF0000"/>
      <name val="맑은 고딕"/>
      <family val="2"/>
      <charset val="129"/>
      <scheme val="minor"/>
    </font>
    <font>
      <sz val="8"/>
      <name val="Tahoma"/>
      <family val="2"/>
    </font>
    <font>
      <i/>
      <sz val="10"/>
      <color theme="0" tint="-0.34998626667073579"/>
      <name val="Arial Narrow"/>
      <family val="2"/>
    </font>
    <font>
      <b/>
      <sz val="10"/>
      <color theme="0" tint="-0.249977111117893"/>
      <name val="맑은 고딕"/>
      <family val="3"/>
      <charset val="129"/>
      <scheme val="minor"/>
    </font>
    <font>
      <b/>
      <i/>
      <sz val="10"/>
      <name val="맑은 고딕"/>
      <family val="3"/>
      <charset val="129"/>
    </font>
    <font>
      <sz val="11"/>
      <color theme="1"/>
      <name val="맑은 고딕"/>
      <family val="2"/>
      <scheme val="minor"/>
    </font>
    <font>
      <sz val="8"/>
      <name val="맑은 고딕"/>
      <family val="3"/>
      <charset val="129"/>
    </font>
    <font>
      <sz val="9"/>
      <color theme="0"/>
      <name val="맑은 고딕"/>
      <family val="3"/>
      <charset val="129"/>
      <scheme val="minor"/>
    </font>
    <font>
      <b/>
      <sz val="10"/>
      <color rgb="FF0000FF"/>
      <name val="맑은 고딕"/>
      <family val="3"/>
      <charset val="129"/>
      <scheme val="minor"/>
    </font>
    <font>
      <sz val="10"/>
      <color rgb="FFFF0000"/>
      <name val="맑은 고딕"/>
      <family val="2"/>
      <charset val="129"/>
      <scheme val="minor"/>
    </font>
    <font>
      <sz val="12"/>
      <color rgb="FFFF0000"/>
      <name val="맑은 고딕"/>
      <family val="2"/>
      <charset val="129"/>
      <scheme val="minor"/>
    </font>
    <font>
      <sz val="10"/>
      <color rgb="FF0000FF"/>
      <name val="맑은 고딕"/>
      <family val="2"/>
      <charset val="129"/>
      <scheme val="minor"/>
    </font>
    <font>
      <sz val="10"/>
      <color rgb="FF3333CC"/>
      <name val="맑은 고딕"/>
      <family val="2"/>
      <charset val="129"/>
      <scheme val="minor"/>
    </font>
    <font>
      <sz val="10"/>
      <name val="맑은 고딕"/>
      <family val="2"/>
      <charset val="129"/>
      <scheme val="minor"/>
    </font>
    <font>
      <strike/>
      <sz val="10"/>
      <color rgb="FFFF0000"/>
      <name val="맑은 고딕"/>
      <family val="2"/>
      <charset val="129"/>
      <scheme val="minor"/>
    </font>
    <font>
      <sz val="11"/>
      <color theme="0" tint="-0.499984740745262"/>
      <name val="맑은 고딕"/>
      <family val="3"/>
      <charset val="129"/>
      <scheme val="minor"/>
    </font>
    <font>
      <b/>
      <sz val="14"/>
      <color theme="1"/>
      <name val="맑은 고딕"/>
      <family val="3"/>
      <charset val="129"/>
    </font>
    <font>
      <sz val="8"/>
      <color theme="1"/>
      <name val="Wingdings"/>
      <charset val="2"/>
    </font>
    <font>
      <sz val="7"/>
      <color theme="1"/>
      <name val="Times New Roman"/>
      <family val="1"/>
    </font>
    <font>
      <b/>
      <sz val="12"/>
      <color theme="1"/>
      <name val="Times New Roman"/>
      <family val="1"/>
    </font>
    <font>
      <b/>
      <sz val="13"/>
      <color theme="1"/>
      <name val="맑은 고딕"/>
      <family val="3"/>
      <charset val="129"/>
      <scheme val="minor"/>
    </font>
    <font>
      <sz val="8"/>
      <name val="나눔고딕"/>
      <family val="2"/>
      <charset val="129"/>
    </font>
    <font>
      <b/>
      <sz val="9"/>
      <color rgb="FF333333"/>
      <name val="맑은 고딕"/>
      <family val="3"/>
      <charset val="129"/>
    </font>
    <font>
      <u/>
      <sz val="11"/>
      <color theme="10"/>
      <name val="맑은 고딕"/>
      <family val="3"/>
      <charset val="129"/>
    </font>
    <font>
      <u/>
      <sz val="9"/>
      <color theme="10"/>
      <name val="나눔고딕"/>
      <family val="2"/>
      <charset val="129"/>
    </font>
    <font>
      <sz val="8"/>
      <color theme="1"/>
      <name val="돋움"/>
      <family val="3"/>
      <charset val="129"/>
    </font>
    <font>
      <sz val="11"/>
      <color theme="0" tint="-0.499984740745262"/>
      <name val="맑은 고딕"/>
      <family val="2"/>
      <charset val="129"/>
      <scheme val="minor"/>
    </font>
    <font>
      <b/>
      <sz val="10"/>
      <color indexed="81"/>
      <name val="돋움"/>
      <family val="3"/>
      <charset val="129"/>
    </font>
    <font>
      <b/>
      <sz val="10"/>
      <color indexed="81"/>
      <name val="Tahoma"/>
      <family val="2"/>
    </font>
    <font>
      <b/>
      <i/>
      <sz val="12"/>
      <color rgb="FFFF0000"/>
      <name val="맑은 고딕"/>
      <family val="3"/>
      <charset val="129"/>
      <scheme val="minor"/>
    </font>
    <font>
      <sz val="9"/>
      <color rgb="FF000000"/>
      <name val="맑은 고딕"/>
      <family val="3"/>
      <charset val="129"/>
      <scheme val="minor"/>
    </font>
    <font>
      <u/>
      <sz val="10"/>
      <color theme="10"/>
      <name val="맑은 고딕"/>
      <family val="2"/>
      <charset val="129"/>
      <scheme val="minor"/>
    </font>
    <font>
      <u/>
      <sz val="10"/>
      <color theme="10"/>
      <name val="맑은 고딕"/>
      <family val="3"/>
      <charset val="129"/>
      <scheme val="minor"/>
    </font>
    <font>
      <sz val="9"/>
      <color rgb="FFFF0000"/>
      <name val="맑은 고딕"/>
      <family val="3"/>
      <charset val="129"/>
      <scheme val="minor"/>
    </font>
    <font>
      <sz val="9"/>
      <color rgb="FF4D4D4D"/>
      <name val="맑은 고딕"/>
      <family val="3"/>
      <charset val="129"/>
      <scheme val="minor"/>
    </font>
    <font>
      <u/>
      <sz val="11"/>
      <color theme="10"/>
      <name val="맑은 고딕"/>
      <family val="3"/>
      <charset val="129"/>
      <scheme val="minor"/>
    </font>
    <font>
      <b/>
      <sz val="9"/>
      <color rgb="FF000000"/>
      <name val="맑은 고딕"/>
      <family val="3"/>
      <charset val="129"/>
      <scheme val="minor"/>
    </font>
    <font>
      <vertAlign val="subscript"/>
      <sz val="9"/>
      <color rgb="FF000000"/>
      <name val="맑은 고딕"/>
      <family val="3"/>
      <charset val="129"/>
      <scheme val="minor"/>
    </font>
    <font>
      <b/>
      <sz val="10"/>
      <color theme="0"/>
      <name val="맑은 고딕"/>
      <family val="3"/>
      <charset val="129"/>
    </font>
    <font>
      <b/>
      <sz val="9"/>
      <color rgb="FF0000FF"/>
      <name val="맑은 고딕"/>
      <family val="3"/>
      <charset val="129"/>
      <scheme val="minor"/>
    </font>
    <font>
      <b/>
      <sz val="10"/>
      <color theme="0" tint="-0.249977111117893"/>
      <name val="맑은 고딕"/>
      <family val="3"/>
      <charset val="129"/>
    </font>
    <font>
      <b/>
      <sz val="14"/>
      <color indexed="9"/>
      <name val="맑은 고딕"/>
      <family val="3"/>
      <charset val="129"/>
      <scheme val="minor"/>
    </font>
    <font>
      <b/>
      <sz val="10"/>
      <color indexed="9"/>
      <name val="맑은 고딕"/>
      <family val="3"/>
      <charset val="129"/>
    </font>
    <font>
      <sz val="10"/>
      <color theme="1" tint="0.499984740745262"/>
      <name val="맑은 고딕"/>
      <family val="3"/>
      <charset val="129"/>
      <scheme val="minor"/>
    </font>
    <font>
      <u/>
      <sz val="10"/>
      <name val="Arial Narrow"/>
      <family val="2"/>
    </font>
    <font>
      <b/>
      <u/>
      <sz val="10"/>
      <name val="Arial Narrow"/>
      <family val="2"/>
    </font>
    <font>
      <b/>
      <u/>
      <sz val="10"/>
      <name val="맑은 고딕"/>
      <family val="3"/>
      <charset val="129"/>
    </font>
    <font>
      <sz val="10"/>
      <color theme="5" tint="0.39997558519241921"/>
      <name val="맑은 고딕"/>
      <family val="3"/>
      <charset val="129"/>
      <scheme val="minor"/>
    </font>
    <font>
      <b/>
      <sz val="10"/>
      <color rgb="FFC00000"/>
      <name val="맑은 고딕"/>
      <family val="3"/>
      <charset val="129"/>
      <scheme val="minor"/>
    </font>
    <font>
      <u/>
      <sz val="10"/>
      <color theme="1"/>
      <name val="맑은 고딕"/>
      <family val="3"/>
      <charset val="129"/>
      <scheme val="minor"/>
    </font>
    <font>
      <u/>
      <sz val="10"/>
      <color theme="0" tint="-0.499984740745262"/>
      <name val="맑은 고딕"/>
      <family val="3"/>
      <charset val="129"/>
      <scheme val="minor"/>
    </font>
    <font>
      <i/>
      <sz val="10"/>
      <color theme="1" tint="0.34998626667073579"/>
      <name val="맑은 고딕"/>
      <family val="3"/>
      <charset val="129"/>
    </font>
    <font>
      <sz val="10"/>
      <color theme="5" tint="0.39997558519241921"/>
      <name val="Arial Narrow"/>
      <family val="2"/>
    </font>
    <font>
      <i/>
      <sz val="10"/>
      <color theme="1" tint="0.34998626667073579"/>
      <name val="Arial Narrow"/>
      <family val="2"/>
    </font>
    <font>
      <i/>
      <sz val="9"/>
      <color theme="0" tint="-0.34998626667073579"/>
      <name val="Arial Narrow"/>
      <family val="2"/>
    </font>
    <font>
      <sz val="10"/>
      <color theme="0" tint="-0.14999847407452621"/>
      <name val="Arial Narrow"/>
      <family val="2"/>
    </font>
    <font>
      <sz val="10"/>
      <color theme="0" tint="-0.499984740745262"/>
      <name val="맑은 고딕"/>
      <family val="3"/>
      <charset val="129"/>
    </font>
    <font>
      <sz val="10"/>
      <color theme="0" tint="-0.249977111117893"/>
      <name val="맑은 고딕"/>
      <family val="3"/>
      <charset val="129"/>
    </font>
    <font>
      <i/>
      <sz val="10"/>
      <color theme="1"/>
      <name val="맑은 고딕"/>
      <family val="3"/>
      <charset val="129"/>
      <scheme val="minor"/>
    </font>
    <font>
      <i/>
      <sz val="10"/>
      <color rgb="FF0000FF"/>
      <name val="맑은 고딕"/>
      <family val="3"/>
      <charset val="129"/>
      <scheme val="minor"/>
    </font>
    <font>
      <sz val="10"/>
      <color theme="8" tint="-0.499984740745262"/>
      <name val="맑은 고딕"/>
      <family val="3"/>
      <charset val="129"/>
      <scheme val="minor"/>
    </font>
    <font>
      <sz val="10"/>
      <color theme="4" tint="-0.249977111117893"/>
      <name val="맑은 고딕"/>
      <family val="3"/>
      <charset val="129"/>
      <scheme val="minor"/>
    </font>
    <font>
      <sz val="10"/>
      <color theme="4" tint="-0.249977111117893"/>
      <name val="Arial Narrow"/>
      <family val="2"/>
    </font>
    <font>
      <i/>
      <u/>
      <sz val="9"/>
      <color theme="0" tint="-0.499984740745262"/>
      <name val="맑은 고딕"/>
      <family val="3"/>
      <charset val="129"/>
      <scheme val="minor"/>
    </font>
    <font>
      <sz val="8"/>
      <name val="맑은 고딕"/>
      <family val="3"/>
      <charset val="129"/>
      <scheme val="minor"/>
    </font>
    <font>
      <i/>
      <sz val="9"/>
      <color theme="0" tint="-0.499984740745262"/>
      <name val="Arial Narrow"/>
      <family val="2"/>
    </font>
    <font>
      <sz val="8"/>
      <color rgb="FFFF0000"/>
      <name val="맑은 고딕"/>
      <family val="3"/>
      <charset val="129"/>
      <scheme val="minor"/>
    </font>
    <font>
      <sz val="10"/>
      <color theme="1" tint="0.34998626667073579"/>
      <name val="맑은 고딕"/>
      <family val="3"/>
      <charset val="129"/>
      <scheme val="minor"/>
    </font>
    <font>
      <b/>
      <sz val="9"/>
      <color rgb="FF0000FF"/>
      <name val="Arial Narrow"/>
      <family val="2"/>
    </font>
    <font>
      <i/>
      <sz val="10"/>
      <color theme="1" tint="0.499984740745262"/>
      <name val="맑은 고딕"/>
      <family val="3"/>
      <charset val="129"/>
      <scheme val="minor"/>
    </font>
    <font>
      <u/>
      <sz val="9"/>
      <name val="맑은 고딕"/>
      <family val="3"/>
      <charset val="129"/>
      <scheme val="minor"/>
    </font>
    <font>
      <b/>
      <sz val="9"/>
      <color theme="0" tint="-0.34998626667073579"/>
      <name val="Arial Narrow"/>
      <family val="2"/>
    </font>
    <font>
      <sz val="10"/>
      <color indexed="12"/>
      <name val="맑은 고딕"/>
      <family val="3"/>
      <charset val="129"/>
      <scheme val="minor"/>
    </font>
    <font>
      <sz val="10"/>
      <color theme="3" tint="-0.249977111117893"/>
      <name val="맑은 고딕"/>
      <family val="3"/>
      <charset val="129"/>
      <scheme val="minor"/>
    </font>
    <font>
      <sz val="10"/>
      <color theme="5" tint="0.59999389629810485"/>
      <name val="맑은 고딕"/>
      <family val="3"/>
      <charset val="129"/>
      <scheme val="minor"/>
    </font>
    <font>
      <b/>
      <sz val="10"/>
      <color rgb="FF0000FF"/>
      <name val="Arial Narrow"/>
      <family val="2"/>
    </font>
    <font>
      <u/>
      <sz val="10"/>
      <color rgb="FFC00000"/>
      <name val="맑은 고딕"/>
      <family val="3"/>
      <charset val="129"/>
      <scheme val="minor"/>
    </font>
    <font>
      <b/>
      <sz val="10"/>
      <color rgb="FFC00000"/>
      <name val="Arial Narrow"/>
      <family val="2"/>
    </font>
    <font>
      <b/>
      <sz val="10"/>
      <color indexed="12"/>
      <name val="Arial Narrow"/>
      <family val="2"/>
    </font>
    <font>
      <sz val="9"/>
      <color theme="0" tint="-0.34998626667073579"/>
      <name val="맑은 고딕"/>
      <family val="3"/>
      <charset val="129"/>
      <scheme val="minor"/>
    </font>
    <font>
      <b/>
      <i/>
      <sz val="10"/>
      <color theme="1" tint="0.499984740745262"/>
      <name val="맑은 고딕"/>
      <family val="3"/>
      <charset val="129"/>
      <scheme val="minor"/>
    </font>
    <font>
      <i/>
      <u/>
      <sz val="10"/>
      <color theme="0" tint="-0.34998626667073579"/>
      <name val="맑은 고딕"/>
      <family val="3"/>
      <charset val="129"/>
      <scheme val="minor"/>
    </font>
    <font>
      <i/>
      <sz val="10"/>
      <color rgb="FF0000FF"/>
      <name val="Arial Narrow"/>
      <family val="2"/>
    </font>
    <font>
      <b/>
      <i/>
      <sz val="10"/>
      <color rgb="FF0000FF"/>
      <name val="맑은 고딕"/>
      <family val="3"/>
      <charset val="129"/>
      <scheme val="minor"/>
    </font>
    <font>
      <sz val="10"/>
      <color rgb="FF0000FF"/>
      <name val="맑은 고딕"/>
      <family val="3"/>
      <charset val="129"/>
    </font>
    <font>
      <sz val="9"/>
      <color rgb="FF0000FF"/>
      <name val="맑은 고딕"/>
      <family val="3"/>
      <charset val="129"/>
      <scheme val="minor"/>
    </font>
    <font>
      <b/>
      <u/>
      <sz val="10"/>
      <color theme="1" tint="0.34998626667073579"/>
      <name val="맑은 고딕"/>
      <family val="3"/>
      <charset val="129"/>
      <scheme val="minor"/>
    </font>
    <font>
      <sz val="10"/>
      <color theme="1" tint="0.34998626667073579"/>
      <name val="Arial Narrow"/>
      <family val="2"/>
    </font>
    <font>
      <i/>
      <sz val="10"/>
      <color theme="1" tint="0.34998626667073579"/>
      <name val="맑은 고딕"/>
      <family val="3"/>
      <charset val="129"/>
      <scheme val="minor"/>
    </font>
    <font>
      <b/>
      <sz val="10"/>
      <color rgb="FFFF0000"/>
      <name val="Arial Narrow"/>
      <family val="2"/>
    </font>
    <font>
      <u/>
      <sz val="10"/>
      <color theme="1"/>
      <name val="맑은 고딕"/>
      <family val="3"/>
      <charset val="129"/>
    </font>
    <font>
      <b/>
      <i/>
      <sz val="10"/>
      <color theme="1"/>
      <name val="Arial Narrow"/>
      <family val="2"/>
    </font>
    <font>
      <u/>
      <sz val="10"/>
      <name val="맑은 고딕"/>
      <family val="3"/>
      <charset val="129"/>
    </font>
    <font>
      <u/>
      <sz val="9"/>
      <color theme="10"/>
      <name val="맑은 고딕"/>
      <family val="2"/>
      <charset val="129"/>
      <scheme val="minor"/>
    </font>
    <font>
      <u/>
      <sz val="9"/>
      <color theme="10"/>
      <name val="맑은 고딕"/>
      <family val="3"/>
      <charset val="129"/>
      <scheme val="minor"/>
    </font>
    <font>
      <sz val="8"/>
      <color theme="1" tint="0.499984740745262"/>
      <name val="맑은 고딕"/>
      <family val="3"/>
      <charset val="129"/>
      <scheme val="minor"/>
    </font>
    <font>
      <b/>
      <sz val="9"/>
      <color rgb="FFC00000"/>
      <name val="맑은 고딕"/>
      <family val="3"/>
      <charset val="129"/>
      <scheme val="minor"/>
    </font>
    <font>
      <sz val="9"/>
      <name val="맑은 고딕"/>
      <family val="3"/>
      <charset val="129"/>
    </font>
    <font>
      <b/>
      <sz val="9"/>
      <name val="맑은 고딕"/>
      <family val="3"/>
      <charset val="129"/>
    </font>
    <font>
      <b/>
      <sz val="10"/>
      <color rgb="FF0000FF"/>
      <name val="맑은 고딕"/>
      <family val="3"/>
      <charset val="129"/>
    </font>
    <font>
      <sz val="9"/>
      <color indexed="81"/>
      <name val="Tahoma"/>
      <family val="2"/>
    </font>
    <font>
      <sz val="9"/>
      <color indexed="81"/>
      <name val="돋움"/>
      <family val="3"/>
      <charset val="129"/>
    </font>
    <font>
      <b/>
      <sz val="10"/>
      <color rgb="FF000000"/>
      <name val="맑은 고딕"/>
      <family val="3"/>
      <charset val="129"/>
      <scheme val="minor"/>
    </font>
    <font>
      <b/>
      <sz val="8"/>
      <color theme="1"/>
      <name val="맑은 고딕"/>
      <family val="3"/>
      <charset val="129"/>
      <scheme val="minor"/>
    </font>
    <font>
      <sz val="10"/>
      <color theme="0" tint="-0.14999847407452621"/>
      <name val="맑은 고딕"/>
      <family val="3"/>
      <charset val="129"/>
      <scheme val="minor"/>
    </font>
    <font>
      <sz val="10"/>
      <color theme="1" tint="0.499984740745262"/>
      <name val="맑은 고딕"/>
      <family val="3"/>
      <charset val="129"/>
    </font>
    <font>
      <b/>
      <u/>
      <sz val="10"/>
      <color theme="0" tint="-0.34998626667073579"/>
      <name val="맑은 고딕"/>
      <family val="3"/>
      <charset val="129"/>
    </font>
    <font>
      <sz val="10"/>
      <color rgb="FFFF0000"/>
      <name val="맑은 고딕"/>
      <family val="3"/>
      <charset val="129"/>
    </font>
    <font>
      <u/>
      <sz val="9"/>
      <color rgb="FF0000FF"/>
      <name val="맑은 고딕"/>
      <family val="3"/>
      <charset val="129"/>
      <scheme val="minor"/>
    </font>
    <font>
      <sz val="9"/>
      <color theme="1" tint="0.499984740745262"/>
      <name val="맑은 고딕"/>
      <family val="3"/>
      <charset val="129"/>
      <scheme val="major"/>
    </font>
    <font>
      <i/>
      <sz val="10"/>
      <color rgb="FFC00000"/>
      <name val="Arial Narrow"/>
      <family val="2"/>
    </font>
    <font>
      <sz val="9"/>
      <color rgb="FF0033CC"/>
      <name val="맑은 고딕"/>
      <family val="3"/>
      <charset val="129"/>
      <scheme val="minor"/>
    </font>
    <font>
      <sz val="9"/>
      <color rgb="FFC00000"/>
      <name val="맑은 고딕"/>
      <family val="3"/>
      <charset val="129"/>
      <scheme val="minor"/>
    </font>
    <font>
      <u/>
      <sz val="10"/>
      <color rgb="FF0000FF"/>
      <name val="Arial Narrow"/>
      <family val="2"/>
    </font>
    <font>
      <b/>
      <u/>
      <sz val="10"/>
      <color rgb="FF0000FF"/>
      <name val="Arial Narrow"/>
      <family val="2"/>
    </font>
    <font>
      <u/>
      <sz val="10"/>
      <color rgb="FFFF0000"/>
      <name val="Arial Narrow"/>
      <family val="2"/>
    </font>
    <font>
      <b/>
      <sz val="10"/>
      <color theme="1" tint="0.499984740745262"/>
      <name val="Arial Narrow"/>
      <family val="2"/>
    </font>
    <font>
      <b/>
      <sz val="10"/>
      <color rgb="FFC00000"/>
      <name val="맑은 고딕"/>
      <family val="3"/>
      <charset val="129"/>
    </font>
    <font>
      <b/>
      <sz val="10"/>
      <color theme="1" tint="0.499984740745262"/>
      <name val="맑은 고딕"/>
      <family val="3"/>
      <charset val="129"/>
    </font>
    <font>
      <u/>
      <sz val="10"/>
      <color theme="1" tint="0.499984740745262"/>
      <name val="맑은 고딕"/>
      <family val="3"/>
      <charset val="129"/>
    </font>
    <font>
      <b/>
      <i/>
      <sz val="10"/>
      <color theme="1" tint="0.34998626667073579"/>
      <name val="Arial Narrow"/>
      <family val="2"/>
    </font>
    <font>
      <b/>
      <sz val="10"/>
      <color theme="1" tint="0.499984740745262"/>
      <name val="맑은 고딕"/>
      <family val="3"/>
      <charset val="129"/>
      <scheme val="minor"/>
    </font>
    <font>
      <b/>
      <sz val="10"/>
      <color indexed="10"/>
      <name val="맑은 고딕"/>
      <family val="3"/>
      <charset val="129"/>
      <scheme val="minor"/>
    </font>
    <font>
      <b/>
      <sz val="10"/>
      <name val="돋움"/>
      <family val="3"/>
      <charset val="129"/>
    </font>
    <font>
      <strike/>
      <sz val="10"/>
      <name val="맑은 고딕"/>
      <family val="3"/>
      <charset val="129"/>
      <scheme val="minor"/>
    </font>
    <font>
      <i/>
      <sz val="10"/>
      <color theme="0" tint="-0.14999847407452621"/>
      <name val="Arial Narrow"/>
      <family val="2"/>
    </font>
    <font>
      <u/>
      <sz val="10"/>
      <color theme="1" tint="0.499984740745262"/>
      <name val="Arial Narrow"/>
      <family val="2"/>
    </font>
    <font>
      <i/>
      <sz val="10"/>
      <color theme="5" tint="0.39997558519241921"/>
      <name val="Arial Narrow"/>
      <family val="2"/>
    </font>
    <font>
      <i/>
      <sz val="9"/>
      <color rgb="FFFF0000"/>
      <name val="맑은 고딕"/>
      <family val="3"/>
      <charset val="129"/>
      <scheme val="minor"/>
    </font>
  </fonts>
  <fills count="57">
    <fill>
      <patternFill patternType="none"/>
    </fill>
    <fill>
      <patternFill patternType="gray125"/>
    </fill>
    <fill>
      <patternFill patternType="solid">
        <fgColor theme="6" tint="0.79998168889431442"/>
        <bgColor indexed="64"/>
      </patternFill>
    </fill>
    <fill>
      <patternFill patternType="solid">
        <fgColor rgb="FF00B0F0"/>
        <bgColor indexed="64"/>
      </patternFill>
    </fill>
    <fill>
      <patternFill patternType="solid">
        <fgColor theme="8"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C6D9F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CC"/>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66FF99"/>
        <bgColor indexed="64"/>
      </patternFill>
    </fill>
    <fill>
      <patternFill patternType="solid">
        <fgColor rgb="FFFFC00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D2DCFA"/>
        <bgColor indexed="64"/>
      </patternFill>
    </fill>
    <fill>
      <patternFill patternType="solid">
        <fgColor theme="9" tint="0.59999389629810485"/>
        <bgColor indexed="64"/>
      </patternFill>
    </fill>
    <fill>
      <patternFill patternType="solid">
        <fgColor rgb="FFFFEF99"/>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2F2F2"/>
        <bgColor indexed="64"/>
      </patternFill>
    </fill>
    <fill>
      <patternFill patternType="solid">
        <fgColor rgb="FFB8CCE4"/>
        <bgColor indexed="64"/>
      </patternFill>
    </fill>
    <fill>
      <patternFill patternType="solid">
        <fgColor rgb="FFFFFFFF"/>
        <bgColor indexed="64"/>
      </patternFill>
    </fill>
    <fill>
      <patternFill patternType="solid">
        <fgColor rgb="FFEAF1DD"/>
        <bgColor indexed="64"/>
      </patternFill>
    </fill>
    <fill>
      <patternFill patternType="solid">
        <fgColor rgb="FFD6E3BC"/>
        <bgColor indexed="64"/>
      </patternFill>
    </fill>
    <fill>
      <patternFill patternType="solid">
        <fgColor theme="6"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499984740745262"/>
        <bgColor indexed="64"/>
      </patternFill>
    </fill>
    <fill>
      <patternFill patternType="solid">
        <fgColor theme="1"/>
        <bgColor indexed="64"/>
      </patternFill>
    </fill>
    <fill>
      <patternFill patternType="solid">
        <fgColor rgb="FFCCCC00"/>
        <bgColor indexed="64"/>
      </patternFill>
    </fill>
    <fill>
      <patternFill patternType="solid">
        <fgColor theme="6" tint="-0.249977111117893"/>
        <bgColor indexed="64"/>
      </patternFill>
    </fill>
    <fill>
      <patternFill patternType="solid">
        <fgColor indexed="55"/>
        <bgColor indexed="64"/>
      </patternFill>
    </fill>
    <fill>
      <patternFill patternType="solid">
        <fgColor rgb="FFD7E4BC"/>
        <bgColor indexed="64"/>
      </patternFill>
    </fill>
    <fill>
      <patternFill patternType="solid">
        <fgColor rgb="FFFDFDFD"/>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BFF3D3"/>
        <bgColor indexed="64"/>
      </patternFill>
    </fill>
    <fill>
      <patternFill patternType="solid">
        <fgColor rgb="FFCCD4F4"/>
        <bgColor indexed="64"/>
      </patternFill>
    </fill>
    <fill>
      <patternFill patternType="solid">
        <fgColor theme="0" tint="-0.499984740745262"/>
        <bgColor indexed="64"/>
      </patternFill>
    </fill>
    <fill>
      <patternFill patternType="solid">
        <fgColor theme="6" tint="0.39997558519241921"/>
        <bgColor indexed="64"/>
      </patternFill>
    </fill>
    <fill>
      <patternFill patternType="solid">
        <fgColor theme="2" tint="-0.749992370372631"/>
        <bgColor indexed="64"/>
      </patternFill>
    </fill>
    <fill>
      <patternFill patternType="solid">
        <fgColor theme="4" tint="-0.499984740745262"/>
        <bgColor indexed="64"/>
      </patternFill>
    </fill>
    <fill>
      <patternFill patternType="solid">
        <fgColor indexed="43"/>
        <bgColor indexed="64"/>
      </patternFill>
    </fill>
    <fill>
      <patternFill patternType="lightGray"/>
    </fill>
    <fill>
      <patternFill patternType="solid">
        <fgColor theme="9"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2" tint="-0.249977111117893"/>
        <bgColor indexed="64"/>
      </patternFill>
    </fill>
    <fill>
      <patternFill patternType="solid">
        <fgColor theme="9" tint="0.39997558519241921"/>
        <bgColor indexed="64"/>
      </patternFill>
    </fill>
  </fills>
  <borders count="17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medium">
        <color rgb="FF999999"/>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style="thin">
        <color indexed="64"/>
      </left>
      <right style="medium">
        <color rgb="FF999999"/>
      </right>
      <top/>
      <bottom style="medium">
        <color rgb="FF999999"/>
      </bottom>
      <diagonal/>
    </border>
    <border>
      <left/>
      <right style="medium">
        <color rgb="FF999999"/>
      </right>
      <top style="medium">
        <color rgb="FF999999"/>
      </top>
      <bottom/>
      <diagonal/>
    </border>
    <border diagonalDown="1">
      <left style="medium">
        <color rgb="FF999999"/>
      </left>
      <right style="medium">
        <color rgb="FF999999"/>
      </right>
      <top/>
      <bottom/>
      <diagonal style="thin">
        <color rgb="FF999999"/>
      </diagonal>
    </border>
    <border>
      <left style="medium">
        <color rgb="FF999999"/>
      </left>
      <right style="medium">
        <color rgb="FF999999"/>
      </right>
      <top style="medium">
        <color rgb="FF999999"/>
      </top>
      <bottom/>
      <diagonal/>
    </border>
    <border>
      <left style="medium">
        <color rgb="FF999999"/>
      </left>
      <right/>
      <top style="medium">
        <color rgb="FF999999"/>
      </top>
      <bottom/>
      <diagonal/>
    </border>
    <border>
      <left/>
      <right style="medium">
        <color rgb="FF999999"/>
      </right>
      <top/>
      <bottom/>
      <diagonal/>
    </border>
    <border diagonalDown="1">
      <left style="medium">
        <color rgb="FF999999"/>
      </left>
      <right style="medium">
        <color rgb="FF999999"/>
      </right>
      <top style="medium">
        <color rgb="FF999999"/>
      </top>
      <bottom/>
      <diagonal style="thin">
        <color rgb="FF999999"/>
      </diagonal>
    </border>
    <border>
      <left style="medium">
        <color rgb="FF999999"/>
      </left>
      <right/>
      <top/>
      <bottom style="medium">
        <color rgb="FF999999"/>
      </bottom>
      <diagonal/>
    </border>
    <border>
      <left style="medium">
        <color indexed="64"/>
      </left>
      <right/>
      <top style="medium">
        <color indexed="64"/>
      </top>
      <bottom style="medium">
        <color indexed="64"/>
      </bottom>
      <diagonal/>
    </border>
    <border>
      <left/>
      <right/>
      <top/>
      <bottom style="double">
        <color indexed="64"/>
      </bottom>
      <diagonal/>
    </border>
    <border>
      <left style="medium">
        <color indexed="64"/>
      </left>
      <right style="medium">
        <color indexed="64"/>
      </right>
      <top style="medium">
        <color indexed="64"/>
      </top>
      <bottom style="double">
        <color indexed="64"/>
      </bottom>
      <diagonal/>
    </border>
    <border>
      <left style="medium">
        <color auto="1"/>
      </left>
      <right style="medium">
        <color auto="1"/>
      </right>
      <top/>
      <bottom/>
      <diagonal/>
    </border>
    <border>
      <left/>
      <right/>
      <top/>
      <bottom style="thin">
        <color indexed="64"/>
      </bottom>
      <diagonal/>
    </border>
    <border>
      <left/>
      <right/>
      <top style="thin">
        <color auto="1"/>
      </top>
      <bottom/>
      <diagonal/>
    </border>
    <border>
      <left style="medium">
        <color indexed="64"/>
      </left>
      <right style="medium">
        <color indexed="64"/>
      </right>
      <top style="thin">
        <color indexed="64"/>
      </top>
      <bottom/>
      <diagonal/>
    </border>
    <border>
      <left style="medium">
        <color auto="1"/>
      </left>
      <right style="medium">
        <color auto="1"/>
      </right>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FFFFFF"/>
      </right>
      <top style="medium">
        <color rgb="FF999999"/>
      </top>
      <bottom style="medium">
        <color rgb="FF999999"/>
      </bottom>
      <diagonal/>
    </border>
    <border>
      <left/>
      <right style="medium">
        <color rgb="FF999999"/>
      </right>
      <top style="medium">
        <color indexed="64"/>
      </top>
      <bottom style="medium">
        <color rgb="FF999999"/>
      </bottom>
      <diagonal/>
    </border>
    <border>
      <left/>
      <right style="medium">
        <color rgb="FF999999"/>
      </right>
      <top/>
      <bottom style="medium">
        <color rgb="FF000000"/>
      </bottom>
      <diagonal/>
    </border>
    <border>
      <left/>
      <right style="medium">
        <color rgb="FF999999"/>
      </right>
      <top style="medium">
        <color rgb="FF999999"/>
      </top>
      <bottom style="medium">
        <color rgb="FF7F7F7F"/>
      </bottom>
      <diagonal/>
    </border>
    <border>
      <left/>
      <right style="medium">
        <color rgb="FF999999"/>
      </right>
      <top/>
      <bottom style="medium">
        <color rgb="FF7F7F7F"/>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hair">
        <color auto="1"/>
      </left>
      <right/>
      <top style="hair">
        <color auto="1"/>
      </top>
      <bottom/>
      <diagonal/>
    </border>
    <border>
      <left/>
      <right/>
      <top style="hair">
        <color indexed="64"/>
      </top>
      <bottom/>
      <diagonal/>
    </border>
    <border>
      <left style="thin">
        <color indexed="64"/>
      </left>
      <right style="thin">
        <color indexed="64"/>
      </right>
      <top style="hair">
        <color indexed="64"/>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style="thin">
        <color indexed="64"/>
      </left>
      <right style="thin">
        <color indexed="64"/>
      </right>
      <top/>
      <bottom style="hair">
        <color indexed="64"/>
      </bottom>
      <diagonal/>
    </border>
    <border>
      <left/>
      <right/>
      <top style="hair">
        <color indexed="64"/>
      </top>
      <bottom style="hair">
        <color indexed="64"/>
      </bottom>
      <diagonal/>
    </border>
    <border>
      <left/>
      <right style="thin">
        <color indexed="64"/>
      </right>
      <top/>
      <bottom/>
      <diagonal/>
    </border>
    <border>
      <left style="thin">
        <color indexed="64"/>
      </left>
      <right/>
      <top/>
      <bottom style="hair">
        <color indexed="64"/>
      </bottom>
      <diagonal/>
    </border>
    <border>
      <left/>
      <right style="thin">
        <color indexed="64"/>
      </right>
      <top style="hair">
        <color indexed="64"/>
      </top>
      <bottom/>
      <diagonal/>
    </border>
    <border>
      <left/>
      <right style="thin">
        <color indexed="64"/>
      </right>
      <top/>
      <bottom style="hair">
        <color auto="1"/>
      </bottom>
      <diagonal/>
    </border>
    <border>
      <left style="medium">
        <color rgb="FF999999"/>
      </left>
      <right style="medium">
        <color rgb="FF999999"/>
      </right>
      <top/>
      <bottom/>
      <diagonal/>
    </border>
    <border>
      <left/>
      <right style="thin">
        <color indexed="64"/>
      </right>
      <top/>
      <bottom style="thin">
        <color indexed="64"/>
      </bottom>
      <diagonal/>
    </border>
    <border>
      <left/>
      <right style="hair">
        <color auto="1"/>
      </right>
      <top style="hair">
        <color indexed="64"/>
      </top>
      <bottom/>
      <diagonal/>
    </border>
    <border>
      <left/>
      <right style="hair">
        <color auto="1"/>
      </right>
      <top/>
      <bottom/>
      <diagonal/>
    </border>
    <border>
      <left/>
      <right style="hair">
        <color indexed="64"/>
      </right>
      <top style="thin">
        <color indexed="64"/>
      </top>
      <bottom style="double">
        <color indexed="64"/>
      </bottom>
      <diagonal/>
    </border>
    <border>
      <left/>
      <right style="hair">
        <color indexed="64"/>
      </right>
      <top style="double">
        <color indexed="64"/>
      </top>
      <bottom/>
      <diagonal/>
    </border>
    <border>
      <left/>
      <right style="hair">
        <color auto="1"/>
      </right>
      <top/>
      <bottom style="hair">
        <color auto="1"/>
      </bottom>
      <diagonal/>
    </border>
    <border>
      <left/>
      <right/>
      <top style="thin">
        <color indexed="64"/>
      </top>
      <bottom style="double">
        <color indexed="64"/>
      </bottom>
      <diagonal/>
    </border>
    <border>
      <left style="medium">
        <color auto="1"/>
      </left>
      <right style="medium">
        <color auto="1"/>
      </right>
      <top style="medium">
        <color auto="1"/>
      </top>
      <bottom/>
      <diagonal/>
    </border>
    <border>
      <left/>
      <right style="thin">
        <color indexed="64"/>
      </right>
      <top style="thin">
        <color indexed="64"/>
      </top>
      <bottom style="thin">
        <color indexed="64"/>
      </bottom>
      <diagonal/>
    </border>
    <border>
      <left style="thick">
        <color rgb="FFFF0000"/>
      </left>
      <right style="thick">
        <color rgb="FFFF0000"/>
      </right>
      <top style="thick">
        <color rgb="FFFF0000"/>
      </top>
      <bottom style="thin">
        <color indexed="64"/>
      </bottom>
      <diagonal/>
    </border>
    <border>
      <left/>
      <right style="thin">
        <color indexed="64"/>
      </right>
      <top style="thin">
        <color indexed="64"/>
      </top>
      <bottom style="thin">
        <color theme="0" tint="-0.34998626667073579"/>
      </bottom>
      <diagonal/>
    </border>
    <border>
      <left style="thick">
        <color rgb="FFFF0000"/>
      </left>
      <right style="thick">
        <color rgb="FFFF0000"/>
      </right>
      <top style="thin">
        <color indexed="64"/>
      </top>
      <bottom style="thin">
        <color indexed="64"/>
      </bottom>
      <diagonal/>
    </border>
    <border>
      <left/>
      <right style="thin">
        <color indexed="64"/>
      </right>
      <top style="thin">
        <color theme="0" tint="-0.34998626667073579"/>
      </top>
      <bottom style="thin">
        <color indexed="64"/>
      </bottom>
      <diagonal/>
    </border>
    <border>
      <left style="thick">
        <color rgb="FFFF0000"/>
      </left>
      <right style="thick">
        <color rgb="FFFF0000"/>
      </right>
      <top style="thin">
        <color indexed="64"/>
      </top>
      <bottom style="thick">
        <color rgb="FFFF0000"/>
      </bottom>
      <diagonal/>
    </border>
    <border>
      <left style="medium">
        <color rgb="FFCECECE"/>
      </left>
      <right/>
      <top style="thick">
        <color rgb="FF0B4FA1"/>
      </top>
      <bottom style="medium">
        <color rgb="FFCECECE"/>
      </bottom>
      <diagonal/>
    </border>
    <border>
      <left style="medium">
        <color rgb="FFCECECE"/>
      </left>
      <right/>
      <top/>
      <bottom style="medium">
        <color rgb="FFCECECE"/>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thin">
        <color indexed="64"/>
      </left>
      <right style="thin">
        <color indexed="64"/>
      </right>
      <top style="thin">
        <color indexed="64"/>
      </top>
      <bottom style="double">
        <color auto="1"/>
      </bottom>
      <diagonal/>
    </border>
    <border>
      <left style="medium">
        <color indexed="64"/>
      </left>
      <right style="thin">
        <color auto="1"/>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rgb="FF999999"/>
      </right>
      <top style="medium">
        <color rgb="FF808080"/>
      </top>
      <bottom/>
      <diagonal/>
    </border>
    <border>
      <left style="medium">
        <color rgb="FF999999"/>
      </left>
      <right style="medium">
        <color rgb="FF808080"/>
      </right>
      <top style="medium">
        <color rgb="FF808080"/>
      </top>
      <bottom/>
      <diagonal/>
    </border>
    <border>
      <left/>
      <right style="medium">
        <color rgb="FF999999"/>
      </right>
      <top/>
      <bottom style="medium">
        <color rgb="FF808080"/>
      </bottom>
      <diagonal/>
    </border>
    <border>
      <left/>
      <right style="medium">
        <color rgb="FF808080"/>
      </right>
      <top/>
      <bottom style="medium">
        <color rgb="FF808080"/>
      </bottom>
      <diagonal/>
    </border>
    <border>
      <left style="medium">
        <color rgb="FF999999"/>
      </left>
      <right/>
      <top/>
      <bottom style="medium">
        <color rgb="FF808080"/>
      </bottom>
      <diagonal/>
    </border>
    <border>
      <left/>
      <right/>
      <top/>
      <bottom style="medium">
        <color rgb="FF808080"/>
      </bottom>
      <diagonal/>
    </border>
    <border>
      <left style="medium">
        <color rgb="FF999999"/>
      </left>
      <right/>
      <top style="medium">
        <color rgb="FF808080"/>
      </top>
      <bottom style="medium">
        <color rgb="FF808080"/>
      </bottom>
      <diagonal/>
    </border>
    <border>
      <left/>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CECECE"/>
      </left>
      <right/>
      <top/>
      <bottom/>
      <diagonal/>
    </border>
    <border>
      <left/>
      <right/>
      <top/>
      <bottom style="medium">
        <color rgb="FFCECECE"/>
      </bottom>
      <diagonal/>
    </border>
    <border>
      <left/>
      <right/>
      <top style="thin">
        <color indexed="64"/>
      </top>
      <bottom/>
      <diagonal/>
    </border>
    <border>
      <left style="thick">
        <color theme="0" tint="-0.34998626667073579"/>
      </left>
      <right/>
      <top style="thick">
        <color theme="0" tint="-0.34998626667073579"/>
      </top>
      <bottom/>
      <diagonal/>
    </border>
    <border>
      <left/>
      <right/>
      <top style="thick">
        <color theme="0" tint="-0.34998626667073579"/>
      </top>
      <bottom/>
      <diagonal/>
    </border>
    <border>
      <left/>
      <right style="thick">
        <color theme="0" tint="-0.34998626667073579"/>
      </right>
      <top style="thick">
        <color theme="0" tint="-0.34998626667073579"/>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ck">
        <color theme="0" tint="-0.34998626667073579"/>
      </left>
      <right/>
      <top/>
      <bottom/>
      <diagonal/>
    </border>
    <border>
      <left/>
      <right style="thick">
        <color theme="0" tint="-0.34998626667073579"/>
      </right>
      <top/>
      <bottom/>
      <diagonal/>
    </border>
    <border>
      <left style="hair">
        <color auto="1"/>
      </left>
      <right style="hair">
        <color auto="1"/>
      </right>
      <top style="hair">
        <color auto="1"/>
      </top>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indexed="64"/>
      </left>
      <right style="thin">
        <color indexed="64"/>
      </right>
      <top/>
      <bottom/>
      <diagonal/>
    </border>
    <border>
      <left style="thick">
        <color theme="0" tint="-0.34998626667073579"/>
      </left>
      <right/>
      <top style="hair">
        <color theme="0" tint="-0.34998626667073579"/>
      </top>
      <bottom/>
      <diagonal/>
    </border>
    <border>
      <left/>
      <right/>
      <top style="hair">
        <color theme="0" tint="-0.34998626667073579"/>
      </top>
      <bottom/>
      <diagonal/>
    </border>
    <border>
      <left/>
      <right/>
      <top style="hair">
        <color theme="0" tint="-0.499984740745262"/>
      </top>
      <bottom style="hair">
        <color theme="0" tint="-0.34998626667073579"/>
      </bottom>
      <diagonal/>
    </border>
    <border>
      <left/>
      <right style="thick">
        <color theme="0" tint="-0.34998626667073579"/>
      </right>
      <top style="hair">
        <color theme="0" tint="-0.34998626667073579"/>
      </top>
      <bottom style="hair">
        <color theme="0" tint="-0.34998626667073579"/>
      </bottom>
      <diagonal/>
    </border>
    <border>
      <left/>
      <right/>
      <top/>
      <bottom style="hair">
        <color theme="0" tint="-0.34998626667073579"/>
      </bottom>
      <diagonal/>
    </border>
    <border>
      <left/>
      <right/>
      <top style="hair">
        <color theme="0" tint="-0.34998626667073579"/>
      </top>
      <bottom style="thin">
        <color indexed="64"/>
      </bottom>
      <diagonal/>
    </border>
    <border>
      <left/>
      <right/>
      <top/>
      <bottom style="thick">
        <color theme="0" tint="-0.34998626667073579"/>
      </bottom>
      <diagonal/>
    </border>
    <border>
      <left style="hair">
        <color theme="0" tint="-0.499984740745262"/>
      </left>
      <right/>
      <top style="thick">
        <color theme="0" tint="-0.34998626667073579"/>
      </top>
      <bottom/>
      <diagonal/>
    </border>
    <border>
      <left/>
      <right style="hair">
        <color theme="0" tint="-0.499984740745262"/>
      </right>
      <top style="thick">
        <color theme="0" tint="-0.34998626667073579"/>
      </top>
      <bottom/>
      <diagonal/>
    </border>
    <border>
      <left style="hair">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top style="thick">
        <color theme="0" tint="-0.34998626667073579"/>
      </top>
      <bottom style="hair">
        <color theme="0" tint="-0.499984740745262"/>
      </bottom>
      <diagonal/>
    </border>
    <border>
      <left/>
      <right style="hair">
        <color theme="0" tint="-0.499984740745262"/>
      </right>
      <top style="thick">
        <color theme="0" tint="-0.34998626667073579"/>
      </top>
      <bottom style="hair">
        <color theme="0" tint="-0.499984740745262"/>
      </bottom>
      <diagonal/>
    </border>
    <border>
      <left style="thick">
        <color theme="0" tint="-0.34998626667073579"/>
      </left>
      <right style="thin">
        <color indexed="64"/>
      </right>
      <top/>
      <bottom/>
      <diagonal/>
    </border>
    <border>
      <left style="thick">
        <color theme="0" tint="-0.34998626667073579"/>
      </left>
      <right/>
      <top/>
      <bottom style="hair">
        <color theme="0" tint="-0.34998626667073579"/>
      </bottom>
      <diagonal/>
    </border>
    <border>
      <left/>
      <right/>
      <top style="hair">
        <color theme="0" tint="-0.34998626667073579"/>
      </top>
      <bottom style="hair">
        <color theme="0" tint="-0.34998626667073579"/>
      </bottom>
      <diagonal/>
    </border>
    <border>
      <left style="thick">
        <color theme="0" tint="-0.34998626667073579"/>
      </left>
      <right style="thin">
        <color indexed="64"/>
      </right>
      <top style="hair">
        <color theme="0" tint="-0.34998626667073579"/>
      </top>
      <bottom/>
      <diagonal/>
    </border>
    <border>
      <left/>
      <right style="thick">
        <color theme="0" tint="-0.34998626667073579"/>
      </right>
      <top style="hair">
        <color theme="0" tint="-0.34998626667073579"/>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ck">
        <color theme="0" tint="-0.34998626667073579"/>
      </left>
      <right/>
      <top/>
      <bottom style="thick">
        <color theme="0" tint="-0.34998626667073579"/>
      </bottom>
      <diagonal/>
    </border>
    <border>
      <left/>
      <right/>
      <top style="hair">
        <color theme="0" tint="-0.34998626667073579"/>
      </top>
      <bottom style="thick">
        <color theme="0" tint="-0.34998626667073579"/>
      </bottom>
      <diagonal/>
    </border>
    <border>
      <left/>
      <right style="thick">
        <color theme="0" tint="-0.34998626667073579"/>
      </right>
      <top/>
      <bottom style="thick">
        <color theme="0" tint="-0.34998626667073579"/>
      </bottom>
      <diagonal/>
    </border>
    <border>
      <left style="hair">
        <color auto="1"/>
      </left>
      <right style="hair">
        <color auto="1"/>
      </right>
      <top style="hair">
        <color auto="1"/>
      </top>
      <bottom style="hair">
        <color auto="1"/>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auto="1"/>
      </top>
      <bottom style="thin">
        <color indexed="64"/>
      </bottom>
      <diagonal/>
    </border>
    <border>
      <left style="thin">
        <color auto="1"/>
      </left>
      <right/>
      <top/>
      <bottom style="medium">
        <color theme="0" tint="-0.34998626667073579"/>
      </bottom>
      <diagonal/>
    </border>
    <border>
      <left/>
      <right/>
      <top/>
      <bottom style="medium">
        <color theme="0" tint="-0.34998626667073579"/>
      </bottom>
      <diagonal/>
    </border>
    <border>
      <left/>
      <right style="thin">
        <color auto="1"/>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right/>
      <top style="thin">
        <color indexed="64"/>
      </top>
      <bottom style="medium">
        <color indexed="64"/>
      </bottom>
      <diagonal/>
    </border>
    <border>
      <left/>
      <right style="thick">
        <color theme="0" tint="-0.34998626667073579"/>
      </right>
      <top style="hair">
        <color indexed="64"/>
      </top>
      <bottom/>
      <diagonal/>
    </border>
    <border>
      <left/>
      <right style="thick">
        <color theme="0" tint="-0.34998626667073579"/>
      </right>
      <top style="hair">
        <color indexed="64"/>
      </top>
      <bottom style="hair">
        <color indexed="64"/>
      </bottom>
      <diagonal/>
    </border>
    <border>
      <left style="medium">
        <color rgb="FF999999"/>
      </left>
      <right/>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medium">
        <color rgb="FFCECECE"/>
      </right>
      <top style="thick">
        <color rgb="FF0B4FA1"/>
      </top>
      <bottom style="double">
        <color rgb="FFCECECE"/>
      </bottom>
      <diagonal/>
    </border>
    <border>
      <left style="medium">
        <color rgb="FFCECECE"/>
      </left>
      <right/>
      <top style="thick">
        <color rgb="FF0B4FA1"/>
      </top>
      <bottom style="double">
        <color rgb="FFCECECE"/>
      </bottom>
      <diagonal/>
    </border>
    <border>
      <left/>
      <right style="medium">
        <color rgb="FFCECECE"/>
      </right>
      <top/>
      <bottom style="medium">
        <color rgb="FFCECECE"/>
      </bottom>
      <diagonal/>
    </border>
    <border>
      <left style="thin">
        <color indexed="64"/>
      </left>
      <right/>
      <top/>
      <bottom style="double">
        <color indexed="64"/>
      </bottom>
      <diagonal/>
    </border>
    <border>
      <left/>
      <right style="thin">
        <color indexed="64"/>
      </right>
      <top/>
      <bottom style="double">
        <color indexed="64"/>
      </bottom>
      <diagonal/>
    </border>
    <border>
      <left style="thick">
        <color theme="0" tint="-0.24994659260841701"/>
      </left>
      <right/>
      <top style="thick">
        <color theme="0" tint="-0.24994659260841701"/>
      </top>
      <bottom/>
      <diagonal/>
    </border>
    <border>
      <left/>
      <right/>
      <top style="thick">
        <color theme="0" tint="-0.24994659260841701"/>
      </top>
      <bottom/>
      <diagonal/>
    </border>
    <border>
      <left/>
      <right style="thick">
        <color theme="0" tint="-0.24994659260841701"/>
      </right>
      <top style="thick">
        <color theme="0" tint="-0.24994659260841701"/>
      </top>
      <bottom/>
      <diagonal/>
    </border>
    <border>
      <left style="thick">
        <color theme="0" tint="-0.24994659260841701"/>
      </left>
      <right/>
      <top/>
      <bottom style="thick">
        <color theme="0" tint="-0.24994659260841701"/>
      </bottom>
      <diagonal/>
    </border>
    <border>
      <left/>
      <right/>
      <top/>
      <bottom style="thick">
        <color theme="0" tint="-0.24994659260841701"/>
      </bottom>
      <diagonal/>
    </border>
    <border>
      <left/>
      <right style="thick">
        <color theme="0" tint="-0.24994659260841701"/>
      </right>
      <top/>
      <bottom style="thick">
        <color theme="0" tint="-0.24994659260841701"/>
      </bottom>
      <diagonal/>
    </border>
  </borders>
  <cellStyleXfs count="30">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8" fillId="0" borderId="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0" fontId="70" fillId="0" borderId="0">
      <alignment vertical="center"/>
    </xf>
    <xf numFmtId="41" fontId="73" fillId="0" borderId="0" applyFont="0" applyFill="0" applyBorder="0" applyAlignment="0" applyProtection="0">
      <alignment vertical="center"/>
    </xf>
    <xf numFmtId="41" fontId="18" fillId="0" borderId="0" applyFont="0" applyFill="0" applyBorder="0" applyAlignment="0" applyProtection="0">
      <alignment vertical="center"/>
    </xf>
    <xf numFmtId="9" fontId="73" fillId="0" borderId="0" applyFont="0" applyFill="0" applyBorder="0" applyAlignment="0" applyProtection="0">
      <alignment vertical="center"/>
    </xf>
    <xf numFmtId="9" fontId="1" fillId="0" borderId="0" applyFont="0" applyFill="0" applyBorder="0" applyAlignment="0" applyProtection="0">
      <alignment vertical="center"/>
    </xf>
    <xf numFmtId="0" fontId="104" fillId="0" borderId="0">
      <alignment vertical="center"/>
    </xf>
    <xf numFmtId="9" fontId="18" fillId="0" borderId="0" applyFon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xf numFmtId="0" fontId="143" fillId="0" borderId="0" applyNumberFormat="0" applyFill="0" applyBorder="0" applyAlignment="0" applyProtection="0">
      <alignment vertical="center"/>
    </xf>
    <xf numFmtId="0" fontId="155" fillId="0" borderId="0">
      <alignment vertical="center"/>
    </xf>
    <xf numFmtId="41" fontId="73" fillId="0" borderId="0" applyFont="0" applyFill="0" applyBorder="0" applyAlignment="0" applyProtection="0">
      <alignment vertical="center"/>
    </xf>
    <xf numFmtId="41" fontId="1" fillId="0" borderId="0" applyFont="0" applyFill="0" applyBorder="0" applyAlignment="0" applyProtection="0">
      <alignment vertical="center"/>
    </xf>
    <xf numFmtId="9" fontId="159" fillId="0" borderId="0" applyFont="0" applyFill="0" applyBorder="0" applyAlignment="0" applyProtection="0">
      <alignment vertical="center"/>
    </xf>
    <xf numFmtId="41" fontId="73" fillId="0" borderId="0" applyFont="0" applyFill="0" applyBorder="0" applyAlignment="0" applyProtection="0">
      <alignment vertical="center"/>
    </xf>
    <xf numFmtId="0" fontId="73" fillId="0" borderId="0">
      <alignment vertical="center"/>
    </xf>
    <xf numFmtId="0" fontId="1" fillId="0" borderId="0">
      <alignment vertical="center"/>
    </xf>
    <xf numFmtId="41" fontId="159" fillId="0" borderId="0" applyFont="0" applyFill="0" applyBorder="0" applyAlignment="0" applyProtection="0">
      <alignment vertical="center"/>
    </xf>
    <xf numFmtId="41" fontId="1" fillId="0" borderId="0" applyFont="0" applyFill="0" applyBorder="0" applyAlignment="0" applyProtection="0">
      <alignment vertical="center"/>
    </xf>
    <xf numFmtId="0" fontId="136" fillId="0" borderId="0">
      <alignment vertical="center"/>
    </xf>
    <xf numFmtId="0" fontId="178" fillId="0" borderId="0" applyNumberFormat="0" applyFill="0" applyBorder="0" applyAlignment="0" applyProtection="0">
      <alignment vertical="center"/>
    </xf>
    <xf numFmtId="0" fontId="143" fillId="0" borderId="0" applyNumberFormat="0" applyFill="0" applyBorder="0" applyAlignment="0" applyProtection="0">
      <alignment vertical="center"/>
    </xf>
  </cellStyleXfs>
  <cellXfs count="2454">
    <xf numFmtId="0" fontId="0" fillId="0" borderId="0" xfId="0">
      <alignment vertical="center"/>
    </xf>
    <xf numFmtId="0" fontId="1" fillId="0" borderId="0" xfId="3">
      <alignment vertical="center"/>
    </xf>
    <xf numFmtId="0" fontId="0" fillId="2" borderId="0" xfId="3" applyFont="1" applyFill="1" applyAlignment="1">
      <alignment horizontal="center" vertical="center"/>
    </xf>
    <xf numFmtId="0" fontId="1" fillId="3" borderId="0" xfId="3" applyFill="1">
      <alignment vertical="center"/>
    </xf>
    <xf numFmtId="0" fontId="4" fillId="0" borderId="0" xfId="3" applyFont="1" applyAlignment="1">
      <alignment horizontal="justify" vertical="center"/>
    </xf>
    <xf numFmtId="0" fontId="5" fillId="4" borderId="1" xfId="3" applyFont="1" applyFill="1" applyBorder="1" applyAlignment="1">
      <alignment horizontal="center" vertical="center"/>
    </xf>
    <xf numFmtId="0" fontId="7" fillId="6" borderId="0" xfId="3" applyFont="1" applyFill="1">
      <alignment vertical="center"/>
    </xf>
    <xf numFmtId="0" fontId="8" fillId="0" borderId="0" xfId="3" applyFont="1">
      <alignment vertical="center"/>
    </xf>
    <xf numFmtId="0" fontId="9" fillId="7" borderId="0" xfId="3" applyFont="1" applyFill="1">
      <alignment vertical="center"/>
    </xf>
    <xf numFmtId="0" fontId="1" fillId="7" borderId="0" xfId="3" applyFill="1">
      <alignment vertical="center"/>
    </xf>
    <xf numFmtId="0" fontId="10" fillId="0" borderId="3" xfId="3" applyFont="1" applyBorder="1" applyAlignment="1">
      <alignment vertical="center"/>
    </xf>
    <xf numFmtId="0" fontId="12" fillId="0" borderId="3" xfId="3" applyFont="1" applyBorder="1" applyAlignment="1">
      <alignment vertical="center"/>
    </xf>
    <xf numFmtId="0" fontId="10" fillId="8" borderId="4" xfId="3" applyFont="1" applyFill="1" applyBorder="1" applyAlignment="1">
      <alignment horizontal="center" vertical="center" wrapText="1"/>
    </xf>
    <xf numFmtId="14" fontId="13" fillId="9" borderId="5" xfId="3" applyNumberFormat="1" applyFont="1" applyFill="1" applyBorder="1" applyAlignment="1">
      <alignment horizontal="center" vertical="center" wrapText="1"/>
    </xf>
    <xf numFmtId="14" fontId="12" fillId="0" borderId="5" xfId="3" applyNumberFormat="1" applyFont="1" applyFill="1" applyBorder="1" applyAlignment="1">
      <alignment horizontal="center" vertical="center" wrapText="1"/>
    </xf>
    <xf numFmtId="0" fontId="14" fillId="0" borderId="0" xfId="3" applyFont="1" applyAlignment="1">
      <alignment horizontal="right" vertical="center"/>
    </xf>
    <xf numFmtId="0" fontId="10" fillId="8" borderId="6" xfId="3" applyFont="1" applyFill="1" applyBorder="1" applyAlignment="1">
      <alignment horizontal="center" vertical="center" wrapText="1"/>
    </xf>
    <xf numFmtId="3" fontId="13" fillId="0" borderId="7" xfId="3" applyNumberFormat="1" applyFont="1" applyFill="1" applyBorder="1" applyAlignment="1">
      <alignment horizontal="right" vertical="center" wrapText="1"/>
    </xf>
    <xf numFmtId="3" fontId="13" fillId="0" borderId="7" xfId="3" applyNumberFormat="1" applyFont="1" applyBorder="1" applyAlignment="1">
      <alignment horizontal="right" vertical="center" wrapText="1"/>
    </xf>
    <xf numFmtId="3" fontId="13" fillId="10" borderId="7" xfId="3" applyNumberFormat="1" applyFont="1" applyFill="1" applyBorder="1" applyAlignment="1">
      <alignment horizontal="right" vertical="center" wrapText="1"/>
    </xf>
    <xf numFmtId="41" fontId="13" fillId="0" borderId="7" xfId="3" applyNumberFormat="1" applyFont="1" applyBorder="1" applyAlignment="1">
      <alignment horizontal="right" vertical="center" wrapText="1"/>
    </xf>
    <xf numFmtId="0" fontId="1" fillId="5" borderId="0" xfId="3" applyFill="1">
      <alignment vertical="center"/>
    </xf>
    <xf numFmtId="0" fontId="10" fillId="5" borderId="6" xfId="3" applyFont="1" applyFill="1" applyBorder="1" applyAlignment="1">
      <alignment horizontal="center" vertical="center" wrapText="1"/>
    </xf>
    <xf numFmtId="3" fontId="16" fillId="5" borderId="7" xfId="3" applyNumberFormat="1" applyFont="1" applyFill="1" applyBorder="1" applyAlignment="1">
      <alignment horizontal="right" vertical="center" wrapText="1"/>
    </xf>
    <xf numFmtId="0" fontId="10" fillId="11" borderId="6" xfId="3" applyFont="1" applyFill="1" applyBorder="1" applyAlignment="1">
      <alignment horizontal="center" vertical="center" wrapText="1"/>
    </xf>
    <xf numFmtId="41" fontId="13" fillId="12" borderId="7" xfId="3" applyNumberFormat="1" applyFont="1" applyFill="1" applyBorder="1" applyAlignment="1">
      <alignment horizontal="right" vertical="center" wrapText="1"/>
    </xf>
    <xf numFmtId="41" fontId="13" fillId="12" borderId="0" xfId="3" applyNumberFormat="1" applyFont="1" applyFill="1" applyBorder="1" applyAlignment="1">
      <alignment horizontal="right" vertical="center" wrapText="1"/>
    </xf>
    <xf numFmtId="0" fontId="18" fillId="0" borderId="0" xfId="3" applyFont="1" applyFill="1">
      <alignment vertical="center"/>
    </xf>
    <xf numFmtId="0" fontId="1" fillId="0" borderId="0" xfId="3" applyFill="1">
      <alignment vertical="center"/>
    </xf>
    <xf numFmtId="0" fontId="20" fillId="0" borderId="0" xfId="3" applyFont="1" applyAlignment="1">
      <alignment horizontal="justify" vertical="center"/>
    </xf>
    <xf numFmtId="0" fontId="1" fillId="0" borderId="9" xfId="3" applyBorder="1" applyAlignment="1">
      <alignment horizontal="center" vertical="center"/>
    </xf>
    <xf numFmtId="0" fontId="21" fillId="0" borderId="0" xfId="3" applyFont="1" applyFill="1" applyAlignment="1">
      <alignment horizontal="right" vertical="center"/>
    </xf>
    <xf numFmtId="0" fontId="23" fillId="0" borderId="0" xfId="3" applyFont="1" applyAlignment="1">
      <alignment horizontal="left" vertical="center"/>
    </xf>
    <xf numFmtId="0" fontId="0" fillId="0" borderId="0" xfId="3" applyFont="1" applyFill="1" applyBorder="1">
      <alignment vertical="center"/>
    </xf>
    <xf numFmtId="0" fontId="0" fillId="0" borderId="0" xfId="3" applyFont="1" applyFill="1">
      <alignment vertical="center"/>
    </xf>
    <xf numFmtId="0" fontId="1" fillId="0" borderId="0" xfId="3" quotePrefix="1" applyFill="1">
      <alignment vertical="center"/>
    </xf>
    <xf numFmtId="14" fontId="0" fillId="0" borderId="0" xfId="3" applyNumberFormat="1" applyFont="1" applyFill="1">
      <alignment vertical="center"/>
    </xf>
    <xf numFmtId="3" fontId="1" fillId="0" borderId="0" xfId="3" applyNumberFormat="1" applyFill="1">
      <alignment vertical="center"/>
    </xf>
    <xf numFmtId="3" fontId="1" fillId="13" borderId="0" xfId="3" applyNumberFormat="1" applyFill="1">
      <alignment vertical="center"/>
    </xf>
    <xf numFmtId="0" fontId="23" fillId="0" borderId="0" xfId="3" applyFont="1" applyAlignment="1">
      <alignment horizontal="justify" vertical="center"/>
    </xf>
    <xf numFmtId="0" fontId="10" fillId="0" borderId="0" xfId="3" applyFont="1" applyAlignment="1">
      <alignment horizontal="left" vertical="center"/>
    </xf>
    <xf numFmtId="0" fontId="13" fillId="8" borderId="4" xfId="3" applyFont="1" applyFill="1" applyBorder="1" applyAlignment="1">
      <alignment horizontal="center" vertical="center" wrapText="1"/>
    </xf>
    <xf numFmtId="14" fontId="12" fillId="9" borderId="5" xfId="3" applyNumberFormat="1" applyFont="1" applyFill="1" applyBorder="1" applyAlignment="1">
      <alignment horizontal="center" vertical="center" wrapText="1"/>
    </xf>
    <xf numFmtId="0" fontId="13" fillId="0" borderId="0" xfId="3" applyFont="1" applyBorder="1" applyAlignment="1">
      <alignment horizontal="center" vertical="center" wrapText="1"/>
    </xf>
    <xf numFmtId="3" fontId="26" fillId="0" borderId="7" xfId="3" applyNumberFormat="1" applyFont="1" applyBorder="1" applyAlignment="1">
      <alignment horizontal="right" vertical="center" wrapText="1"/>
    </xf>
    <xf numFmtId="0" fontId="27" fillId="0" borderId="0" xfId="3" applyFont="1" applyBorder="1" applyAlignment="1">
      <alignment horizontal="center" vertical="center" wrapText="1"/>
    </xf>
    <xf numFmtId="0" fontId="28" fillId="0" borderId="0" xfId="3" applyFont="1" applyFill="1">
      <alignment vertical="center"/>
    </xf>
    <xf numFmtId="0" fontId="13" fillId="8" borderId="6" xfId="3" applyFont="1" applyFill="1" applyBorder="1" applyAlignment="1">
      <alignment horizontal="center" vertical="center" wrapText="1"/>
    </xf>
    <xf numFmtId="0" fontId="1" fillId="14" borderId="0" xfId="3" applyFont="1" applyFill="1">
      <alignment vertical="center"/>
    </xf>
    <xf numFmtId="0" fontId="1" fillId="14" borderId="0" xfId="3" applyFill="1">
      <alignment vertical="center"/>
    </xf>
    <xf numFmtId="3" fontId="1" fillId="14" borderId="0" xfId="3" applyNumberFormat="1" applyFill="1">
      <alignmen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29" fillId="12" borderId="0" xfId="3" applyFont="1" applyFill="1">
      <alignment vertical="center"/>
    </xf>
    <xf numFmtId="3" fontId="12" fillId="15" borderId="7" xfId="3" applyNumberFormat="1" applyFont="1" applyFill="1" applyBorder="1" applyAlignment="1">
      <alignment horizontal="right" vertical="center" wrapText="1"/>
    </xf>
    <xf numFmtId="0" fontId="21" fillId="0" borderId="2" xfId="3" applyFont="1" applyBorder="1" applyAlignment="1">
      <alignment horizontal="center" vertical="center"/>
    </xf>
    <xf numFmtId="3" fontId="10" fillId="10" borderId="7" xfId="3" applyNumberFormat="1" applyFont="1" applyFill="1" applyBorder="1" applyAlignment="1">
      <alignment horizontal="right" vertical="center" wrapText="1"/>
    </xf>
    <xf numFmtId="4" fontId="27" fillId="0" borderId="7" xfId="3" applyNumberFormat="1" applyFont="1" applyBorder="1" applyAlignment="1">
      <alignment horizontal="right" vertical="center" wrapText="1"/>
    </xf>
    <xf numFmtId="0" fontId="1" fillId="12" borderId="2" xfId="3" applyFill="1" applyBorder="1">
      <alignment vertical="center"/>
    </xf>
    <xf numFmtId="0" fontId="1" fillId="0" borderId="0" xfId="3" applyFont="1">
      <alignment vertical="center"/>
    </xf>
    <xf numFmtId="3" fontId="27" fillId="16" borderId="7" xfId="3" applyNumberFormat="1" applyFont="1" applyFill="1" applyBorder="1" applyAlignment="1">
      <alignment horizontal="right" vertical="center" wrapText="1"/>
    </xf>
    <xf numFmtId="3" fontId="27" fillId="0" borderId="0" xfId="3" applyNumberFormat="1" applyFont="1" applyBorder="1" applyAlignment="1">
      <alignment horizontal="right" vertical="center" wrapText="1"/>
    </xf>
    <xf numFmtId="0" fontId="27" fillId="0" borderId="7" xfId="3" applyFont="1" applyBorder="1" applyAlignment="1">
      <alignment horizontal="right" vertical="center" wrapText="1"/>
    </xf>
    <xf numFmtId="3" fontId="27" fillId="0" borderId="7" xfId="3" applyNumberFormat="1" applyFont="1" applyBorder="1" applyAlignment="1">
      <alignment horizontal="right" vertical="center" wrapText="1"/>
    </xf>
    <xf numFmtId="41" fontId="27" fillId="0" borderId="7" xfId="3" applyNumberFormat="1" applyFont="1" applyBorder="1" applyAlignment="1">
      <alignment horizontal="right" vertical="center" wrapText="1"/>
    </xf>
    <xf numFmtId="41" fontId="27" fillId="0" borderId="7" xfId="4" applyFont="1" applyFill="1" applyBorder="1" applyAlignment="1">
      <alignment horizontal="right" vertical="center" wrapText="1"/>
    </xf>
    <xf numFmtId="41" fontId="27" fillId="15" borderId="7" xfId="4" applyFont="1" applyFill="1" applyBorder="1" applyAlignment="1">
      <alignment horizontal="right" vertical="center" wrapText="1"/>
    </xf>
    <xf numFmtId="41" fontId="27" fillId="0" borderId="0" xfId="4" applyFont="1" applyFill="1" applyBorder="1" applyAlignment="1">
      <alignment horizontal="right" vertical="center" wrapText="1"/>
    </xf>
    <xf numFmtId="0" fontId="2" fillId="0" borderId="0" xfId="3" applyFont="1" applyFill="1">
      <alignment vertical="center"/>
    </xf>
    <xf numFmtId="3" fontId="13" fillId="0" borderId="0" xfId="3" applyNumberFormat="1" applyFont="1" applyFill="1" applyBorder="1" applyAlignment="1">
      <alignment horizontal="right" vertical="center" wrapText="1"/>
    </xf>
    <xf numFmtId="14" fontId="13" fillId="17" borderId="5" xfId="3" applyNumberFormat="1" applyFont="1" applyFill="1" applyBorder="1" applyAlignment="1">
      <alignment horizontal="center" vertical="center" wrapText="1"/>
    </xf>
    <xf numFmtId="41" fontId="27" fillId="16" borderId="12" xfId="3" applyNumberFormat="1" applyFont="1" applyFill="1" applyBorder="1" applyAlignment="1">
      <alignment horizontal="right" vertical="center" wrapText="1"/>
    </xf>
    <xf numFmtId="41" fontId="27" fillId="17" borderId="12" xfId="3" applyNumberFormat="1" applyFont="1" applyFill="1" applyBorder="1" applyAlignment="1">
      <alignment horizontal="right" vertical="center" wrapText="1"/>
    </xf>
    <xf numFmtId="0" fontId="1" fillId="18" borderId="0" xfId="3" applyFill="1">
      <alignment vertical="center"/>
    </xf>
    <xf numFmtId="3" fontId="27" fillId="0" borderId="7" xfId="3" applyNumberFormat="1" applyFont="1" applyFill="1" applyBorder="1" applyAlignment="1">
      <alignment horizontal="right" vertical="center" wrapText="1"/>
    </xf>
    <xf numFmtId="3" fontId="27" fillId="15" borderId="7" xfId="3" applyNumberFormat="1" applyFont="1" applyFill="1" applyBorder="1" applyAlignment="1">
      <alignment horizontal="right" vertical="center" wrapText="1"/>
    </xf>
    <xf numFmtId="3" fontId="13" fillId="17" borderId="12" xfId="3" applyNumberFormat="1" applyFont="1" applyFill="1" applyBorder="1" applyAlignment="1">
      <alignment horizontal="right" vertical="center" wrapText="1"/>
    </xf>
    <xf numFmtId="0" fontId="14" fillId="0" borderId="0" xfId="3" applyFont="1">
      <alignment vertical="center"/>
    </xf>
    <xf numFmtId="9" fontId="1" fillId="10" borderId="0" xfId="3" applyNumberFormat="1" applyFill="1">
      <alignment vertical="center"/>
    </xf>
    <xf numFmtId="0" fontId="32" fillId="0" borderId="0" xfId="3" applyFont="1" applyFill="1">
      <alignment vertical="center"/>
    </xf>
    <xf numFmtId="14" fontId="13" fillId="9" borderId="2" xfId="3" applyNumberFormat="1" applyFont="1" applyFill="1" applyBorder="1" applyAlignment="1">
      <alignment horizontal="center" vertical="center" wrapText="1"/>
    </xf>
    <xf numFmtId="14" fontId="28" fillId="12" borderId="2" xfId="3" applyNumberFormat="1" applyFont="1" applyFill="1" applyBorder="1" applyAlignment="1">
      <alignment horizontal="center" vertical="center"/>
    </xf>
    <xf numFmtId="3" fontId="33" fillId="19" borderId="14" xfId="5" applyNumberFormat="1" applyFont="1" applyFill="1" applyBorder="1" applyAlignment="1">
      <alignment vertical="center" wrapText="1"/>
    </xf>
    <xf numFmtId="10" fontId="34" fillId="19" borderId="15" xfId="5" applyNumberFormat="1" applyFont="1" applyFill="1" applyBorder="1" applyAlignment="1">
      <alignment vertical="center" wrapText="1"/>
    </xf>
    <xf numFmtId="10" fontId="34" fillId="19" borderId="16" xfId="5" applyNumberFormat="1" applyFont="1" applyFill="1" applyBorder="1" applyAlignment="1">
      <alignment vertical="center" wrapText="1"/>
    </xf>
    <xf numFmtId="0" fontId="0" fillId="0" borderId="0" xfId="3" applyFont="1">
      <alignment vertical="center"/>
    </xf>
    <xf numFmtId="10" fontId="34" fillId="0" borderId="7" xfId="5" applyNumberFormat="1" applyFont="1" applyBorder="1" applyAlignment="1">
      <alignment horizontal="center" vertical="center" wrapText="1"/>
    </xf>
    <xf numFmtId="4" fontId="13" fillId="0" borderId="7" xfId="3" applyNumberFormat="1" applyFont="1" applyBorder="1" applyAlignment="1">
      <alignment horizontal="right" vertical="center" wrapText="1"/>
    </xf>
    <xf numFmtId="10" fontId="13" fillId="0" borderId="7" xfId="6" applyNumberFormat="1" applyFont="1" applyBorder="1" applyAlignment="1">
      <alignment horizontal="right" vertical="center" wrapText="1"/>
    </xf>
    <xf numFmtId="176" fontId="13" fillId="0" borderId="7" xfId="3" applyNumberFormat="1" applyFont="1" applyBorder="1" applyAlignment="1">
      <alignment horizontal="right" vertical="center" wrapText="1"/>
    </xf>
    <xf numFmtId="3" fontId="13" fillId="0" borderId="0" xfId="3" applyNumberFormat="1" applyFont="1" applyAlignment="1">
      <alignment horizontal="right" vertical="center" wrapText="1"/>
    </xf>
    <xf numFmtId="0" fontId="13" fillId="0" borderId="0" xfId="3" applyFont="1" applyAlignment="1">
      <alignment horizontal="right" vertical="center" wrapText="1"/>
    </xf>
    <xf numFmtId="3" fontId="33" fillId="19" borderId="18" xfId="5" applyNumberFormat="1" applyFont="1" applyFill="1" applyBorder="1" applyAlignment="1">
      <alignment vertical="center" wrapText="1"/>
    </xf>
    <xf numFmtId="0" fontId="13" fillId="8" borderId="19" xfId="3" applyFont="1" applyFill="1" applyBorder="1" applyAlignment="1">
      <alignment horizontal="center" vertical="center" wrapText="1"/>
    </xf>
    <xf numFmtId="0" fontId="15" fillId="0" borderId="0" xfId="3" applyFont="1" applyAlignment="1">
      <alignment horizontal="right" vertical="center" wrapText="1"/>
    </xf>
    <xf numFmtId="0" fontId="37" fillId="0" borderId="0" xfId="3" applyFont="1" applyAlignment="1">
      <alignment horizontal="justify" vertical="center"/>
    </xf>
    <xf numFmtId="3" fontId="13" fillId="17" borderId="7" xfId="3" applyNumberFormat="1" applyFont="1" applyFill="1" applyBorder="1" applyAlignment="1">
      <alignment horizontal="right" vertical="center" wrapText="1"/>
    </xf>
    <xf numFmtId="4" fontId="13" fillId="17" borderId="7" xfId="3" applyNumberFormat="1" applyFont="1" applyFill="1" applyBorder="1" applyAlignment="1">
      <alignment horizontal="right" vertical="center" wrapText="1"/>
    </xf>
    <xf numFmtId="10" fontId="13" fillId="17" borderId="7" xfId="6" applyNumberFormat="1" applyFont="1" applyFill="1" applyBorder="1" applyAlignment="1">
      <alignment horizontal="right" vertical="center" wrapText="1"/>
    </xf>
    <xf numFmtId="176" fontId="13" fillId="17" borderId="7" xfId="3" applyNumberFormat="1" applyFont="1" applyFill="1" applyBorder="1" applyAlignment="1">
      <alignment horizontal="right" vertical="center" wrapText="1"/>
    </xf>
    <xf numFmtId="0" fontId="2" fillId="0" borderId="0" xfId="3" applyFont="1">
      <alignment vertical="center"/>
    </xf>
    <xf numFmtId="0" fontId="6" fillId="0" borderId="0" xfId="3" applyFont="1" applyFill="1">
      <alignment vertical="center"/>
    </xf>
    <xf numFmtId="0" fontId="42" fillId="0" borderId="0" xfId="3" applyFont="1" applyAlignment="1">
      <alignment horizontal="right" vertical="center"/>
    </xf>
    <xf numFmtId="0" fontId="13" fillId="0" borderId="0" xfId="3" applyFont="1" applyAlignment="1">
      <alignment vertical="center" wrapText="1"/>
    </xf>
    <xf numFmtId="0" fontId="4" fillId="8" borderId="4" xfId="3" applyFont="1" applyFill="1" applyBorder="1" applyAlignment="1">
      <alignment horizontal="center" vertical="center" wrapText="1"/>
    </xf>
    <xf numFmtId="0" fontId="4" fillId="8" borderId="5" xfId="3" applyFont="1" applyFill="1" applyBorder="1" applyAlignment="1">
      <alignment horizontal="center" vertical="center" wrapText="1"/>
    </xf>
    <xf numFmtId="0" fontId="0" fillId="0" borderId="21" xfId="3" applyFont="1" applyBorder="1" applyAlignment="1">
      <alignment horizontal="center" vertical="center"/>
    </xf>
    <xf numFmtId="0" fontId="0" fillId="0" borderId="22" xfId="3" applyFont="1" applyBorder="1" applyAlignment="1">
      <alignment horizontal="center" vertical="center"/>
    </xf>
    <xf numFmtId="0" fontId="33" fillId="8" borderId="4" xfId="3" applyFont="1" applyFill="1" applyBorder="1" applyAlignment="1">
      <alignment horizontal="center" vertical="center" wrapText="1"/>
    </xf>
    <xf numFmtId="0" fontId="33" fillId="8" borderId="5" xfId="3" applyFont="1" applyFill="1" applyBorder="1" applyAlignment="1">
      <alignment horizontal="center" vertical="center" wrapText="1"/>
    </xf>
    <xf numFmtId="0" fontId="0" fillId="0" borderId="0" xfId="3" applyFont="1" applyAlignment="1">
      <alignment horizontal="center" vertical="center"/>
    </xf>
    <xf numFmtId="41" fontId="1" fillId="0" borderId="0" xfId="4" applyAlignment="1">
      <alignment horizontal="center" vertical="center"/>
    </xf>
    <xf numFmtId="0" fontId="43" fillId="0" borderId="6" xfId="3" applyFont="1" applyBorder="1" applyAlignment="1">
      <alignment horizontal="center" vertical="center" wrapText="1"/>
    </xf>
    <xf numFmtId="41" fontId="43" fillId="0" borderId="7" xfId="4" applyFont="1" applyBorder="1" applyAlignment="1">
      <alignment horizontal="center" vertical="center" wrapText="1"/>
    </xf>
    <xf numFmtId="43" fontId="1" fillId="0" borderId="23" xfId="4" applyNumberFormat="1" applyBorder="1" applyAlignment="1">
      <alignment horizontal="center" vertical="center"/>
    </xf>
    <xf numFmtId="43" fontId="1" fillId="0" borderId="0" xfId="3" applyNumberFormat="1" applyAlignment="1">
      <alignment horizontal="center" vertical="center"/>
    </xf>
    <xf numFmtId="0" fontId="35" fillId="0" borderId="6" xfId="3" applyFont="1" applyBorder="1" applyAlignment="1">
      <alignment horizontal="center" vertical="center" wrapText="1"/>
    </xf>
    <xf numFmtId="3" fontId="35" fillId="0" borderId="7" xfId="3" applyNumberFormat="1" applyFont="1" applyBorder="1" applyAlignment="1">
      <alignment horizontal="center" vertical="center" wrapText="1"/>
    </xf>
    <xf numFmtId="41" fontId="1" fillId="0" borderId="24" xfId="4" applyBorder="1" applyAlignment="1">
      <alignment horizontal="center" vertical="center"/>
    </xf>
    <xf numFmtId="3" fontId="1" fillId="0" borderId="0" xfId="3" applyNumberFormat="1">
      <alignment vertical="center"/>
    </xf>
    <xf numFmtId="41" fontId="1" fillId="0" borderId="25" xfId="3" applyNumberFormat="1" applyBorder="1" applyAlignment="1">
      <alignment horizontal="center" vertical="center"/>
    </xf>
    <xf numFmtId="41" fontId="28" fillId="0" borderId="26" xfId="3" applyNumberFormat="1" applyFont="1" applyBorder="1" applyAlignment="1">
      <alignment horizontal="center" vertical="center"/>
    </xf>
    <xf numFmtId="41" fontId="28" fillId="0" borderId="25" xfId="3" applyNumberFormat="1" applyFont="1" applyBorder="1" applyAlignment="1">
      <alignment horizontal="center" vertical="center"/>
    </xf>
    <xf numFmtId="0" fontId="1" fillId="0" borderId="0" xfId="3" applyAlignment="1">
      <alignment horizontal="center" vertical="center"/>
    </xf>
    <xf numFmtId="0" fontId="35" fillId="20" borderId="6" xfId="3" applyFont="1" applyFill="1" applyBorder="1" applyAlignment="1">
      <alignment horizontal="center" vertical="center" wrapText="1"/>
    </xf>
    <xf numFmtId="3" fontId="35" fillId="20" borderId="7" xfId="3" applyNumberFormat="1" applyFont="1" applyFill="1" applyBorder="1" applyAlignment="1">
      <alignment horizontal="center" vertical="center" wrapText="1"/>
    </xf>
    <xf numFmtId="3" fontId="44" fillId="20" borderId="7" xfId="3" applyNumberFormat="1" applyFont="1" applyFill="1" applyBorder="1" applyAlignment="1">
      <alignment horizontal="center" vertical="center" wrapText="1"/>
    </xf>
    <xf numFmtId="10" fontId="45" fillId="0" borderId="27" xfId="6" applyNumberFormat="1" applyFont="1" applyBorder="1" applyAlignment="1">
      <alignment horizontal="center" vertical="center"/>
    </xf>
    <xf numFmtId="10" fontId="45" fillId="0" borderId="0" xfId="6" applyNumberFormat="1" applyFont="1" applyAlignment="1">
      <alignment horizontal="center" vertical="center"/>
    </xf>
    <xf numFmtId="0" fontId="34" fillId="21" borderId="6" xfId="3" applyFont="1" applyFill="1" applyBorder="1" applyAlignment="1">
      <alignment horizontal="center" vertical="center" wrapText="1"/>
    </xf>
    <xf numFmtId="3" fontId="34" fillId="21" borderId="7" xfId="3" applyNumberFormat="1" applyFont="1" applyFill="1" applyBorder="1" applyAlignment="1">
      <alignment horizontal="center" vertical="center" wrapText="1"/>
    </xf>
    <xf numFmtId="0" fontId="46" fillId="0" borderId="28" xfId="3" applyFont="1" applyBorder="1">
      <alignment vertical="center"/>
    </xf>
    <xf numFmtId="0" fontId="47" fillId="0" borderId="29" xfId="3" applyFont="1" applyBorder="1">
      <alignment vertical="center"/>
    </xf>
    <xf numFmtId="0" fontId="47" fillId="0" borderId="30" xfId="3" applyFont="1" applyBorder="1">
      <alignment vertical="center"/>
    </xf>
    <xf numFmtId="0" fontId="47" fillId="0" borderId="31" xfId="3" applyFont="1" applyBorder="1">
      <alignment vertical="center"/>
    </xf>
    <xf numFmtId="0" fontId="47" fillId="0" borderId="0" xfId="3" applyFont="1" applyBorder="1">
      <alignment vertical="center"/>
    </xf>
    <xf numFmtId="0" fontId="47" fillId="0" borderId="32" xfId="3" applyFont="1" applyBorder="1">
      <alignment vertical="center"/>
    </xf>
    <xf numFmtId="0" fontId="48" fillId="0" borderId="31" xfId="3" applyFont="1" applyBorder="1">
      <alignment vertical="center"/>
    </xf>
    <xf numFmtId="41" fontId="1" fillId="0" borderId="0" xfId="3" applyNumberFormat="1">
      <alignment vertical="center"/>
    </xf>
    <xf numFmtId="0" fontId="1" fillId="0" borderId="0" xfId="3" applyFont="1" applyFill="1" applyBorder="1" applyAlignment="1">
      <alignment horizontal="center" vertical="center"/>
    </xf>
    <xf numFmtId="0" fontId="47" fillId="0" borderId="33" xfId="3" applyFont="1" applyBorder="1">
      <alignment vertical="center"/>
    </xf>
    <xf numFmtId="0" fontId="47" fillId="0" borderId="1" xfId="3" applyFont="1" applyBorder="1">
      <alignment vertical="center"/>
    </xf>
    <xf numFmtId="0" fontId="47" fillId="0" borderId="34" xfId="3" applyFont="1" applyBorder="1">
      <alignment vertical="center"/>
    </xf>
    <xf numFmtId="0" fontId="49" fillId="10" borderId="0" xfId="3" applyFont="1" applyFill="1" applyBorder="1" applyAlignment="1">
      <alignment horizontal="left" vertical="center"/>
    </xf>
    <xf numFmtId="0" fontId="1" fillId="10" borderId="0" xfId="3" applyFill="1">
      <alignment vertical="center"/>
    </xf>
    <xf numFmtId="0" fontId="50" fillId="22" borderId="28" xfId="3" applyFont="1" applyFill="1" applyBorder="1" applyAlignment="1">
      <alignment horizontal="left" vertical="center"/>
    </xf>
    <xf numFmtId="0" fontId="1" fillId="22" borderId="29" xfId="3" applyFill="1" applyBorder="1">
      <alignment vertical="center"/>
    </xf>
    <xf numFmtId="0" fontId="0" fillId="22" borderId="30" xfId="3" applyFont="1" applyFill="1" applyBorder="1">
      <alignment vertical="center"/>
    </xf>
    <xf numFmtId="0" fontId="51" fillId="0" borderId="0" xfId="3" applyFont="1" applyFill="1" applyBorder="1" applyAlignment="1">
      <alignment horizontal="center" vertical="center"/>
    </xf>
    <xf numFmtId="0" fontId="51" fillId="0" borderId="0" xfId="3" applyFont="1" applyAlignment="1">
      <alignment horizontal="center" vertical="center"/>
    </xf>
    <xf numFmtId="0" fontId="51" fillId="0" borderId="0" xfId="3" applyFont="1">
      <alignment vertical="center"/>
    </xf>
    <xf numFmtId="0" fontId="0" fillId="22" borderId="31" xfId="3" applyFont="1" applyFill="1" applyBorder="1" applyAlignment="1">
      <alignment horizontal="left" vertical="center"/>
    </xf>
    <xf numFmtId="0" fontId="1" fillId="22" borderId="0" xfId="3" applyFill="1" applyBorder="1">
      <alignment vertical="center"/>
    </xf>
    <xf numFmtId="0" fontId="1" fillId="22" borderId="32" xfId="3" applyFill="1" applyBorder="1">
      <alignment vertical="center"/>
    </xf>
    <xf numFmtId="14" fontId="51" fillId="23" borderId="2" xfId="3" applyNumberFormat="1" applyFont="1" applyFill="1" applyBorder="1" applyAlignment="1">
      <alignment horizontal="center" vertical="center"/>
    </xf>
    <xf numFmtId="0" fontId="52" fillId="22" borderId="31" xfId="3" applyFont="1" applyFill="1" applyBorder="1" applyAlignment="1">
      <alignment horizontal="left" vertical="center"/>
    </xf>
    <xf numFmtId="14" fontId="51" fillId="0" borderId="2" xfId="3" applyNumberFormat="1" applyFont="1" applyFill="1" applyBorder="1" applyAlignment="1">
      <alignment horizontal="center" vertical="center"/>
    </xf>
    <xf numFmtId="41" fontId="51" fillId="0" borderId="2" xfId="4" applyFont="1" applyBorder="1">
      <alignment vertical="center"/>
    </xf>
    <xf numFmtId="0" fontId="0" fillId="22" borderId="33" xfId="3" applyFont="1" applyFill="1" applyBorder="1" applyAlignment="1">
      <alignment horizontal="left" vertical="center"/>
    </xf>
    <xf numFmtId="0" fontId="1" fillId="22" borderId="1" xfId="3" applyFill="1" applyBorder="1">
      <alignment vertical="center"/>
    </xf>
    <xf numFmtId="0" fontId="1" fillId="22" borderId="34" xfId="3" applyFill="1" applyBorder="1">
      <alignment vertical="center"/>
    </xf>
    <xf numFmtId="14" fontId="1" fillId="14" borderId="0" xfId="3" applyNumberFormat="1" applyFill="1">
      <alignment vertical="center"/>
    </xf>
    <xf numFmtId="0" fontId="0" fillId="14" borderId="0" xfId="3" applyFont="1" applyFill="1">
      <alignment vertical="center"/>
    </xf>
    <xf numFmtId="0" fontId="34" fillId="19" borderId="5" xfId="0" applyFont="1" applyFill="1" applyBorder="1" applyAlignment="1">
      <alignment horizontal="center" vertical="center" wrapText="1"/>
    </xf>
    <xf numFmtId="14" fontId="34" fillId="24" borderId="5" xfId="0" applyNumberFormat="1" applyFont="1" applyFill="1" applyBorder="1" applyAlignment="1">
      <alignment horizontal="center" vertical="center" wrapText="1"/>
    </xf>
    <xf numFmtId="0" fontId="34" fillId="24" borderId="5" xfId="0" applyFont="1" applyFill="1" applyBorder="1" applyAlignment="1">
      <alignment horizontal="center" vertical="center" wrapText="1"/>
    </xf>
    <xf numFmtId="0" fontId="34" fillId="24" borderId="11" xfId="0" applyFont="1" applyFill="1" applyBorder="1" applyAlignment="1">
      <alignment horizontal="center" vertical="center" wrapText="1"/>
    </xf>
    <xf numFmtId="0" fontId="34" fillId="19" borderId="7" xfId="0" applyFont="1" applyFill="1" applyBorder="1" applyAlignment="1">
      <alignment horizontal="center" vertical="center" wrapText="1"/>
    </xf>
    <xf numFmtId="14" fontId="34" fillId="24" borderId="7" xfId="0" applyNumberFormat="1" applyFont="1" applyFill="1" applyBorder="1" applyAlignment="1">
      <alignment horizontal="center" vertical="center" wrapText="1"/>
    </xf>
    <xf numFmtId="14" fontId="34" fillId="24" borderId="3" xfId="0" applyNumberFormat="1" applyFont="1" applyFill="1" applyBorder="1" applyAlignment="1">
      <alignment horizontal="center" vertical="center" wrapText="1"/>
    </xf>
    <xf numFmtId="0" fontId="53" fillId="19" borderId="7" xfId="0" applyFont="1" applyFill="1" applyBorder="1" applyAlignment="1">
      <alignment horizontal="center" vertical="center" wrapText="1"/>
    </xf>
    <xf numFmtId="3" fontId="34" fillId="0" borderId="7" xfId="0" applyNumberFormat="1" applyFont="1" applyBorder="1" applyAlignment="1">
      <alignment horizontal="center" vertical="center" wrapText="1"/>
    </xf>
    <xf numFmtId="3" fontId="34" fillId="0" borderId="3" xfId="0" applyNumberFormat="1" applyFont="1" applyBorder="1" applyAlignment="1">
      <alignment horizontal="center" vertical="center" wrapText="1"/>
    </xf>
    <xf numFmtId="3" fontId="34" fillId="11" borderId="7" xfId="0" applyNumberFormat="1" applyFont="1" applyFill="1" applyBorder="1" applyAlignment="1">
      <alignment horizontal="center" vertical="center" wrapText="1"/>
    </xf>
    <xf numFmtId="3" fontId="34" fillId="11" borderId="3" xfId="0" applyNumberFormat="1" applyFont="1" applyFill="1" applyBorder="1" applyAlignment="1">
      <alignment horizontal="center" vertical="center" wrapText="1"/>
    </xf>
    <xf numFmtId="0" fontId="34" fillId="25" borderId="5" xfId="0" applyFont="1" applyFill="1" applyBorder="1" applyAlignment="1">
      <alignment horizontal="center" vertical="center" wrapText="1"/>
    </xf>
    <xf numFmtId="0" fontId="34" fillId="24" borderId="36" xfId="0" applyFont="1" applyFill="1" applyBorder="1" applyAlignment="1">
      <alignment horizontal="center" vertical="center" wrapText="1"/>
    </xf>
    <xf numFmtId="0" fontId="34" fillId="0" borderId="7" xfId="0" applyFont="1" applyBorder="1" applyAlignment="1">
      <alignment horizontal="center" vertical="center" wrapText="1"/>
    </xf>
    <xf numFmtId="0" fontId="34" fillId="0" borderId="3" xfId="0" applyFont="1" applyBorder="1" applyAlignment="1">
      <alignment horizontal="center" vertical="center" wrapText="1"/>
    </xf>
    <xf numFmtId="0" fontId="34" fillId="19" borderId="37" xfId="0" applyFont="1" applyFill="1" applyBorder="1" applyAlignment="1">
      <alignment horizontal="center" vertical="center" wrapText="1"/>
    </xf>
    <xf numFmtId="0" fontId="0" fillId="0" borderId="0" xfId="0" applyAlignment="1">
      <alignment horizontal="center" vertical="center"/>
    </xf>
    <xf numFmtId="0" fontId="34" fillId="11" borderId="7" xfId="0" applyFont="1" applyFill="1" applyBorder="1" applyAlignment="1">
      <alignment horizontal="center" vertical="center" wrapText="1"/>
    </xf>
    <xf numFmtId="0" fontId="34" fillId="11" borderId="3" xfId="0" applyFont="1" applyFill="1" applyBorder="1" applyAlignment="1">
      <alignment horizontal="center" vertical="center" wrapText="1"/>
    </xf>
    <xf numFmtId="3" fontId="34" fillId="26" borderId="7" xfId="0" applyNumberFormat="1" applyFont="1" applyFill="1" applyBorder="1" applyAlignment="1">
      <alignment horizontal="center" vertical="center" wrapText="1"/>
    </xf>
    <xf numFmtId="3" fontId="34" fillId="26" borderId="3"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3" fontId="34" fillId="28" borderId="7" xfId="0" applyNumberFormat="1" applyFont="1" applyFill="1" applyBorder="1" applyAlignment="1">
      <alignment horizontal="center" vertical="center" wrapText="1"/>
    </xf>
    <xf numFmtId="3" fontId="34" fillId="28" borderId="3" xfId="0" applyNumberFormat="1" applyFont="1" applyFill="1" applyBorder="1" applyAlignment="1">
      <alignment horizontal="center" vertical="center" wrapText="1"/>
    </xf>
    <xf numFmtId="0" fontId="53" fillId="28" borderId="7" xfId="0" applyFont="1" applyFill="1" applyBorder="1" applyAlignment="1">
      <alignment horizontal="center" vertical="center" wrapText="1"/>
    </xf>
    <xf numFmtId="0" fontId="34" fillId="28" borderId="3" xfId="0" applyFont="1" applyFill="1" applyBorder="1" applyAlignment="1">
      <alignment horizontal="center" vertical="center" wrapText="1"/>
    </xf>
    <xf numFmtId="0" fontId="34" fillId="19" borderId="38" xfId="0" applyFont="1" applyFill="1" applyBorder="1" applyAlignment="1">
      <alignment horizontal="center" vertical="center" wrapText="1"/>
    </xf>
    <xf numFmtId="0" fontId="34" fillId="19" borderId="39" xfId="0" applyFont="1" applyFill="1" applyBorder="1" applyAlignment="1">
      <alignment horizontal="center" vertical="center" wrapText="1"/>
    </xf>
    <xf numFmtId="0" fontId="34" fillId="19" borderId="40" xfId="0" applyFont="1" applyFill="1" applyBorder="1" applyAlignment="1">
      <alignment horizontal="center" vertical="center" wrapText="1"/>
    </xf>
    <xf numFmtId="3" fontId="54" fillId="11" borderId="11" xfId="0" applyNumberFormat="1" applyFont="1" applyFill="1" applyBorder="1" applyAlignment="1">
      <alignment horizontal="center" vertical="center" wrapText="1"/>
    </xf>
    <xf numFmtId="0" fontId="34" fillId="24" borderId="37" xfId="0" applyFont="1" applyFill="1" applyBorder="1" applyAlignment="1">
      <alignment horizontal="center" vertical="center" wrapText="1"/>
    </xf>
    <xf numFmtId="3" fontId="34" fillId="27" borderId="7" xfId="0" applyNumberFormat="1" applyFont="1" applyFill="1" applyBorder="1" applyAlignment="1">
      <alignment horizontal="center" vertical="center" wrapText="1"/>
    </xf>
    <xf numFmtId="2" fontId="34" fillId="0" borderId="7" xfId="0" applyNumberFormat="1" applyFont="1" applyBorder="1" applyAlignment="1">
      <alignment horizontal="center" vertical="center" wrapText="1"/>
    </xf>
    <xf numFmtId="10" fontId="34" fillId="0" borderId="7" xfId="0" applyNumberFormat="1" applyFont="1" applyBorder="1" applyAlignment="1">
      <alignment horizontal="center" vertical="center" wrapText="1"/>
    </xf>
    <xf numFmtId="3" fontId="34" fillId="11" borderId="38" xfId="0" applyNumberFormat="1" applyFont="1" applyFill="1" applyBorder="1" applyAlignment="1">
      <alignment horizontal="center" vertical="center" wrapText="1"/>
    </xf>
    <xf numFmtId="0" fontId="33" fillId="19" borderId="5" xfId="0" applyFont="1" applyFill="1" applyBorder="1" applyAlignment="1">
      <alignment horizontal="center" vertical="center" wrapText="1"/>
    </xf>
    <xf numFmtId="14" fontId="34" fillId="19" borderId="5" xfId="0" applyNumberFormat="1" applyFont="1" applyFill="1" applyBorder="1" applyAlignment="1">
      <alignment horizontal="center" vertical="center" wrapText="1"/>
    </xf>
    <xf numFmtId="14" fontId="34" fillId="19" borderId="11" xfId="0" applyNumberFormat="1" applyFont="1" applyFill="1" applyBorder="1" applyAlignment="1">
      <alignment horizontal="center" vertical="center" wrapText="1"/>
    </xf>
    <xf numFmtId="0" fontId="42" fillId="26" borderId="7" xfId="0" applyFont="1" applyFill="1" applyBorder="1" applyAlignment="1">
      <alignment horizontal="center" vertical="center" wrapText="1"/>
    </xf>
    <xf numFmtId="3" fontId="35" fillId="26" borderId="7" xfId="0" applyNumberFormat="1" applyFont="1" applyFill="1" applyBorder="1" applyAlignment="1">
      <alignment horizontal="center" vertical="center" wrapText="1"/>
    </xf>
    <xf numFmtId="3" fontId="35" fillId="26" borderId="3" xfId="0" applyNumberFormat="1" applyFont="1" applyFill="1" applyBorder="1" applyAlignment="1">
      <alignment horizontal="center" vertical="center" wrapText="1"/>
    </xf>
    <xf numFmtId="0" fontId="35" fillId="0" borderId="7" xfId="0" applyFont="1" applyBorder="1" applyAlignment="1">
      <alignment horizontal="center" vertical="center" wrapText="1"/>
    </xf>
    <xf numFmtId="3" fontId="35" fillId="0" borderId="7" xfId="0" applyNumberFormat="1" applyFont="1" applyBorder="1" applyAlignment="1">
      <alignment horizontal="justify" vertical="center" wrapText="1"/>
    </xf>
    <xf numFmtId="3" fontId="35" fillId="0" borderId="7" xfId="0" applyNumberFormat="1" applyFont="1" applyBorder="1" applyAlignment="1">
      <alignment horizontal="center" vertical="center" wrapText="1"/>
    </xf>
    <xf numFmtId="3" fontId="35" fillId="0" borderId="3" xfId="0" applyNumberFormat="1" applyFont="1" applyBorder="1" applyAlignment="1">
      <alignment horizontal="center" vertical="center" wrapText="1"/>
    </xf>
    <xf numFmtId="0" fontId="35" fillId="0" borderId="7" xfId="0" applyFont="1" applyBorder="1" applyAlignment="1">
      <alignment horizontal="justify" vertical="center" wrapText="1"/>
    </xf>
    <xf numFmtId="0" fontId="35" fillId="0" borderId="3" xfId="0" applyFont="1" applyBorder="1" applyAlignment="1">
      <alignment horizontal="center" vertical="center" wrapText="1"/>
    </xf>
    <xf numFmtId="3" fontId="13" fillId="11" borderId="11" xfId="0" applyNumberFormat="1" applyFont="1" applyFill="1" applyBorder="1" applyAlignment="1">
      <alignment horizontal="center" vertical="center" wrapText="1"/>
    </xf>
    <xf numFmtId="41" fontId="62" fillId="0" borderId="0" xfId="7" applyFont="1">
      <alignment vertical="center"/>
    </xf>
    <xf numFmtId="41" fontId="62" fillId="0" borderId="43" xfId="7" applyFont="1" applyFill="1" applyBorder="1" applyAlignment="1">
      <alignment horizontal="center" vertical="center"/>
    </xf>
    <xf numFmtId="41" fontId="65" fillId="0" borderId="43" xfId="7" applyFont="1" applyFill="1" applyBorder="1" applyAlignment="1">
      <alignment horizontal="center" vertical="center"/>
    </xf>
    <xf numFmtId="41" fontId="67" fillId="0" borderId="0" xfId="7" applyFont="1" applyFill="1" applyBorder="1" applyAlignment="1">
      <alignment horizontal="left" vertical="center"/>
    </xf>
    <xf numFmtId="41" fontId="62" fillId="0" borderId="46" xfId="7" applyFont="1" applyFill="1" applyBorder="1" applyAlignment="1">
      <alignment horizontal="center" vertical="center"/>
    </xf>
    <xf numFmtId="0" fontId="62" fillId="0" borderId="0" xfId="8" applyFont="1" applyFill="1" applyBorder="1">
      <alignment vertical="center"/>
    </xf>
    <xf numFmtId="0" fontId="62" fillId="0" borderId="0" xfId="8" applyFont="1" applyFill="1">
      <alignment vertical="center"/>
    </xf>
    <xf numFmtId="0" fontId="62" fillId="0" borderId="45" xfId="8" applyFont="1" applyFill="1" applyBorder="1">
      <alignment vertical="center"/>
    </xf>
    <xf numFmtId="0" fontId="62" fillId="0" borderId="24" xfId="8" applyFont="1" applyFill="1" applyBorder="1">
      <alignment vertical="center"/>
    </xf>
    <xf numFmtId="0" fontId="62" fillId="0" borderId="46" xfId="8" applyFont="1" applyFill="1" applyBorder="1" applyAlignment="1">
      <alignment horizontal="center" vertical="center"/>
    </xf>
    <xf numFmtId="0" fontId="71" fillId="0" borderId="0" xfId="8" applyFont="1" applyFill="1" applyBorder="1" applyAlignment="1">
      <alignment horizontal="center" vertical="center"/>
    </xf>
    <xf numFmtId="0" fontId="62" fillId="0" borderId="42" xfId="8" applyFont="1" applyFill="1" applyBorder="1">
      <alignment vertical="center"/>
    </xf>
    <xf numFmtId="0" fontId="62" fillId="0" borderId="43" xfId="8" applyFont="1" applyFill="1" applyBorder="1">
      <alignment vertical="center"/>
    </xf>
    <xf numFmtId="179" fontId="62" fillId="0" borderId="43" xfId="8" applyNumberFormat="1" applyFont="1" applyFill="1" applyBorder="1" applyAlignment="1">
      <alignment horizontal="center" vertical="center"/>
    </xf>
    <xf numFmtId="41" fontId="62" fillId="0" borderId="43" xfId="8" applyNumberFormat="1" applyFont="1" applyFill="1" applyBorder="1">
      <alignment vertical="center"/>
    </xf>
    <xf numFmtId="41" fontId="62" fillId="0" borderId="43" xfId="8" applyNumberFormat="1" applyFont="1" applyFill="1" applyBorder="1" applyAlignment="1">
      <alignment horizontal="center" vertical="center"/>
    </xf>
    <xf numFmtId="0" fontId="62" fillId="0" borderId="48" xfId="8" applyFont="1" applyFill="1" applyBorder="1">
      <alignment vertical="center"/>
    </xf>
    <xf numFmtId="0" fontId="62" fillId="0" borderId="49" xfId="8" applyFont="1" applyFill="1" applyBorder="1">
      <alignment vertical="center"/>
    </xf>
    <xf numFmtId="41" fontId="62" fillId="0" borderId="50" xfId="8" applyNumberFormat="1" applyFont="1" applyFill="1" applyBorder="1">
      <alignment vertical="center"/>
    </xf>
    <xf numFmtId="41" fontId="62" fillId="0" borderId="50" xfId="9" applyFont="1" applyFill="1" applyBorder="1" applyAlignment="1">
      <alignment horizontal="center" vertical="center"/>
    </xf>
    <xf numFmtId="0" fontId="62" fillId="0" borderId="51" xfId="8" applyFont="1" applyFill="1" applyBorder="1">
      <alignment vertical="center"/>
    </xf>
    <xf numFmtId="41" fontId="62" fillId="0" borderId="43" xfId="9" applyFont="1" applyFill="1" applyBorder="1" applyAlignment="1">
      <alignment horizontal="center" vertical="center"/>
    </xf>
    <xf numFmtId="41" fontId="62" fillId="0" borderId="50" xfId="8" applyNumberFormat="1" applyFont="1" applyFill="1" applyBorder="1" applyAlignment="1">
      <alignment horizontal="center" vertical="center"/>
    </xf>
    <xf numFmtId="0" fontId="62" fillId="0" borderId="52" xfId="8" applyFont="1" applyFill="1" applyBorder="1">
      <alignment vertical="center"/>
    </xf>
    <xf numFmtId="0" fontId="62" fillId="0" borderId="53" xfId="8" applyFont="1" applyFill="1" applyBorder="1">
      <alignment vertical="center"/>
    </xf>
    <xf numFmtId="41" fontId="62" fillId="0" borderId="54" xfId="8" applyNumberFormat="1" applyFont="1" applyFill="1" applyBorder="1">
      <alignment vertical="center"/>
    </xf>
    <xf numFmtId="41" fontId="62" fillId="0" borderId="54" xfId="8" applyNumberFormat="1" applyFont="1" applyFill="1" applyBorder="1" applyAlignment="1">
      <alignment horizontal="center" vertical="center"/>
    </xf>
    <xf numFmtId="0" fontId="62" fillId="0" borderId="46" xfId="8" applyFont="1" applyFill="1" applyBorder="1">
      <alignment vertical="center"/>
    </xf>
    <xf numFmtId="41" fontId="62" fillId="0" borderId="46" xfId="9" applyFont="1" applyFill="1" applyBorder="1">
      <alignment vertical="center"/>
    </xf>
    <xf numFmtId="0" fontId="74" fillId="0" borderId="0" xfId="8" applyFont="1" applyFill="1" applyBorder="1">
      <alignment vertical="center"/>
    </xf>
    <xf numFmtId="0" fontId="76" fillId="0" borderId="0" xfId="8" applyFont="1" applyFill="1" applyBorder="1">
      <alignment vertical="center"/>
    </xf>
    <xf numFmtId="41" fontId="62" fillId="0" borderId="43" xfId="9" applyFont="1" applyFill="1" applyBorder="1">
      <alignment vertical="center"/>
    </xf>
    <xf numFmtId="41" fontId="62" fillId="0" borderId="46" xfId="8" applyNumberFormat="1" applyFont="1" applyFill="1" applyBorder="1">
      <alignment vertical="center"/>
    </xf>
    <xf numFmtId="41" fontId="62" fillId="0" borderId="46" xfId="9" applyFont="1" applyFill="1" applyBorder="1" applyAlignment="1">
      <alignment horizontal="center" vertical="center"/>
    </xf>
    <xf numFmtId="182" fontId="62" fillId="0" borderId="43" xfId="11" applyNumberFormat="1" applyFont="1" applyBorder="1">
      <alignment vertical="center"/>
    </xf>
    <xf numFmtId="41" fontId="62" fillId="0" borderId="43" xfId="9" applyFont="1" applyFill="1" applyBorder="1" applyAlignment="1">
      <alignment horizontal="right" vertical="center"/>
    </xf>
    <xf numFmtId="183" fontId="62" fillId="0" borderId="46" xfId="9" applyNumberFormat="1" applyFont="1" applyFill="1" applyBorder="1" applyAlignment="1">
      <alignment horizontal="right" vertical="center"/>
    </xf>
    <xf numFmtId="10" fontId="62" fillId="0" borderId="0" xfId="11" applyNumberFormat="1" applyFont="1" applyFill="1">
      <alignment vertical="center"/>
    </xf>
    <xf numFmtId="182" fontId="62" fillId="0" borderId="43" xfId="11" applyNumberFormat="1" applyFont="1" applyFill="1" applyBorder="1">
      <alignment vertical="center"/>
    </xf>
    <xf numFmtId="41" fontId="86" fillId="0" borderId="43" xfId="9" applyFont="1" applyFill="1" applyBorder="1">
      <alignment vertical="center"/>
    </xf>
    <xf numFmtId="41" fontId="92" fillId="0" borderId="0" xfId="7" applyFont="1" applyFill="1" applyBorder="1" applyAlignment="1">
      <alignment horizontal="right" vertical="center"/>
    </xf>
    <xf numFmtId="9" fontId="89" fillId="0" borderId="0" xfId="12" applyFont="1" applyFill="1" applyBorder="1" applyAlignment="1">
      <alignment horizontal="center" vertical="center"/>
    </xf>
    <xf numFmtId="182" fontId="62" fillId="0" borderId="46" xfId="11" applyNumberFormat="1" applyFont="1" applyFill="1" applyBorder="1">
      <alignment vertical="center"/>
    </xf>
    <xf numFmtId="10" fontId="62" fillId="0" borderId="1" xfId="11" applyNumberFormat="1" applyFont="1" applyFill="1" applyBorder="1">
      <alignment vertical="center"/>
    </xf>
    <xf numFmtId="10" fontId="62" fillId="0" borderId="0" xfId="11" applyNumberFormat="1" applyFont="1" applyFill="1" applyBorder="1">
      <alignment vertical="center"/>
    </xf>
    <xf numFmtId="41" fontId="62" fillId="0" borderId="0" xfId="11" applyNumberFormat="1" applyFont="1" applyFill="1" applyBorder="1">
      <alignment vertical="center"/>
    </xf>
    <xf numFmtId="10" fontId="62" fillId="0" borderId="24" xfId="11" applyNumberFormat="1" applyFont="1" applyFill="1" applyBorder="1">
      <alignment vertical="center"/>
    </xf>
    <xf numFmtId="182" fontId="102" fillId="9" borderId="0" xfId="12" applyNumberFormat="1" applyFont="1" applyFill="1" applyBorder="1" applyAlignment="1">
      <alignment horizontal="center" vertical="center"/>
    </xf>
    <xf numFmtId="182" fontId="62" fillId="0" borderId="0" xfId="12" applyNumberFormat="1" applyFont="1" applyFill="1" applyBorder="1" applyAlignment="1">
      <alignment horizontal="center" vertical="center"/>
    </xf>
    <xf numFmtId="185" fontId="105" fillId="0" borderId="43" xfId="13" applyNumberFormat="1" applyFont="1" applyBorder="1" applyAlignment="1">
      <alignment horizontal="center" vertical="center"/>
    </xf>
    <xf numFmtId="182" fontId="89" fillId="0" borderId="0" xfId="12" applyNumberFormat="1" applyFont="1" applyFill="1" applyBorder="1" applyAlignment="1">
      <alignment horizontal="center" vertical="center"/>
    </xf>
    <xf numFmtId="186" fontId="93" fillId="0" borderId="0" xfId="13" applyNumberFormat="1" applyFont="1" applyFill="1" applyBorder="1" applyAlignment="1">
      <alignment horizontal="center" vertical="center"/>
    </xf>
    <xf numFmtId="10" fontId="89" fillId="0" borderId="56" xfId="12" applyNumberFormat="1" applyFont="1" applyFill="1" applyBorder="1" applyAlignment="1">
      <alignment horizontal="center" vertical="center"/>
    </xf>
    <xf numFmtId="187" fontId="62" fillId="0" borderId="43" xfId="12" applyNumberFormat="1" applyFont="1" applyFill="1" applyBorder="1" applyAlignment="1">
      <alignment horizontal="right" vertical="center"/>
    </xf>
    <xf numFmtId="187" fontId="109" fillId="0" borderId="43" xfId="12" applyNumberFormat="1" applyFont="1" applyFill="1" applyBorder="1" applyAlignment="1">
      <alignment horizontal="center" vertical="center"/>
    </xf>
    <xf numFmtId="188" fontId="64" fillId="0" borderId="0" xfId="13" applyNumberFormat="1" applyFont="1" applyFill="1" applyBorder="1" applyAlignment="1">
      <alignment horizontal="center" vertical="center"/>
    </xf>
    <xf numFmtId="10" fontId="110" fillId="0" borderId="56" xfId="12" applyNumberFormat="1" applyFont="1" applyFill="1" applyBorder="1" applyAlignment="1">
      <alignment horizontal="center" vertical="center"/>
    </xf>
    <xf numFmtId="187" fontId="109" fillId="0" borderId="43" xfId="12" applyNumberFormat="1" applyFont="1" applyFill="1" applyBorder="1" applyAlignment="1">
      <alignment horizontal="right" vertical="center"/>
    </xf>
    <xf numFmtId="41" fontId="109" fillId="0" borderId="43" xfId="9" applyNumberFormat="1" applyFont="1" applyFill="1" applyBorder="1">
      <alignment vertical="center"/>
    </xf>
    <xf numFmtId="41" fontId="112" fillId="0" borderId="43" xfId="9" applyNumberFormat="1" applyFont="1" applyFill="1" applyBorder="1">
      <alignment vertical="center"/>
    </xf>
    <xf numFmtId="41" fontId="85" fillId="0" borderId="43" xfId="9" applyNumberFormat="1" applyFont="1" applyFill="1" applyBorder="1">
      <alignment vertical="center"/>
    </xf>
    <xf numFmtId="41" fontId="85" fillId="0" borderId="43" xfId="9" applyFont="1" applyFill="1" applyBorder="1">
      <alignment vertical="center"/>
    </xf>
    <xf numFmtId="186" fontId="113" fillId="0" borderId="0" xfId="13" applyNumberFormat="1" applyFont="1" applyBorder="1" applyAlignment="1">
      <alignment horizontal="center" vertical="center"/>
    </xf>
    <xf numFmtId="10" fontId="114" fillId="0" borderId="56" xfId="13" applyNumberFormat="1" applyFont="1" applyBorder="1" applyAlignment="1">
      <alignment horizontal="center" vertical="center"/>
    </xf>
    <xf numFmtId="10" fontId="62" fillId="2" borderId="0" xfId="12" applyNumberFormat="1" applyFont="1" applyFill="1" applyBorder="1" applyAlignment="1">
      <alignment horizontal="center" vertical="center"/>
    </xf>
    <xf numFmtId="10" fontId="62" fillId="0" borderId="53" xfId="12" applyNumberFormat="1" applyFont="1" applyFill="1" applyBorder="1" applyAlignment="1">
      <alignment horizontal="center" vertical="center"/>
    </xf>
    <xf numFmtId="187" fontId="115" fillId="0" borderId="54" xfId="12" applyNumberFormat="1" applyFont="1" applyFill="1" applyBorder="1" applyAlignment="1">
      <alignment horizontal="center" vertical="center"/>
    </xf>
    <xf numFmtId="10" fontId="62" fillId="0" borderId="0" xfId="12" applyNumberFormat="1" applyFont="1" applyFill="1" applyBorder="1" applyAlignment="1">
      <alignment horizontal="center" vertical="center"/>
    </xf>
    <xf numFmtId="10" fontId="89" fillId="0" borderId="0" xfId="12" applyNumberFormat="1" applyFont="1" applyFill="1" applyBorder="1" applyAlignment="1">
      <alignment horizontal="center" vertical="center"/>
    </xf>
    <xf numFmtId="186" fontId="93" fillId="0" borderId="48" xfId="13" applyNumberFormat="1" applyFont="1" applyFill="1" applyBorder="1" applyAlignment="1">
      <alignment horizontal="center" vertical="center"/>
    </xf>
    <xf numFmtId="10" fontId="89" fillId="0" borderId="58" xfId="12" applyNumberFormat="1" applyFont="1" applyFill="1" applyBorder="1" applyAlignment="1">
      <alignment horizontal="center" vertical="center"/>
    </xf>
    <xf numFmtId="186" fontId="93" fillId="0" borderId="52" xfId="13" applyNumberFormat="1" applyFont="1" applyFill="1" applyBorder="1" applyAlignment="1">
      <alignment horizontal="center" vertical="center"/>
    </xf>
    <xf numFmtId="9" fontId="110" fillId="0" borderId="59" xfId="12" applyNumberFormat="1" applyFont="1" applyFill="1" applyBorder="1" applyAlignment="1">
      <alignment horizontal="center" vertical="center"/>
    </xf>
    <xf numFmtId="188" fontId="114" fillId="0" borderId="56" xfId="13" applyNumberFormat="1" applyFont="1" applyBorder="1" applyAlignment="1">
      <alignment horizontal="center" vertical="center"/>
    </xf>
    <xf numFmtId="41" fontId="62" fillId="2" borderId="43" xfId="9" applyFont="1" applyFill="1" applyBorder="1">
      <alignment vertical="center"/>
    </xf>
    <xf numFmtId="187" fontId="115" fillId="0" borderId="43" xfId="12" applyNumberFormat="1" applyFont="1" applyFill="1" applyBorder="1" applyAlignment="1">
      <alignment horizontal="center" vertical="center"/>
    </xf>
    <xf numFmtId="189" fontId="116" fillId="0" borderId="0" xfId="7" applyNumberFormat="1" applyFont="1" applyFill="1" applyBorder="1" applyAlignment="1" applyProtection="1">
      <alignment horizontal="center" vertical="center"/>
      <protection hidden="1"/>
    </xf>
    <xf numFmtId="10" fontId="110" fillId="9" borderId="0" xfId="12" applyNumberFormat="1" applyFont="1" applyFill="1" applyBorder="1" applyAlignment="1">
      <alignment horizontal="center" vertical="center"/>
    </xf>
    <xf numFmtId="10" fontId="78" fillId="9" borderId="0" xfId="12" applyNumberFormat="1" applyFont="1" applyFill="1" applyBorder="1" applyAlignment="1">
      <alignment horizontal="center" vertical="center"/>
    </xf>
    <xf numFmtId="182" fontId="62" fillId="0" borderId="0" xfId="11" applyNumberFormat="1" applyFont="1" applyFill="1" applyBorder="1">
      <alignment vertical="center"/>
    </xf>
    <xf numFmtId="41" fontId="118" fillId="0" borderId="0" xfId="9" applyFont="1" applyFill="1" applyBorder="1">
      <alignment vertical="center"/>
    </xf>
    <xf numFmtId="41" fontId="62" fillId="0" borderId="0" xfId="9" applyFont="1" applyFill="1">
      <alignment vertical="center"/>
    </xf>
    <xf numFmtId="41" fontId="62" fillId="0" borderId="0" xfId="10" applyFont="1">
      <alignment vertical="center"/>
    </xf>
    <xf numFmtId="41" fontId="62" fillId="0" borderId="43" xfId="7" applyFont="1" applyFill="1" applyBorder="1">
      <alignment vertical="center"/>
    </xf>
    <xf numFmtId="41" fontId="62" fillId="0" borderId="56" xfId="7" applyFont="1" applyFill="1" applyBorder="1">
      <alignment vertical="center"/>
    </xf>
    <xf numFmtId="41" fontId="62" fillId="0" borderId="0" xfId="7" applyFont="1" applyFill="1" applyBorder="1">
      <alignment vertical="center"/>
    </xf>
    <xf numFmtId="41" fontId="64" fillId="32" borderId="0" xfId="7" applyFont="1" applyFill="1" applyBorder="1" applyAlignment="1">
      <alignment horizontal="right" vertical="center"/>
    </xf>
    <xf numFmtId="41" fontId="62" fillId="32" borderId="43" xfId="7" applyFont="1" applyFill="1" applyBorder="1" applyAlignment="1">
      <alignment horizontal="center" vertical="center"/>
    </xf>
    <xf numFmtId="41" fontId="62" fillId="1" borderId="43" xfId="7" applyFont="1" applyFill="1" applyBorder="1">
      <alignment vertical="center"/>
    </xf>
    <xf numFmtId="41" fontId="62" fillId="0" borderId="0" xfId="7" applyFont="1" applyFill="1" applyBorder="1" applyAlignment="1">
      <alignment horizontal="right" vertical="center"/>
    </xf>
    <xf numFmtId="192" fontId="62" fillId="0" borderId="56" xfId="7" applyNumberFormat="1" applyFont="1" applyFill="1" applyBorder="1" applyAlignment="1">
      <alignment horizontal="center" vertical="center"/>
    </xf>
    <xf numFmtId="41" fontId="123" fillId="0" borderId="56" xfId="7" applyFont="1" applyFill="1" applyBorder="1">
      <alignment vertical="center"/>
    </xf>
    <xf numFmtId="41" fontId="123" fillId="0" borderId="61" xfId="7" applyFont="1" applyFill="1" applyBorder="1">
      <alignment vertical="center"/>
    </xf>
    <xf numFmtId="41" fontId="62" fillId="0" borderId="46" xfId="7" applyFont="1" applyFill="1" applyBorder="1">
      <alignment vertical="center"/>
    </xf>
    <xf numFmtId="41" fontId="62" fillId="9" borderId="43" xfId="7" applyFont="1" applyFill="1" applyBorder="1">
      <alignment vertical="center"/>
    </xf>
    <xf numFmtId="182" fontId="62" fillId="0" borderId="0" xfId="12" applyNumberFormat="1" applyFont="1" applyFill="1" applyBorder="1">
      <alignment vertical="center"/>
    </xf>
    <xf numFmtId="182" fontId="62" fillId="0" borderId="56" xfId="12" applyNumberFormat="1" applyFont="1" applyFill="1" applyBorder="1">
      <alignment vertical="center"/>
    </xf>
    <xf numFmtId="41" fontId="123" fillId="0" borderId="0" xfId="7" applyFont="1" applyFill="1" applyBorder="1">
      <alignment vertical="center"/>
    </xf>
    <xf numFmtId="41" fontId="62" fillId="0" borderId="0" xfId="7" applyFont="1" applyFill="1" applyBorder="1" applyAlignment="1">
      <alignment horizontal="center" vertical="center"/>
    </xf>
    <xf numFmtId="41" fontId="62" fillId="0" borderId="42" xfId="7" applyFont="1" applyFill="1" applyBorder="1" applyAlignment="1">
      <alignment horizontal="center" vertical="center"/>
    </xf>
    <xf numFmtId="41" fontId="64" fillId="0" borderId="0" xfId="7" applyFont="1" applyFill="1" applyBorder="1">
      <alignment vertical="center"/>
    </xf>
    <xf numFmtId="182" fontId="62" fillId="0" borderId="42" xfId="12" applyNumberFormat="1" applyFont="1" applyFill="1" applyBorder="1" applyAlignment="1">
      <alignment horizontal="right" vertical="center"/>
    </xf>
    <xf numFmtId="41" fontId="64" fillId="0" borderId="51" xfId="7" applyFont="1" applyBorder="1">
      <alignment vertical="center"/>
    </xf>
    <xf numFmtId="10" fontId="93" fillId="0" borderId="0" xfId="12" applyNumberFormat="1" applyFont="1" applyFill="1" applyBorder="1">
      <alignment vertical="center"/>
    </xf>
    <xf numFmtId="41" fontId="87" fillId="0" borderId="51" xfId="7" applyFont="1" applyBorder="1">
      <alignment vertical="center"/>
    </xf>
    <xf numFmtId="194" fontId="64" fillId="0" borderId="63" xfId="9" applyNumberFormat="1" applyFont="1" applyBorder="1">
      <alignment vertical="center"/>
    </xf>
    <xf numFmtId="195" fontId="93" fillId="0" borderId="0" xfId="12" applyNumberFormat="1" applyFont="1" applyFill="1" applyBorder="1" applyAlignment="1">
      <alignment horizontal="center" vertical="center"/>
    </xf>
    <xf numFmtId="194" fontId="64" fillId="0" borderId="0" xfId="7" applyNumberFormat="1" applyFont="1" applyFill="1" applyBorder="1">
      <alignment vertical="center"/>
    </xf>
    <xf numFmtId="41" fontId="64" fillId="33" borderId="0" xfId="7" applyFont="1" applyFill="1" applyBorder="1">
      <alignment vertical="center"/>
    </xf>
    <xf numFmtId="41" fontId="126" fillId="0" borderId="0" xfId="7" applyFont="1" applyBorder="1">
      <alignment vertical="center"/>
    </xf>
    <xf numFmtId="41" fontId="102" fillId="0" borderId="0" xfId="10" applyFont="1">
      <alignment vertical="center"/>
    </xf>
    <xf numFmtId="41" fontId="128" fillId="0" borderId="63" xfId="7" applyFont="1" applyBorder="1">
      <alignment vertical="center"/>
    </xf>
    <xf numFmtId="41" fontId="93" fillId="33" borderId="0" xfId="7" applyFont="1" applyFill="1" applyBorder="1">
      <alignment vertical="center"/>
    </xf>
    <xf numFmtId="41" fontId="129" fillId="0" borderId="42" xfId="7" applyFont="1" applyFill="1" applyBorder="1" applyAlignment="1">
      <alignment horizontal="center" vertical="center"/>
    </xf>
    <xf numFmtId="194" fontId="64" fillId="0" borderId="49" xfId="7" applyNumberFormat="1" applyFont="1" applyBorder="1">
      <alignment vertical="center"/>
    </xf>
    <xf numFmtId="196" fontId="93" fillId="0" borderId="0" xfId="12" applyNumberFormat="1" applyFont="1" applyFill="1" applyBorder="1" applyAlignment="1">
      <alignment horizontal="right" vertical="center"/>
    </xf>
    <xf numFmtId="197" fontId="64" fillId="0" borderId="0" xfId="12" applyNumberFormat="1" applyFont="1" applyFill="1" applyBorder="1" applyAlignment="1">
      <alignment horizontal="center" vertical="center"/>
    </xf>
    <xf numFmtId="0" fontId="18" fillId="0" borderId="0" xfId="5">
      <alignment vertical="center"/>
    </xf>
    <xf numFmtId="0" fontId="21" fillId="0" borderId="0" xfId="5" applyFont="1">
      <alignment vertical="center"/>
    </xf>
    <xf numFmtId="0" fontId="18" fillId="0" borderId="0" xfId="5" applyFill="1">
      <alignment vertical="center"/>
    </xf>
    <xf numFmtId="0" fontId="130" fillId="36" borderId="0" xfId="5" applyFont="1" applyFill="1" applyAlignment="1">
      <alignment horizontal="center"/>
    </xf>
    <xf numFmtId="14" fontId="130" fillId="36" borderId="0" xfId="5" applyNumberFormat="1" applyFont="1" applyFill="1" applyAlignment="1">
      <alignment horizontal="center"/>
    </xf>
    <xf numFmtId="14" fontId="131" fillId="36" borderId="68" xfId="5" applyNumberFormat="1" applyFont="1" applyFill="1" applyBorder="1" applyAlignment="1">
      <alignment horizontal="center"/>
    </xf>
    <xf numFmtId="0" fontId="131" fillId="36" borderId="0" xfId="5" applyFont="1" applyFill="1" applyAlignment="1">
      <alignment horizontal="center"/>
    </xf>
    <xf numFmtId="198" fontId="132" fillId="37" borderId="0" xfId="13" applyNumberFormat="1" applyFont="1" applyFill="1" applyBorder="1" applyAlignment="1">
      <alignment horizontal="left" vertical="center"/>
    </xf>
    <xf numFmtId="10" fontId="67" fillId="37" borderId="0" xfId="14" applyNumberFormat="1" applyFont="1" applyFill="1" applyBorder="1" applyAlignment="1">
      <alignment horizontal="center" vertical="center"/>
    </xf>
    <xf numFmtId="0" fontId="67" fillId="37" borderId="0" xfId="13" applyFont="1" applyFill="1" applyBorder="1">
      <alignment vertical="center"/>
    </xf>
    <xf numFmtId="10" fontId="65" fillId="37" borderId="0" xfId="14" applyNumberFormat="1" applyFont="1" applyFill="1" applyBorder="1" applyAlignment="1">
      <alignment horizontal="center" vertical="center"/>
    </xf>
    <xf numFmtId="10" fontId="133" fillId="37" borderId="0" xfId="14" applyNumberFormat="1" applyFont="1" applyFill="1" applyBorder="1" applyAlignment="1">
      <alignment horizontal="center" vertical="center"/>
    </xf>
    <xf numFmtId="10" fontId="62" fillId="37" borderId="0" xfId="14" applyNumberFormat="1" applyFont="1" applyFill="1" applyBorder="1" applyAlignment="1">
      <alignment horizontal="center" vertical="center"/>
    </xf>
    <xf numFmtId="0" fontId="130" fillId="10" borderId="23" xfId="5" applyFont="1" applyFill="1" applyBorder="1" applyAlignment="1"/>
    <xf numFmtId="0" fontId="18" fillId="14" borderId="0" xfId="5" applyFill="1">
      <alignment vertical="center"/>
    </xf>
    <xf numFmtId="10" fontId="131" fillId="10" borderId="23" xfId="5" applyNumberFormat="1" applyFont="1" applyFill="1" applyBorder="1" applyAlignment="1"/>
    <xf numFmtId="0" fontId="64" fillId="0" borderId="49" xfId="13" applyFont="1" applyFill="1" applyBorder="1">
      <alignment vertical="center"/>
    </xf>
    <xf numFmtId="0" fontId="64" fillId="0" borderId="48" xfId="13" applyFont="1" applyFill="1" applyBorder="1" applyAlignment="1">
      <alignment horizontal="left" vertical="center"/>
    </xf>
    <xf numFmtId="0" fontId="64" fillId="2" borderId="62" xfId="13" applyFont="1" applyFill="1" applyBorder="1" applyAlignment="1">
      <alignment horizontal="right" vertical="center"/>
    </xf>
    <xf numFmtId="0" fontId="64" fillId="2" borderId="49" xfId="13" applyFont="1" applyFill="1" applyBorder="1" applyAlignment="1">
      <alignment horizontal="right" vertical="center"/>
    </xf>
    <xf numFmtId="187" fontId="62" fillId="2" borderId="62" xfId="14" applyNumberFormat="1" applyFont="1" applyFill="1" applyBorder="1" applyAlignment="1">
      <alignment horizontal="right" vertical="center"/>
    </xf>
    <xf numFmtId="187" fontId="62" fillId="2" borderId="0" xfId="13" applyNumberFormat="1" applyFont="1" applyFill="1" applyBorder="1">
      <alignment vertical="center"/>
    </xf>
    <xf numFmtId="187" fontId="62" fillId="2" borderId="48" xfId="13" applyNumberFormat="1" applyFont="1" applyFill="1" applyBorder="1" applyAlignment="1">
      <alignment horizontal="right" vertical="center"/>
    </xf>
    <xf numFmtId="187" fontId="62" fillId="14" borderId="48" xfId="13" applyNumberFormat="1" applyFont="1" applyFill="1" applyBorder="1" applyAlignment="1">
      <alignment horizontal="right" vertical="center"/>
    </xf>
    <xf numFmtId="187" fontId="62" fillId="14" borderId="62" xfId="14" applyNumberFormat="1" applyFont="1" applyFill="1" applyBorder="1" applyAlignment="1">
      <alignment horizontal="right" vertical="center"/>
    </xf>
    <xf numFmtId="187" fontId="62" fillId="2" borderId="49" xfId="13" applyNumberFormat="1" applyFont="1" applyFill="1" applyBorder="1" applyAlignment="1">
      <alignment horizontal="right" vertical="center"/>
    </xf>
    <xf numFmtId="0" fontId="62" fillId="0" borderId="0" xfId="13" applyFont="1" applyFill="1">
      <alignment vertical="center"/>
    </xf>
    <xf numFmtId="0" fontId="64" fillId="0" borderId="52" xfId="13" applyFont="1" applyFill="1" applyBorder="1" applyAlignment="1">
      <alignment horizontal="left" vertical="center"/>
    </xf>
    <xf numFmtId="0" fontId="64" fillId="0" borderId="66" xfId="13" applyFont="1" applyBorder="1" applyAlignment="1">
      <alignment horizontal="right" vertical="center"/>
    </xf>
    <xf numFmtId="199" fontId="93" fillId="0" borderId="0" xfId="15" applyNumberFormat="1" applyFont="1" applyFill="1" applyBorder="1" applyAlignment="1">
      <alignment horizontal="center" vertical="center"/>
    </xf>
    <xf numFmtId="187" fontId="62" fillId="0" borderId="66" xfId="14" applyNumberFormat="1" applyFont="1" applyFill="1" applyBorder="1" applyAlignment="1">
      <alignment horizontal="right" vertical="center"/>
    </xf>
    <xf numFmtId="187" fontId="62" fillId="0" borderId="0" xfId="13" applyNumberFormat="1" applyFont="1" applyFill="1" applyBorder="1">
      <alignment vertical="center"/>
    </xf>
    <xf numFmtId="199" fontId="116" fillId="0" borderId="52" xfId="15" applyNumberFormat="1" applyFont="1" applyFill="1" applyBorder="1" applyAlignment="1">
      <alignment horizontal="center" vertical="center"/>
    </xf>
    <xf numFmtId="199" fontId="116" fillId="14" borderId="52" xfId="15" applyNumberFormat="1" applyFont="1" applyFill="1" applyBorder="1" applyAlignment="1">
      <alignment horizontal="center" vertical="center"/>
    </xf>
    <xf numFmtId="187" fontId="62" fillId="14" borderId="66" xfId="14" applyNumberFormat="1" applyFont="1" applyFill="1" applyBorder="1" applyAlignment="1">
      <alignment horizontal="right" vertical="center"/>
    </xf>
    <xf numFmtId="200" fontId="134" fillId="10" borderId="23" xfId="5" applyNumberFormat="1" applyFont="1" applyFill="1" applyBorder="1" applyAlignment="1"/>
    <xf numFmtId="0" fontId="64" fillId="0" borderId="62" xfId="13" applyFont="1" applyFill="1" applyBorder="1" applyAlignment="1">
      <alignment horizontal="right" vertical="center"/>
    </xf>
    <xf numFmtId="0" fontId="64" fillId="0" borderId="49" xfId="13" applyFont="1" applyFill="1" applyBorder="1" applyAlignment="1">
      <alignment horizontal="right" vertical="center"/>
    </xf>
    <xf numFmtId="187" fontId="62" fillId="0" borderId="62" xfId="14" applyNumberFormat="1" applyFont="1" applyFill="1" applyBorder="1" applyAlignment="1">
      <alignment horizontal="right" vertical="center"/>
    </xf>
    <xf numFmtId="187" fontId="62" fillId="0" borderId="48" xfId="13" applyNumberFormat="1" applyFont="1" applyFill="1" applyBorder="1" applyAlignment="1">
      <alignment horizontal="right" vertical="center"/>
    </xf>
    <xf numFmtId="187" fontId="62" fillId="0" borderId="49" xfId="13" applyNumberFormat="1" applyFont="1" applyFill="1" applyBorder="1" applyAlignment="1">
      <alignment horizontal="right" vertical="center"/>
    </xf>
    <xf numFmtId="10" fontId="135" fillId="16" borderId="27" xfId="5" applyNumberFormat="1" applyFont="1" applyFill="1" applyBorder="1" applyAlignment="1"/>
    <xf numFmtId="0" fontId="64" fillId="0" borderId="53" xfId="13" applyFont="1" applyFill="1" applyBorder="1">
      <alignment vertical="center"/>
    </xf>
    <xf numFmtId="178" fontId="62" fillId="0" borderId="53" xfId="13" applyNumberFormat="1" applyFont="1" applyFill="1" applyBorder="1">
      <alignment vertical="center"/>
    </xf>
    <xf numFmtId="0" fontId="64" fillId="22" borderId="66" xfId="13" applyFont="1" applyFill="1" applyBorder="1" applyAlignment="1">
      <alignment horizontal="right" vertical="center"/>
    </xf>
    <xf numFmtId="0" fontId="64" fillId="22" borderId="53" xfId="13" applyFont="1" applyFill="1" applyBorder="1" applyAlignment="1">
      <alignment horizontal="right" vertical="center"/>
    </xf>
    <xf numFmtId="187" fontId="65" fillId="22" borderId="66" xfId="14" applyNumberFormat="1" applyFont="1" applyFill="1" applyBorder="1" applyAlignment="1">
      <alignment horizontal="right" vertical="center"/>
    </xf>
    <xf numFmtId="187" fontId="62" fillId="22" borderId="0" xfId="13" applyNumberFormat="1" applyFont="1" applyFill="1" applyBorder="1">
      <alignment vertical="center"/>
    </xf>
    <xf numFmtId="187" fontId="62" fillId="22" borderId="52" xfId="13" applyNumberFormat="1" applyFont="1" applyFill="1" applyBorder="1" applyAlignment="1">
      <alignment horizontal="right" vertical="center"/>
    </xf>
    <xf numFmtId="187" fontId="62" fillId="14" borderId="52" xfId="13" applyNumberFormat="1" applyFont="1" applyFill="1" applyBorder="1" applyAlignment="1">
      <alignment horizontal="right" vertical="center"/>
    </xf>
    <xf numFmtId="187" fontId="89" fillId="14" borderId="66" xfId="14" applyNumberFormat="1" applyFont="1" applyFill="1" applyBorder="1" applyAlignment="1">
      <alignment horizontal="right" vertical="center"/>
    </xf>
    <xf numFmtId="187" fontId="62" fillId="22" borderId="53" xfId="13" applyNumberFormat="1" applyFont="1" applyFill="1" applyBorder="1" applyAlignment="1">
      <alignment horizontal="right" vertical="center"/>
    </xf>
    <xf numFmtId="10" fontId="0" fillId="0" borderId="0" xfId="14" applyNumberFormat="1" applyFont="1">
      <alignment vertical="center"/>
    </xf>
    <xf numFmtId="10" fontId="18" fillId="0" borderId="0" xfId="5" applyNumberFormat="1">
      <alignment vertical="center"/>
    </xf>
    <xf numFmtId="0" fontId="18" fillId="38" borderId="0" xfId="5" applyFill="1" applyProtection="1">
      <alignment vertical="center"/>
      <protection locked="0"/>
    </xf>
    <xf numFmtId="0" fontId="136" fillId="38" borderId="0" xfId="5" applyFont="1" applyFill="1" applyProtection="1">
      <alignment vertical="center"/>
      <protection locked="0"/>
    </xf>
    <xf numFmtId="201" fontId="137" fillId="38" borderId="0" xfId="5" applyNumberFormat="1" applyFont="1" applyFill="1" applyProtection="1">
      <alignment vertical="center"/>
      <protection locked="0"/>
    </xf>
    <xf numFmtId="0" fontId="137" fillId="0" borderId="0" xfId="5" applyFont="1">
      <alignment vertical="center"/>
    </xf>
    <xf numFmtId="0" fontId="137" fillId="38" borderId="0" xfId="16" applyFont="1" applyFill="1" applyProtection="1">
      <alignment vertical="center"/>
      <protection locked="0"/>
    </xf>
    <xf numFmtId="201" fontId="137" fillId="38" borderId="0" xfId="16" applyNumberFormat="1" applyFont="1" applyFill="1" applyProtection="1">
      <alignment vertical="center"/>
      <protection locked="0"/>
    </xf>
    <xf numFmtId="0" fontId="138" fillId="0" borderId="0" xfId="5" applyFont="1" applyProtection="1">
      <alignment vertical="center"/>
      <protection locked="0"/>
    </xf>
    <xf numFmtId="14" fontId="137" fillId="0" borderId="0" xfId="5" applyNumberFormat="1" applyFont="1" applyFill="1" applyProtection="1">
      <alignment vertical="center"/>
      <protection locked="0"/>
    </xf>
    <xf numFmtId="201" fontId="137" fillId="0" borderId="0" xfId="5" applyNumberFormat="1" applyFont="1" applyProtection="1">
      <alignment vertical="center"/>
      <protection locked="0"/>
    </xf>
    <xf numFmtId="0" fontId="138" fillId="0" borderId="0" xfId="16" applyFont="1" applyProtection="1">
      <alignment vertical="center"/>
      <protection locked="0"/>
    </xf>
    <xf numFmtId="14" fontId="137" fillId="0" borderId="0" xfId="16" applyNumberFormat="1" applyFont="1" applyFill="1" applyProtection="1">
      <alignment vertical="center"/>
      <protection locked="0"/>
    </xf>
    <xf numFmtId="201" fontId="137" fillId="0" borderId="0" xfId="16" applyNumberFormat="1" applyFont="1" applyProtection="1">
      <alignment vertical="center"/>
      <protection locked="0"/>
    </xf>
    <xf numFmtId="14" fontId="137" fillId="0" borderId="0" xfId="5" applyNumberFormat="1" applyFont="1" applyProtection="1">
      <alignment vertical="center"/>
      <protection locked="0"/>
    </xf>
    <xf numFmtId="14" fontId="137" fillId="0" borderId="0" xfId="16" applyNumberFormat="1" applyFont="1" applyProtection="1">
      <alignment vertical="center"/>
      <protection locked="0"/>
    </xf>
    <xf numFmtId="0" fontId="139" fillId="0" borderId="0" xfId="5" applyFont="1">
      <alignment vertical="center"/>
    </xf>
    <xf numFmtId="0" fontId="138" fillId="0" borderId="0" xfId="5" applyFont="1" applyFill="1" applyProtection="1">
      <alignment vertical="center"/>
      <protection locked="0"/>
    </xf>
    <xf numFmtId="201" fontId="137" fillId="0" borderId="0" xfId="5" applyNumberFormat="1" applyFont="1" applyFill="1" applyProtection="1">
      <alignment vertical="center"/>
      <protection locked="0"/>
    </xf>
    <xf numFmtId="0" fontId="138" fillId="0" borderId="0" xfId="16" applyFont="1" applyFill="1" applyProtection="1">
      <alignment vertical="center"/>
      <protection locked="0"/>
    </xf>
    <xf numFmtId="201" fontId="137" fillId="0" borderId="0" xfId="16" applyNumberFormat="1" applyFont="1" applyFill="1" applyProtection="1">
      <alignment vertical="center"/>
      <protection locked="0"/>
    </xf>
    <xf numFmtId="0" fontId="134" fillId="0" borderId="0" xfId="16" applyFont="1" applyFill="1" applyBorder="1">
      <alignment vertical="center"/>
    </xf>
    <xf numFmtId="0" fontId="140" fillId="0" borderId="0" xfId="16" applyFont="1" applyFill="1" applyBorder="1">
      <alignment vertical="center"/>
    </xf>
    <xf numFmtId="0" fontId="136" fillId="0" borderId="0" xfId="16" applyFont="1" applyFill="1" applyBorder="1">
      <alignment vertical="center"/>
    </xf>
    <xf numFmtId="0" fontId="136" fillId="0" borderId="0" xfId="16" applyFont="1">
      <alignment vertical="center"/>
    </xf>
    <xf numFmtId="0" fontId="141" fillId="0" borderId="0" xfId="16" applyFont="1" applyFill="1" applyBorder="1" applyAlignment="1">
      <alignment horizontal="center" vertical="center"/>
    </xf>
    <xf numFmtId="49" fontId="141" fillId="0" borderId="0" xfId="16" applyNumberFormat="1" applyFont="1" applyFill="1" applyBorder="1" applyAlignment="1">
      <alignment horizontal="center" vertical="center"/>
    </xf>
    <xf numFmtId="49" fontId="35" fillId="0" borderId="0" xfId="16" applyNumberFormat="1" applyFont="1" applyFill="1" applyBorder="1" applyAlignment="1">
      <alignment horizontal="center" vertical="center"/>
    </xf>
    <xf numFmtId="0" fontId="136" fillId="0" borderId="0" xfId="16" applyFont="1" applyFill="1">
      <alignment vertical="center"/>
    </xf>
    <xf numFmtId="0" fontId="136" fillId="0" borderId="0" xfId="16" applyFont="1" applyAlignment="1">
      <alignment horizontal="center" vertical="center"/>
    </xf>
    <xf numFmtId="0" fontId="136" fillId="0" borderId="0" xfId="16" applyFont="1" applyFill="1" applyBorder="1" applyAlignment="1">
      <alignment horizontal="center" vertical="center"/>
    </xf>
    <xf numFmtId="0" fontId="142" fillId="0" borderId="0" xfId="16" applyFont="1" applyFill="1" applyBorder="1" applyAlignment="1">
      <alignment horizontal="center" vertical="center"/>
    </xf>
    <xf numFmtId="0" fontId="34" fillId="39" borderId="69" xfId="16" applyFont="1" applyFill="1" applyBorder="1" applyAlignment="1">
      <alignment horizontal="center" vertical="center"/>
    </xf>
    <xf numFmtId="0" fontId="34" fillId="39" borderId="70" xfId="16" applyFont="1" applyFill="1" applyBorder="1" applyAlignment="1">
      <alignment horizontal="center" vertical="center"/>
    </xf>
    <xf numFmtId="0" fontId="34" fillId="0" borderId="0" xfId="16" applyFont="1" applyFill="1" applyBorder="1" applyAlignment="1">
      <alignment horizontal="center" vertical="center"/>
    </xf>
    <xf numFmtId="0" fontId="136" fillId="0" borderId="0" xfId="16" applyFont="1" applyFill="1" applyAlignment="1">
      <alignment horizontal="center" vertical="center"/>
    </xf>
    <xf numFmtId="0" fontId="1" fillId="0" borderId="0" xfId="16" applyFill="1" applyBorder="1" applyAlignment="1">
      <alignment horizontal="center" vertical="center"/>
    </xf>
    <xf numFmtId="0" fontId="33" fillId="0" borderId="0" xfId="16" applyFont="1" applyFill="1" applyBorder="1" applyAlignment="1">
      <alignment horizontal="center" vertical="center" wrapText="1"/>
    </xf>
    <xf numFmtId="0" fontId="34" fillId="27" borderId="71" xfId="16" applyFont="1" applyFill="1" applyBorder="1" applyAlignment="1">
      <alignment horizontal="center" vertical="center" wrapText="1"/>
    </xf>
    <xf numFmtId="202" fontId="34" fillId="27" borderId="72" xfId="16" applyNumberFormat="1" applyFont="1" applyFill="1" applyBorder="1" applyAlignment="1">
      <alignment horizontal="center" vertical="center"/>
    </xf>
    <xf numFmtId="202" fontId="34" fillId="0" borderId="0" xfId="16" applyNumberFormat="1" applyFont="1" applyFill="1" applyBorder="1" applyAlignment="1">
      <alignment horizontal="center" vertical="center"/>
    </xf>
    <xf numFmtId="0" fontId="34" fillId="9" borderId="73" xfId="16" applyFont="1" applyFill="1" applyBorder="1" applyAlignment="1">
      <alignment horizontal="center" vertical="center"/>
    </xf>
    <xf numFmtId="9" fontId="34" fillId="9" borderId="72" xfId="16" applyNumberFormat="1" applyFont="1" applyFill="1" applyBorder="1" applyAlignment="1">
      <alignment horizontal="center" vertical="center"/>
    </xf>
    <xf numFmtId="203" fontId="34" fillId="0" borderId="0" xfId="16" applyNumberFormat="1" applyFont="1" applyFill="1" applyBorder="1" applyAlignment="1">
      <alignment horizontal="center" vertical="center"/>
    </xf>
    <xf numFmtId="0" fontId="34" fillId="0" borderId="0" xfId="16" applyFont="1" applyFill="1" applyBorder="1" applyAlignment="1">
      <alignment horizontal="center" vertical="center" wrapText="1"/>
    </xf>
    <xf numFmtId="202" fontId="35" fillId="0" borderId="0" xfId="16" applyNumberFormat="1" applyFont="1" applyFill="1" applyBorder="1" applyAlignment="1">
      <alignment horizontal="center" vertical="center" wrapText="1"/>
    </xf>
    <xf numFmtId="0" fontId="142" fillId="10" borderId="74" xfId="16" applyFont="1" applyFill="1" applyBorder="1" applyAlignment="1">
      <alignment horizontal="center" vertical="center"/>
    </xf>
    <xf numFmtId="14" fontId="136" fillId="0" borderId="0" xfId="16" applyNumberFormat="1" applyFont="1" applyFill="1" applyBorder="1">
      <alignment vertical="center"/>
    </xf>
    <xf numFmtId="0" fontId="142" fillId="0" borderId="0" xfId="16" applyFont="1" applyAlignment="1">
      <alignment horizontal="center" vertical="center"/>
    </xf>
    <xf numFmtId="14" fontId="142" fillId="0" borderId="0" xfId="16" applyNumberFormat="1" applyFont="1" applyAlignment="1">
      <alignment horizontal="center" vertical="center"/>
    </xf>
    <xf numFmtId="0" fontId="142" fillId="0" borderId="0" xfId="16" applyFont="1">
      <alignment vertical="center"/>
    </xf>
    <xf numFmtId="182" fontId="136" fillId="10" borderId="35" xfId="16" applyNumberFormat="1" applyFont="1" applyFill="1" applyBorder="1">
      <alignment vertical="center"/>
    </xf>
    <xf numFmtId="3" fontId="136" fillId="0" borderId="0" xfId="16" applyNumberFormat="1" applyFont="1" applyFill="1" applyBorder="1" applyAlignment="1">
      <alignment horizontal="center" vertical="center"/>
    </xf>
    <xf numFmtId="0" fontId="143" fillId="0" borderId="0" xfId="17">
      <alignment vertical="center"/>
    </xf>
    <xf numFmtId="0" fontId="136" fillId="0" borderId="0" xfId="16" applyFont="1" applyAlignment="1">
      <alignment horizontal="center" vertical="center" wrapText="1"/>
    </xf>
    <xf numFmtId="0" fontId="144" fillId="40" borderId="75" xfId="16" applyFont="1" applyFill="1" applyBorder="1" applyAlignment="1">
      <alignment horizontal="center" vertical="center" wrapText="1"/>
    </xf>
    <xf numFmtId="0" fontId="145" fillId="40" borderId="75" xfId="16" applyFont="1" applyFill="1" applyBorder="1" applyAlignment="1">
      <alignment horizontal="center" vertical="center" wrapText="1"/>
    </xf>
    <xf numFmtId="0" fontId="34" fillId="19" borderId="5" xfId="16" applyFont="1" applyFill="1" applyBorder="1" applyAlignment="1">
      <alignment horizontal="center" vertical="center" wrapText="1"/>
    </xf>
    <xf numFmtId="0" fontId="34" fillId="19" borderId="11" xfId="16" applyFont="1" applyFill="1" applyBorder="1" applyAlignment="1">
      <alignment horizontal="center" vertical="center" wrapText="1"/>
    </xf>
    <xf numFmtId="0" fontId="136" fillId="0" borderId="0" xfId="16" applyFont="1" applyAlignment="1">
      <alignment horizontal="right" vertical="center"/>
    </xf>
    <xf numFmtId="0" fontId="146" fillId="0" borderId="76" xfId="16" applyFont="1" applyBorder="1" applyAlignment="1">
      <alignment horizontal="center" vertical="center" wrapText="1"/>
    </xf>
    <xf numFmtId="0" fontId="146" fillId="0" borderId="76" xfId="16" applyFont="1" applyFill="1" applyBorder="1" applyAlignment="1">
      <alignment horizontal="center" vertical="center" wrapText="1"/>
    </xf>
    <xf numFmtId="14" fontId="146" fillId="0" borderId="75" xfId="16" applyNumberFormat="1" applyFont="1" applyFill="1" applyBorder="1" applyAlignment="1">
      <alignment horizontal="center" vertical="center" wrapText="1"/>
    </xf>
    <xf numFmtId="204" fontId="142" fillId="0" borderId="76" xfId="16" applyNumberFormat="1" applyFont="1" applyFill="1" applyBorder="1" applyAlignment="1">
      <alignment horizontal="center" vertical="center" wrapText="1"/>
    </xf>
    <xf numFmtId="205" fontId="142" fillId="0" borderId="76" xfId="16" applyNumberFormat="1" applyFont="1" applyFill="1" applyBorder="1" applyAlignment="1">
      <alignment horizontal="center" vertical="center" wrapText="1"/>
    </xf>
    <xf numFmtId="182" fontId="142" fillId="0" borderId="76" xfId="16" applyNumberFormat="1" applyFont="1" applyFill="1" applyBorder="1" applyAlignment="1">
      <alignment horizontal="center" vertical="center" wrapText="1"/>
    </xf>
    <xf numFmtId="206" fontId="142" fillId="0" borderId="76" xfId="15" applyNumberFormat="1" applyFont="1" applyFill="1" applyBorder="1" applyAlignment="1">
      <alignment horizontal="center" vertical="center" wrapText="1"/>
    </xf>
    <xf numFmtId="2" fontId="146" fillId="0" borderId="76" xfId="16" applyNumberFormat="1" applyFont="1" applyFill="1" applyBorder="1" applyAlignment="1">
      <alignment horizontal="center" vertical="center" wrapText="1"/>
    </xf>
    <xf numFmtId="9" fontId="136" fillId="0" borderId="0" xfId="16" applyNumberFormat="1" applyFont="1" applyAlignment="1">
      <alignment horizontal="left" vertical="center"/>
    </xf>
    <xf numFmtId="0" fontId="35" fillId="0" borderId="7" xfId="16" applyFont="1" applyBorder="1" applyAlignment="1">
      <alignment horizontal="center" vertical="center" wrapText="1"/>
    </xf>
    <xf numFmtId="204" fontId="35" fillId="0" borderId="7" xfId="16" applyNumberFormat="1" applyFont="1" applyBorder="1" applyAlignment="1">
      <alignment horizontal="center" vertical="center" wrapText="1"/>
    </xf>
    <xf numFmtId="9" fontId="35" fillId="0" borderId="7" xfId="16" applyNumberFormat="1" applyFont="1" applyBorder="1" applyAlignment="1">
      <alignment horizontal="center" vertical="center" wrapText="1"/>
    </xf>
    <xf numFmtId="14" fontId="146" fillId="0" borderId="76" xfId="16" applyNumberFormat="1" applyFont="1" applyFill="1" applyBorder="1" applyAlignment="1">
      <alignment horizontal="center" vertical="center" wrapText="1"/>
    </xf>
    <xf numFmtId="207" fontId="136" fillId="0" borderId="0" xfId="16" applyNumberFormat="1" applyFont="1" applyFill="1" applyBorder="1" applyAlignment="1">
      <alignment horizontal="center" vertical="center"/>
    </xf>
    <xf numFmtId="0" fontId="147" fillId="0" borderId="76" xfId="16" applyFont="1" applyBorder="1" applyAlignment="1">
      <alignment horizontal="center" vertical="center" wrapText="1"/>
    </xf>
    <xf numFmtId="14" fontId="146" fillId="0" borderId="76" xfId="16" applyNumberFormat="1" applyFont="1" applyBorder="1" applyAlignment="1">
      <alignment horizontal="center" vertical="center" wrapText="1"/>
    </xf>
    <xf numFmtId="204" fontId="147" fillId="0" borderId="76" xfId="16" applyNumberFormat="1" applyFont="1" applyBorder="1" applyAlignment="1">
      <alignment horizontal="center" vertical="center" wrapText="1"/>
    </xf>
    <xf numFmtId="205" fontId="147" fillId="0" borderId="76" xfId="16" applyNumberFormat="1" applyFont="1" applyBorder="1" applyAlignment="1">
      <alignment horizontal="center" vertical="center" wrapText="1"/>
    </xf>
    <xf numFmtId="0" fontId="34" fillId="11" borderId="7" xfId="16" applyFont="1" applyFill="1" applyBorder="1" applyAlignment="1">
      <alignment horizontal="center" vertical="center" wrapText="1"/>
    </xf>
    <xf numFmtId="0" fontId="35" fillId="11" borderId="7" xfId="16" applyFont="1" applyFill="1" applyBorder="1" applyAlignment="1">
      <alignment horizontal="center" vertical="center" wrapText="1"/>
    </xf>
    <xf numFmtId="204" fontId="34" fillId="11" borderId="7" xfId="16" applyNumberFormat="1" applyFont="1" applyFill="1" applyBorder="1" applyAlignment="1">
      <alignment horizontal="center" vertical="center" wrapText="1"/>
    </xf>
    <xf numFmtId="9" fontId="34" fillId="11" borderId="7" xfId="16" applyNumberFormat="1" applyFont="1" applyFill="1" applyBorder="1" applyAlignment="1">
      <alignment horizontal="center" vertical="center" wrapText="1"/>
    </xf>
    <xf numFmtId="3" fontId="136" fillId="0" borderId="0" xfId="16" applyNumberFormat="1" applyFont="1">
      <alignment vertical="center"/>
    </xf>
    <xf numFmtId="14" fontId="148" fillId="0" borderId="76" xfId="16" applyNumberFormat="1" applyFont="1" applyBorder="1" applyAlignment="1">
      <alignment horizontal="center" vertical="center" wrapText="1"/>
    </xf>
    <xf numFmtId="0" fontId="145" fillId="40" borderId="76" xfId="16" applyFont="1" applyFill="1" applyBorder="1" applyAlignment="1">
      <alignment horizontal="center" vertical="center" wrapText="1"/>
    </xf>
    <xf numFmtId="0" fontId="144" fillId="40" borderId="76" xfId="16" applyFont="1" applyFill="1" applyBorder="1" applyAlignment="1">
      <alignment horizontal="center" vertical="center" wrapText="1"/>
    </xf>
    <xf numFmtId="49" fontId="136" fillId="0" borderId="0" xfId="16" applyNumberFormat="1" applyFont="1">
      <alignment vertical="center"/>
    </xf>
    <xf numFmtId="0" fontId="146" fillId="0" borderId="0" xfId="16" applyFont="1" applyBorder="1" applyAlignment="1">
      <alignment horizontal="center" vertical="center" wrapText="1"/>
    </xf>
    <xf numFmtId="0" fontId="146" fillId="0" borderId="0" xfId="16" applyFont="1" applyFill="1" applyBorder="1" applyAlignment="1">
      <alignment horizontal="center" vertical="center" wrapText="1"/>
    </xf>
    <xf numFmtId="14" fontId="146" fillId="0" borderId="0" xfId="16" applyNumberFormat="1" applyFont="1" applyFill="1" applyBorder="1" applyAlignment="1">
      <alignment horizontal="center" vertical="center" wrapText="1"/>
    </xf>
    <xf numFmtId="204" fontId="147" fillId="0" borderId="0" xfId="16" applyNumberFormat="1" applyFont="1" applyFill="1" applyBorder="1" applyAlignment="1">
      <alignment horizontal="center" vertical="center" wrapText="1"/>
    </xf>
    <xf numFmtId="205" fontId="61" fillId="0" borderId="0" xfId="16" applyNumberFormat="1" applyFont="1" applyFill="1" applyBorder="1" applyAlignment="1">
      <alignment horizontal="center" vertical="center" wrapText="1"/>
    </xf>
    <xf numFmtId="204" fontId="61" fillId="0" borderId="0" xfId="16" applyNumberFormat="1" applyFont="1" applyFill="1" applyBorder="1" applyAlignment="1">
      <alignment horizontal="center" vertical="center" wrapText="1"/>
    </xf>
    <xf numFmtId="3" fontId="147" fillId="0" borderId="0" xfId="16" applyNumberFormat="1" applyFont="1" applyFill="1" applyBorder="1" applyAlignment="1">
      <alignment horizontal="center" vertical="center" wrapText="1"/>
    </xf>
    <xf numFmtId="2" fontId="146" fillId="0" borderId="0" xfId="16" applyNumberFormat="1" applyFont="1" applyFill="1" applyBorder="1" applyAlignment="1">
      <alignment horizontal="center" vertical="center" wrapText="1"/>
    </xf>
    <xf numFmtId="0" fontId="149" fillId="0" borderId="0" xfId="16" applyFont="1" applyBorder="1" applyAlignment="1">
      <alignment horizontal="left" vertical="center"/>
    </xf>
    <xf numFmtId="205" fontId="151" fillId="0" borderId="0" xfId="16" applyNumberFormat="1" applyFont="1" applyFill="1" applyBorder="1" applyAlignment="1">
      <alignment horizontal="right" vertical="center" wrapText="1"/>
    </xf>
    <xf numFmtId="205" fontId="147" fillId="0" borderId="0" xfId="16" applyNumberFormat="1" applyFont="1" applyFill="1" applyBorder="1" applyAlignment="1">
      <alignment horizontal="center" vertical="center" wrapText="1"/>
    </xf>
    <xf numFmtId="0" fontId="136" fillId="33" borderId="0" xfId="16" applyFont="1" applyFill="1">
      <alignment vertical="center"/>
    </xf>
    <xf numFmtId="0" fontId="52" fillId="33" borderId="0" xfId="16" applyFont="1" applyFill="1">
      <alignment vertical="center"/>
    </xf>
    <xf numFmtId="204" fontId="136" fillId="33" borderId="0" xfId="16" applyNumberFormat="1" applyFont="1" applyFill="1">
      <alignment vertical="center"/>
    </xf>
    <xf numFmtId="0" fontId="136" fillId="0" borderId="0" xfId="16" applyFont="1" applyAlignment="1">
      <alignment vertical="center" wrapText="1"/>
    </xf>
    <xf numFmtId="0" fontId="142" fillId="0" borderId="0" xfId="16" applyFont="1" applyAlignment="1">
      <alignment vertical="center" wrapText="1"/>
    </xf>
    <xf numFmtId="0" fontId="52" fillId="0" borderId="0" xfId="16" applyFont="1" applyAlignment="1">
      <alignment vertical="center" wrapText="1"/>
    </xf>
    <xf numFmtId="204" fontId="136" fillId="0" borderId="0" xfId="16" applyNumberFormat="1" applyFont="1" applyAlignment="1">
      <alignment vertical="center" wrapText="1"/>
    </xf>
    <xf numFmtId="0" fontId="33" fillId="8" borderId="4" xfId="16" applyFont="1" applyFill="1" applyBorder="1" applyAlignment="1">
      <alignment horizontal="center" vertical="center" wrapText="1"/>
    </xf>
    <xf numFmtId="0" fontId="33" fillId="8" borderId="5" xfId="16" applyFont="1" applyFill="1" applyBorder="1" applyAlignment="1">
      <alignment horizontal="center" vertical="center" wrapText="1"/>
    </xf>
    <xf numFmtId="0" fontId="34" fillId="0" borderId="6" xfId="16" applyFont="1" applyBorder="1" applyAlignment="1">
      <alignment horizontal="center" vertical="center" wrapText="1"/>
    </xf>
    <xf numFmtId="202" fontId="35" fillId="0" borderId="7" xfId="16" applyNumberFormat="1" applyFont="1" applyBorder="1" applyAlignment="1">
      <alignment horizontal="center" vertical="center" wrapText="1"/>
    </xf>
    <xf numFmtId="0" fontId="142" fillId="10" borderId="2" xfId="16" applyFont="1" applyFill="1" applyBorder="1" applyAlignment="1">
      <alignment horizontal="center" vertical="center" wrapText="1"/>
    </xf>
    <xf numFmtId="0" fontId="136" fillId="0" borderId="0" xfId="16" applyFont="1" applyBorder="1" applyAlignment="1">
      <alignment vertical="center" wrapText="1"/>
    </xf>
    <xf numFmtId="202" fontId="35" fillId="0" borderId="4" xfId="16" applyNumberFormat="1" applyFont="1" applyBorder="1" applyAlignment="1">
      <alignment horizontal="center" vertical="center" wrapText="1"/>
    </xf>
    <xf numFmtId="10" fontId="35" fillId="0" borderId="7" xfId="16" applyNumberFormat="1" applyFont="1" applyBorder="1" applyAlignment="1">
      <alignment horizontal="center" vertical="center" wrapText="1"/>
    </xf>
    <xf numFmtId="182" fontId="142" fillId="0" borderId="77" xfId="16" applyNumberFormat="1" applyFont="1" applyBorder="1" applyAlignment="1">
      <alignment horizontal="center" vertical="center" wrapText="1"/>
    </xf>
    <xf numFmtId="0" fontId="140" fillId="0" borderId="42" xfId="16" applyFont="1" applyBorder="1" applyAlignment="1">
      <alignment vertical="center" wrapText="1"/>
    </xf>
    <xf numFmtId="10" fontId="35" fillId="0" borderId="4" xfId="16" applyNumberFormat="1" applyFont="1" applyBorder="1" applyAlignment="1">
      <alignment horizontal="center" vertical="center" wrapText="1"/>
    </xf>
    <xf numFmtId="0" fontId="34" fillId="0" borderId="60" xfId="16" applyFont="1" applyBorder="1" applyAlignment="1">
      <alignment horizontal="center" vertical="center" wrapText="1"/>
    </xf>
    <xf numFmtId="0" fontId="35" fillId="0" borderId="15" xfId="16" applyFont="1" applyBorder="1" applyAlignment="1">
      <alignment horizontal="center" vertical="center" wrapText="1"/>
    </xf>
    <xf numFmtId="0" fontId="142" fillId="10" borderId="77" xfId="16" applyFont="1" applyFill="1" applyBorder="1" applyAlignment="1">
      <alignment horizontal="center" vertical="center" wrapText="1"/>
    </xf>
    <xf numFmtId="14" fontId="142" fillId="0" borderId="42" xfId="16" applyNumberFormat="1" applyFont="1" applyFill="1" applyBorder="1" applyAlignment="1">
      <alignment horizontal="center" vertical="center" wrapText="1"/>
    </xf>
    <xf numFmtId="208" fontId="35" fillId="0" borderId="4" xfId="16" applyNumberFormat="1" applyFont="1" applyBorder="1" applyAlignment="1">
      <alignment horizontal="center" vertical="center" wrapText="1"/>
    </xf>
    <xf numFmtId="0" fontId="34" fillId="0" borderId="15" xfId="16" applyFont="1" applyBorder="1" applyAlignment="1">
      <alignment horizontal="center" vertical="center" wrapText="1"/>
    </xf>
    <xf numFmtId="10" fontId="142" fillId="0" borderId="2" xfId="16" applyNumberFormat="1" applyFont="1" applyBorder="1" applyAlignment="1">
      <alignment horizontal="center" vertical="center" wrapText="1"/>
    </xf>
    <xf numFmtId="10" fontId="136" fillId="0" borderId="0" xfId="16" applyNumberFormat="1" applyFont="1" applyFill="1" applyBorder="1" applyAlignment="1">
      <alignment vertical="center" wrapText="1"/>
    </xf>
    <xf numFmtId="10" fontId="35" fillId="0" borderId="15" xfId="16" applyNumberFormat="1" applyFont="1" applyBorder="1" applyAlignment="1">
      <alignment horizontal="center" vertical="center" wrapText="1"/>
    </xf>
    <xf numFmtId="198" fontId="35" fillId="0" borderId="15" xfId="16" applyNumberFormat="1" applyFont="1" applyBorder="1" applyAlignment="1">
      <alignment horizontal="center" vertical="center" wrapText="1"/>
    </xf>
    <xf numFmtId="198" fontId="35" fillId="0" borderId="4" xfId="16" applyNumberFormat="1" applyFont="1" applyBorder="1" applyAlignment="1">
      <alignment horizontal="center" vertical="center" wrapText="1"/>
    </xf>
    <xf numFmtId="0" fontId="34" fillId="11" borderId="4" xfId="16" applyFont="1" applyFill="1" applyBorder="1" applyAlignment="1">
      <alignment horizontal="center" vertical="center" wrapText="1"/>
    </xf>
    <xf numFmtId="0" fontId="35" fillId="11" borderId="4" xfId="16" applyFont="1" applyFill="1" applyBorder="1" applyAlignment="1">
      <alignment horizontal="center" vertical="center" wrapText="1"/>
    </xf>
    <xf numFmtId="10" fontId="35" fillId="11" borderId="5" xfId="16" applyNumberFormat="1" applyFont="1" applyFill="1" applyBorder="1" applyAlignment="1">
      <alignment horizontal="center" vertical="center" wrapText="1"/>
    </xf>
    <xf numFmtId="10" fontId="136" fillId="0" borderId="0" xfId="16" applyNumberFormat="1" applyFont="1" applyAlignment="1">
      <alignment vertical="center" wrapText="1"/>
    </xf>
    <xf numFmtId="0" fontId="34" fillId="8" borderId="35" xfId="16" applyFont="1" applyFill="1" applyBorder="1" applyAlignment="1">
      <alignment horizontal="center" vertical="center" wrapText="1"/>
    </xf>
    <xf numFmtId="0" fontId="34" fillId="8" borderId="9" xfId="16" applyFont="1" applyFill="1" applyBorder="1" applyAlignment="1">
      <alignment horizontal="center" vertical="center" wrapText="1"/>
    </xf>
    <xf numFmtId="10" fontId="35" fillId="11" borderId="27" xfId="16" applyNumberFormat="1" applyFont="1" applyFill="1" applyBorder="1" applyAlignment="1">
      <alignment horizontal="center" vertical="center" wrapText="1"/>
    </xf>
    <xf numFmtId="10" fontId="35" fillId="11" borderId="34" xfId="16" applyNumberFormat="1" applyFont="1" applyFill="1" applyBorder="1" applyAlignment="1">
      <alignment horizontal="center" vertical="center" wrapText="1"/>
    </xf>
    <xf numFmtId="0" fontId="154" fillId="0" borderId="0" xfId="16" applyFont="1">
      <alignment vertical="center"/>
    </xf>
    <xf numFmtId="41" fontId="78" fillId="0" borderId="0" xfId="20" applyFont="1">
      <alignment vertical="center"/>
    </xf>
    <xf numFmtId="182" fontId="65" fillId="0" borderId="0" xfId="14" applyNumberFormat="1" applyFont="1" applyBorder="1" applyAlignment="1">
      <alignment horizontal="left" vertical="center"/>
    </xf>
    <xf numFmtId="41" fontId="62" fillId="0" borderId="0" xfId="7" applyFont="1" applyFill="1">
      <alignment vertical="center"/>
    </xf>
    <xf numFmtId="41" fontId="65" fillId="0" borderId="0" xfId="7" applyFont="1" applyFill="1">
      <alignment vertical="center"/>
    </xf>
    <xf numFmtId="181" fontId="78" fillId="2" borderId="0" xfId="10" applyNumberFormat="1" applyFont="1" applyFill="1">
      <alignment vertical="center"/>
    </xf>
    <xf numFmtId="41" fontId="62" fillId="0" borderId="54" xfId="7" applyFont="1" applyFill="1" applyBorder="1" applyAlignment="1">
      <alignment horizontal="center" vertical="center"/>
    </xf>
    <xf numFmtId="41" fontId="156" fillId="0" borderId="46" xfId="7" applyFont="1" applyFill="1" applyBorder="1" applyAlignment="1">
      <alignment horizontal="center" vertical="center"/>
    </xf>
    <xf numFmtId="210" fontId="62" fillId="0" borderId="43" xfId="7" applyNumberFormat="1" applyFont="1" applyFill="1" applyBorder="1" applyAlignment="1">
      <alignment horizontal="center" vertical="center"/>
    </xf>
    <xf numFmtId="41" fontId="62" fillId="0" borderId="1" xfId="7" applyFont="1" applyFill="1" applyBorder="1" applyAlignment="1">
      <alignment horizontal="center" vertical="center"/>
    </xf>
    <xf numFmtId="41" fontId="62" fillId="0" borderId="81" xfId="7" applyFont="1" applyFill="1" applyBorder="1" applyAlignment="1">
      <alignment horizontal="center" vertical="center"/>
    </xf>
    <xf numFmtId="187" fontId="67" fillId="14" borderId="56" xfId="14" applyNumberFormat="1" applyFont="1" applyFill="1" applyBorder="1" applyAlignment="1">
      <alignment horizontal="right" vertical="center"/>
    </xf>
    <xf numFmtId="10" fontId="67" fillId="0" borderId="56" xfId="12" applyNumberFormat="1" applyFont="1" applyFill="1" applyBorder="1" applyAlignment="1">
      <alignment vertical="center"/>
    </xf>
    <xf numFmtId="187" fontId="67" fillId="37" borderId="56" xfId="14" applyNumberFormat="1" applyFont="1" applyFill="1" applyBorder="1" applyAlignment="1">
      <alignment horizontal="right" vertical="center"/>
    </xf>
    <xf numFmtId="41" fontId="62" fillId="0" borderId="56" xfId="7" applyFont="1" applyFill="1" applyBorder="1" applyAlignment="1">
      <alignment horizontal="center" vertical="center"/>
    </xf>
    <xf numFmtId="187" fontId="67" fillId="43" borderId="56" xfId="14" applyNumberFormat="1" applyFont="1" applyFill="1" applyBorder="1" applyAlignment="1">
      <alignment horizontal="right" vertical="center"/>
    </xf>
    <xf numFmtId="10" fontId="67" fillId="43" borderId="43" xfId="12" applyNumberFormat="1" applyFont="1" applyFill="1" applyBorder="1" applyAlignment="1">
      <alignment vertical="center"/>
    </xf>
    <xf numFmtId="10" fontId="67" fillId="0" borderId="43" xfId="12" applyNumberFormat="1" applyFont="1" applyFill="1" applyBorder="1" applyAlignment="1">
      <alignment vertical="center"/>
    </xf>
    <xf numFmtId="41" fontId="63" fillId="0" borderId="81" xfId="7" applyFont="1" applyFill="1" applyBorder="1" applyAlignment="1">
      <alignment horizontal="center" vertical="center"/>
    </xf>
    <xf numFmtId="41" fontId="63" fillId="0" borderId="43" xfId="7" applyFont="1" applyFill="1" applyBorder="1" applyAlignment="1">
      <alignment horizontal="center" vertical="center"/>
    </xf>
    <xf numFmtId="41" fontId="63" fillId="0" borderId="46" xfId="7" applyFont="1" applyFill="1" applyBorder="1" applyAlignment="1">
      <alignment horizontal="center" vertical="center"/>
    </xf>
    <xf numFmtId="3" fontId="27" fillId="17" borderId="7" xfId="3" applyNumberFormat="1" applyFont="1" applyFill="1" applyBorder="1" applyAlignment="1">
      <alignment horizontal="right" vertical="center" wrapText="1"/>
    </xf>
    <xf numFmtId="0" fontId="27" fillId="17" borderId="7" xfId="3" applyFont="1" applyFill="1" applyBorder="1" applyAlignment="1">
      <alignment horizontal="right" vertical="center" wrapText="1"/>
    </xf>
    <xf numFmtId="41" fontId="27" fillId="17" borderId="7" xfId="3" applyNumberFormat="1" applyFont="1" applyFill="1" applyBorder="1" applyAlignment="1">
      <alignment horizontal="right" vertical="center" wrapText="1"/>
    </xf>
    <xf numFmtId="0" fontId="18" fillId="32" borderId="2" xfId="5" applyFill="1" applyBorder="1">
      <alignment vertical="center"/>
    </xf>
    <xf numFmtId="41" fontId="0" fillId="0" borderId="2" xfId="10" applyFont="1" applyBorder="1">
      <alignment vertical="center"/>
    </xf>
    <xf numFmtId="41" fontId="18" fillId="0" borderId="0" xfId="1" applyFont="1">
      <alignment vertical="center"/>
    </xf>
    <xf numFmtId="41" fontId="163" fillId="0" borderId="0" xfId="1" applyFont="1">
      <alignment vertical="center"/>
    </xf>
    <xf numFmtId="0" fontId="18" fillId="5" borderId="0" xfId="5" applyFill="1" applyBorder="1">
      <alignment vertical="center"/>
    </xf>
    <xf numFmtId="41" fontId="0" fillId="5" borderId="0" xfId="10" applyFont="1" applyFill="1">
      <alignment vertical="center"/>
    </xf>
    <xf numFmtId="41" fontId="18" fillId="41" borderId="0" xfId="5" applyNumberFormat="1" applyFill="1">
      <alignment vertical="center"/>
    </xf>
    <xf numFmtId="0" fontId="18" fillId="44" borderId="0" xfId="5" applyFill="1" applyBorder="1">
      <alignment vertical="center"/>
    </xf>
    <xf numFmtId="0" fontId="136" fillId="0" borderId="0" xfId="5" applyFont="1" applyAlignment="1">
      <alignment vertical="center" wrapText="1"/>
    </xf>
    <xf numFmtId="0" fontId="136" fillId="0" borderId="0" xfId="5" applyFont="1">
      <alignment vertical="center"/>
    </xf>
    <xf numFmtId="0" fontId="137" fillId="0" borderId="0" xfId="5" applyFont="1" applyAlignment="1">
      <alignment vertical="center" wrapText="1"/>
    </xf>
    <xf numFmtId="0" fontId="137" fillId="0" borderId="0" xfId="5" applyFont="1" applyAlignment="1">
      <alignment horizontal="left" vertical="center" wrapText="1"/>
    </xf>
    <xf numFmtId="0" fontId="137" fillId="0" borderId="0" xfId="5" applyFont="1" applyAlignment="1">
      <alignment horizontal="left" vertical="center"/>
    </xf>
    <xf numFmtId="0" fontId="164" fillId="10" borderId="0" xfId="5" applyFont="1" applyFill="1">
      <alignment vertical="center"/>
    </xf>
    <xf numFmtId="0" fontId="18" fillId="32" borderId="0" xfId="5" applyFill="1">
      <alignment vertical="center"/>
    </xf>
    <xf numFmtId="0" fontId="165" fillId="0" borderId="0" xfId="5" applyFont="1" applyAlignment="1">
      <alignment vertical="center" wrapText="1"/>
    </xf>
    <xf numFmtId="0" fontId="165" fillId="0" borderId="0" xfId="5" applyFont="1">
      <alignment vertical="center"/>
    </xf>
    <xf numFmtId="0" fontId="142" fillId="0" borderId="0" xfId="5" applyFont="1" applyAlignment="1">
      <alignment vertical="center" wrapText="1"/>
    </xf>
    <xf numFmtId="14" fontId="163" fillId="0" borderId="0" xfId="5" applyNumberFormat="1" applyFont="1">
      <alignment vertical="center"/>
    </xf>
    <xf numFmtId="14" fontId="18" fillId="0" borderId="0" xfId="5" applyNumberFormat="1">
      <alignment vertical="center"/>
    </xf>
    <xf numFmtId="14" fontId="166" fillId="0" borderId="0" xfId="5" applyNumberFormat="1" applyFont="1">
      <alignment vertical="center"/>
    </xf>
    <xf numFmtId="0" fontId="18" fillId="0" borderId="0" xfId="5" applyAlignment="1">
      <alignment horizontal="left" vertical="center"/>
    </xf>
    <xf numFmtId="0" fontId="18" fillId="0" borderId="0" xfId="5" applyAlignment="1">
      <alignment horizontal="center" vertical="center"/>
    </xf>
    <xf numFmtId="0" fontId="18" fillId="0" borderId="2" xfId="5" applyBorder="1" applyAlignment="1">
      <alignment horizontal="center" vertical="center"/>
    </xf>
    <xf numFmtId="0" fontId="18" fillId="0" borderId="2" xfId="5" applyBorder="1">
      <alignment vertical="center"/>
    </xf>
    <xf numFmtId="10" fontId="0" fillId="0" borderId="2" xfId="14" applyNumberFormat="1" applyFont="1" applyBorder="1">
      <alignment vertical="center"/>
    </xf>
    <xf numFmtId="41" fontId="0" fillId="16" borderId="2" xfId="10" applyFont="1" applyFill="1" applyBorder="1">
      <alignment vertical="center"/>
    </xf>
    <xf numFmtId="0" fontId="162" fillId="6" borderId="2" xfId="5" applyFont="1" applyFill="1" applyBorder="1">
      <alignment vertical="center"/>
    </xf>
    <xf numFmtId="0" fontId="18" fillId="6" borderId="2" xfId="5" applyFill="1" applyBorder="1" applyAlignment="1">
      <alignment horizontal="center" vertical="center"/>
    </xf>
    <xf numFmtId="41" fontId="0" fillId="6" borderId="2" xfId="10" applyFont="1" applyFill="1" applyBorder="1">
      <alignment vertical="center"/>
    </xf>
    <xf numFmtId="10" fontId="0" fillId="6" borderId="2" xfId="14" applyNumberFormat="1" applyFont="1" applyFill="1" applyBorder="1">
      <alignment vertical="center"/>
    </xf>
    <xf numFmtId="0" fontId="18" fillId="20" borderId="2" xfId="5" applyFill="1" applyBorder="1">
      <alignment vertical="center"/>
    </xf>
    <xf numFmtId="0" fontId="18" fillId="20" borderId="2" xfId="5" applyFill="1" applyBorder="1" applyAlignment="1">
      <alignment horizontal="center" vertical="center"/>
    </xf>
    <xf numFmtId="41" fontId="0" fillId="20" borderId="2" xfId="10" applyFont="1" applyFill="1" applyBorder="1">
      <alignment vertical="center"/>
    </xf>
    <xf numFmtId="10" fontId="0" fillId="20" borderId="2" xfId="14" applyNumberFormat="1" applyFont="1" applyFill="1" applyBorder="1">
      <alignment vertical="center"/>
    </xf>
    <xf numFmtId="0" fontId="21" fillId="0" borderId="2" xfId="5" applyFont="1" applyBorder="1" applyAlignment="1">
      <alignment horizontal="center" vertical="center"/>
    </xf>
    <xf numFmtId="41" fontId="21" fillId="0" borderId="2" xfId="10" applyFont="1" applyBorder="1">
      <alignment vertical="center"/>
    </xf>
    <xf numFmtId="9" fontId="0" fillId="0" borderId="2" xfId="14" applyFont="1" applyBorder="1">
      <alignment vertical="center"/>
    </xf>
    <xf numFmtId="0" fontId="18" fillId="0" borderId="0" xfId="5" applyAlignment="1">
      <alignment horizontal="right" vertical="center"/>
    </xf>
    <xf numFmtId="41" fontId="18" fillId="0" borderId="0" xfId="5" applyNumberFormat="1" applyAlignment="1">
      <alignment horizontal="center" vertical="center"/>
    </xf>
    <xf numFmtId="0" fontId="167" fillId="0" borderId="0" xfId="5" applyFont="1" applyFill="1">
      <alignment vertical="center"/>
    </xf>
    <xf numFmtId="0" fontId="167" fillId="0" borderId="0" xfId="5" applyFont="1" applyFill="1" applyAlignment="1">
      <alignment horizontal="right" vertical="center"/>
    </xf>
    <xf numFmtId="41" fontId="168" fillId="0" borderId="0" xfId="1" applyFont="1" applyFill="1">
      <alignment vertical="center"/>
    </xf>
    <xf numFmtId="41" fontId="21" fillId="16" borderId="0" xfId="5" applyNumberFormat="1" applyFont="1" applyFill="1">
      <alignment vertical="center"/>
    </xf>
    <xf numFmtId="0" fontId="163" fillId="0" borderId="0" xfId="5" applyFont="1">
      <alignment vertical="center"/>
    </xf>
    <xf numFmtId="0" fontId="18" fillId="0" borderId="0" xfId="0" applyFont="1" applyAlignment="1">
      <alignment horizontal="right" vertical="center"/>
    </xf>
    <xf numFmtId="0" fontId="28" fillId="32" borderId="81" xfId="0" applyFont="1" applyFill="1" applyBorder="1" applyAlignment="1">
      <alignment horizontal="center" vertical="center"/>
    </xf>
    <xf numFmtId="0" fontId="28" fillId="10" borderId="82" xfId="0" applyFont="1" applyFill="1" applyBorder="1" applyAlignment="1">
      <alignment horizontal="center" vertical="center" wrapText="1"/>
    </xf>
    <xf numFmtId="0" fontId="28" fillId="10" borderId="82" xfId="0" applyFont="1" applyFill="1" applyBorder="1" applyAlignment="1">
      <alignment horizontal="center" vertical="center"/>
    </xf>
    <xf numFmtId="41" fontId="28" fillId="10" borderId="82" xfId="1" applyFont="1" applyFill="1" applyBorder="1" applyAlignment="1">
      <alignment horizontal="center" vertical="center"/>
    </xf>
    <xf numFmtId="10" fontId="28" fillId="0" borderId="2" xfId="2" applyNumberFormat="1" applyFont="1" applyFill="1" applyBorder="1" applyAlignment="1">
      <alignment horizontal="center" vertical="center"/>
    </xf>
    <xf numFmtId="41" fontId="21" fillId="16" borderId="2" xfId="5" applyNumberFormat="1" applyFont="1" applyFill="1" applyBorder="1">
      <alignment vertical="center"/>
    </xf>
    <xf numFmtId="0" fontId="28" fillId="0" borderId="46" xfId="0" applyFont="1" applyFill="1" applyBorder="1" applyAlignment="1">
      <alignment horizontal="center" vertical="center" wrapText="1"/>
    </xf>
    <xf numFmtId="0" fontId="28" fillId="0" borderId="46" xfId="0" applyFont="1" applyFill="1" applyBorder="1" applyAlignment="1">
      <alignment horizontal="center" vertical="center"/>
    </xf>
    <xf numFmtId="41" fontId="28" fillId="0" borderId="46" xfId="1" applyFont="1" applyFill="1" applyBorder="1" applyAlignment="1">
      <alignment horizontal="center" vertical="center"/>
    </xf>
    <xf numFmtId="0" fontId="28" fillId="0" borderId="2" xfId="0" applyFont="1" applyFill="1" applyBorder="1" applyAlignment="1">
      <alignment horizontal="center" vertical="center"/>
    </xf>
    <xf numFmtId="41" fontId="28" fillId="0" borderId="2" xfId="1" applyFont="1" applyFill="1" applyBorder="1" applyAlignment="1">
      <alignment horizontal="center" vertical="center"/>
    </xf>
    <xf numFmtId="0" fontId="6" fillId="10" borderId="2" xfId="0" applyFont="1" applyFill="1" applyBorder="1" applyAlignment="1">
      <alignment horizontal="center" vertical="center"/>
    </xf>
    <xf numFmtId="41" fontId="6" fillId="10" borderId="2" xfId="1" applyFont="1" applyFill="1" applyBorder="1" applyAlignment="1">
      <alignment horizontal="center" vertical="center"/>
    </xf>
    <xf numFmtId="0" fontId="28" fillId="10" borderId="2" xfId="0" applyFont="1" applyFill="1" applyBorder="1" applyAlignment="1">
      <alignment horizontal="center" vertical="center"/>
    </xf>
    <xf numFmtId="41" fontId="28" fillId="10" borderId="2" xfId="1" applyFont="1" applyFill="1" applyBorder="1" applyAlignment="1">
      <alignment horizontal="center" vertical="center"/>
    </xf>
    <xf numFmtId="0" fontId="0" fillId="0" borderId="2" xfId="0" applyFill="1" applyBorder="1" applyAlignment="1">
      <alignment horizontal="center" vertical="center"/>
    </xf>
    <xf numFmtId="41" fontId="0" fillId="0" borderId="2" xfId="1" applyFont="1" applyFill="1" applyBorder="1" applyAlignment="1">
      <alignment horizontal="center" vertical="center"/>
    </xf>
    <xf numFmtId="41" fontId="18" fillId="0" borderId="2" xfId="5" applyNumberFormat="1" applyBorder="1">
      <alignment vertical="center"/>
    </xf>
    <xf numFmtId="41" fontId="0" fillId="0" borderId="83" xfId="1" applyFont="1" applyFill="1" applyBorder="1" applyAlignment="1">
      <alignment horizontal="center" vertical="center"/>
    </xf>
    <xf numFmtId="0" fontId="28" fillId="0" borderId="46" xfId="0" applyFont="1" applyBorder="1" applyAlignment="1">
      <alignment horizontal="center" vertical="center"/>
    </xf>
    <xf numFmtId="41" fontId="28" fillId="0" borderId="46" xfId="1" applyFont="1" applyBorder="1" applyAlignment="1">
      <alignment horizontal="center" vertical="center"/>
    </xf>
    <xf numFmtId="10" fontId="28" fillId="0" borderId="46" xfId="2" applyNumberFormat="1" applyFont="1" applyBorder="1" applyAlignment="1">
      <alignment horizontal="center" vertical="center"/>
    </xf>
    <xf numFmtId="41" fontId="28" fillId="16" borderId="46" xfId="1" applyFont="1" applyFill="1" applyBorder="1" applyAlignment="1">
      <alignment horizontal="center" vertical="center"/>
    </xf>
    <xf numFmtId="41" fontId="18" fillId="0" borderId="0" xfId="5" applyNumberFormat="1">
      <alignment vertical="center"/>
    </xf>
    <xf numFmtId="0" fontId="34" fillId="45" borderId="4" xfId="0" applyFont="1" applyFill="1" applyBorder="1" applyAlignment="1">
      <alignment horizontal="center" vertical="center" wrapText="1"/>
    </xf>
    <xf numFmtId="0" fontId="34" fillId="45" borderId="5" xfId="0" applyFont="1" applyFill="1" applyBorder="1" applyAlignment="1">
      <alignment horizontal="center" vertical="center" wrapText="1"/>
    </xf>
    <xf numFmtId="0" fontId="35" fillId="0" borderId="6" xfId="0" applyFont="1" applyBorder="1" applyAlignment="1">
      <alignment horizontal="center" vertical="center" wrapText="1"/>
    </xf>
    <xf numFmtId="10" fontId="35" fillId="0" borderId="7" xfId="2" applyNumberFormat="1" applyFont="1" applyBorder="1" applyAlignment="1">
      <alignment horizontal="center" vertical="center" wrapText="1"/>
    </xf>
    <xf numFmtId="0" fontId="34" fillId="21" borderId="6" xfId="0" applyFont="1" applyFill="1" applyBorder="1" applyAlignment="1">
      <alignment horizontal="center" vertical="center" wrapText="1"/>
    </xf>
    <xf numFmtId="0" fontId="34" fillId="21" borderId="7" xfId="0" applyFont="1" applyFill="1" applyBorder="1" applyAlignment="1">
      <alignment horizontal="center" vertical="center" wrapText="1"/>
    </xf>
    <xf numFmtId="3" fontId="34" fillId="21" borderId="7" xfId="0" applyNumberFormat="1" applyFont="1" applyFill="1" applyBorder="1" applyAlignment="1">
      <alignment horizontal="center" vertical="center" wrapText="1"/>
    </xf>
    <xf numFmtId="0" fontId="28" fillId="0" borderId="0" xfId="27" applyFont="1" applyAlignment="1">
      <alignment vertical="center"/>
    </xf>
    <xf numFmtId="0" fontId="1" fillId="0" borderId="0" xfId="27" applyFont="1" applyAlignment="1">
      <alignment vertical="center"/>
    </xf>
    <xf numFmtId="0" fontId="1" fillId="3" borderId="0" xfId="27" applyFont="1" applyFill="1" applyAlignment="1">
      <alignment vertical="center"/>
    </xf>
    <xf numFmtId="0" fontId="0" fillId="0" borderId="0" xfId="27" applyFont="1" applyAlignment="1">
      <alignment vertical="center"/>
    </xf>
    <xf numFmtId="0" fontId="1" fillId="0" borderId="0" xfId="27" applyFont="1" applyAlignment="1">
      <alignment horizontal="center" vertical="center"/>
    </xf>
    <xf numFmtId="0" fontId="6" fillId="0" borderId="0" xfId="27" applyFont="1" applyAlignment="1">
      <alignment horizontal="left" vertical="center"/>
    </xf>
    <xf numFmtId="0" fontId="169" fillId="0" borderId="0" xfId="27" applyFont="1" applyAlignment="1">
      <alignment vertical="center"/>
    </xf>
    <xf numFmtId="0" fontId="54" fillId="8" borderId="15" xfId="27" applyFont="1" applyFill="1" applyBorder="1" applyAlignment="1">
      <alignment horizontal="center" vertical="center" wrapText="1"/>
    </xf>
    <xf numFmtId="0" fontId="23" fillId="0" borderId="13" xfId="27" applyFont="1" applyBorder="1" applyAlignment="1">
      <alignment horizontal="left" vertical="center" wrapText="1"/>
    </xf>
    <xf numFmtId="0" fontId="23" fillId="0" borderId="15" xfId="27" applyFont="1" applyBorder="1" applyAlignment="1">
      <alignment horizontal="left" vertical="center" wrapText="1"/>
    </xf>
    <xf numFmtId="0" fontId="54" fillId="8" borderId="6" xfId="27" applyFont="1" applyFill="1" applyBorder="1" applyAlignment="1">
      <alignment horizontal="center" vertical="center" wrapText="1"/>
    </xf>
    <xf numFmtId="31" fontId="23" fillId="0" borderId="7" xfId="27" applyNumberFormat="1" applyFont="1" applyBorder="1" applyAlignment="1">
      <alignment horizontal="left" vertical="center" wrapText="1"/>
    </xf>
    <xf numFmtId="0" fontId="54" fillId="8" borderId="7" xfId="27" applyFont="1" applyFill="1" applyBorder="1" applyAlignment="1">
      <alignment horizontal="center" vertical="center" wrapText="1"/>
    </xf>
    <xf numFmtId="0" fontId="23" fillId="0" borderId="7" xfId="27" applyFont="1" applyBorder="1" applyAlignment="1">
      <alignment horizontal="left" vertical="center" wrapText="1"/>
    </xf>
    <xf numFmtId="0" fontId="1" fillId="0" borderId="84" xfId="27" applyFont="1" applyBorder="1" applyAlignment="1">
      <alignment vertical="center"/>
    </xf>
    <xf numFmtId="41" fontId="1" fillId="0" borderId="9" xfId="27" applyNumberFormat="1" applyFont="1" applyBorder="1" applyAlignment="1">
      <alignment vertical="center"/>
    </xf>
    <xf numFmtId="0" fontId="28" fillId="0" borderId="85" xfId="27" applyFont="1" applyBorder="1" applyAlignment="1">
      <alignment horizontal="center" vertical="center"/>
    </xf>
    <xf numFmtId="0" fontId="28" fillId="0" borderId="86" xfId="27" applyFont="1" applyBorder="1" applyAlignment="1">
      <alignment horizontal="center" vertical="center"/>
    </xf>
    <xf numFmtId="0" fontId="1" fillId="0" borderId="87" xfId="27" applyFont="1" applyBorder="1" applyAlignment="1">
      <alignment vertical="center"/>
    </xf>
    <xf numFmtId="10" fontId="1" fillId="46" borderId="88" xfId="27" applyNumberFormat="1" applyFont="1" applyFill="1" applyBorder="1" applyAlignment="1">
      <alignment vertical="center"/>
    </xf>
    <xf numFmtId="41" fontId="1" fillId="46" borderId="88" xfId="27" applyNumberFormat="1" applyFont="1" applyFill="1" applyBorder="1" applyAlignment="1">
      <alignment vertical="center"/>
    </xf>
    <xf numFmtId="43" fontId="1" fillId="0" borderId="0" xfId="27" applyNumberFormat="1" applyFont="1" applyAlignment="1">
      <alignment vertical="center"/>
    </xf>
    <xf numFmtId="0" fontId="42" fillId="0" borderId="0" xfId="27" applyFont="1" applyBorder="1" applyAlignment="1">
      <alignment horizontal="left" vertical="center" wrapText="1"/>
    </xf>
    <xf numFmtId="0" fontId="1" fillId="0" borderId="89" xfId="27" applyFont="1" applyBorder="1" applyAlignment="1">
      <alignment vertical="center"/>
    </xf>
    <xf numFmtId="9" fontId="1" fillId="46" borderId="90" xfId="27" applyNumberFormat="1" applyFont="1" applyFill="1" applyBorder="1" applyAlignment="1">
      <alignment vertical="center"/>
    </xf>
    <xf numFmtId="41" fontId="1" fillId="46" borderId="90" xfId="27" applyNumberFormat="1" applyFont="1" applyFill="1" applyBorder="1" applyAlignment="1">
      <alignment vertical="center"/>
    </xf>
    <xf numFmtId="0" fontId="170" fillId="0" borderId="0" xfId="27" applyFont="1" applyAlignment="1">
      <alignment horizontal="left" vertical="center"/>
    </xf>
    <xf numFmtId="0" fontId="171" fillId="0" borderId="0" xfId="27" applyFont="1" applyAlignment="1">
      <alignment horizontal="justify" vertical="center"/>
    </xf>
    <xf numFmtId="0" fontId="1" fillId="0" borderId="0" xfId="27" applyFont="1">
      <alignment vertical="center"/>
    </xf>
    <xf numFmtId="0" fontId="23" fillId="0" borderId="91" xfId="27" applyFont="1" applyBorder="1" applyAlignment="1">
      <alignment horizontal="center" vertical="center" wrapText="1"/>
    </xf>
    <xf numFmtId="0" fontId="23" fillId="0" borderId="92" xfId="27" applyFont="1" applyBorder="1" applyAlignment="1">
      <alignment horizontal="center" vertical="center" wrapText="1"/>
    </xf>
    <xf numFmtId="0" fontId="0" fillId="0" borderId="0" xfId="27" applyFont="1" applyAlignment="1">
      <alignment horizontal="center" vertical="center"/>
    </xf>
    <xf numFmtId="0" fontId="23" fillId="0" borderId="93" xfId="27" applyFont="1" applyBorder="1" applyAlignment="1">
      <alignment horizontal="center" vertical="center" wrapText="1"/>
    </xf>
    <xf numFmtId="31" fontId="23" fillId="0" borderId="94" xfId="27" applyNumberFormat="1" applyFont="1" applyBorder="1" applyAlignment="1">
      <alignment horizontal="center" vertical="center" wrapText="1"/>
    </xf>
    <xf numFmtId="0" fontId="23" fillId="0" borderId="94" xfId="27" applyFont="1" applyBorder="1" applyAlignment="1">
      <alignment horizontal="center" vertical="center" wrapText="1"/>
    </xf>
    <xf numFmtId="0" fontId="20" fillId="0" borderId="0" xfId="27" applyFont="1" applyAlignment="1">
      <alignment horizontal="justify" vertical="center"/>
    </xf>
    <xf numFmtId="0" fontId="84" fillId="0" borderId="0" xfId="27" applyFont="1">
      <alignment vertical="center"/>
    </xf>
    <xf numFmtId="3" fontId="174" fillId="10" borderId="35" xfId="27" applyNumberFormat="1" applyFont="1" applyFill="1" applyBorder="1" applyAlignment="1">
      <alignment vertical="center"/>
    </xf>
    <xf numFmtId="3" fontId="1" fillId="0" borderId="0" xfId="27" applyNumberFormat="1" applyFont="1" applyAlignment="1">
      <alignment vertical="center"/>
    </xf>
    <xf numFmtId="0" fontId="141" fillId="0" borderId="0" xfId="27" applyFont="1" applyAlignment="1">
      <alignment horizontal="right" vertical="center"/>
    </xf>
    <xf numFmtId="0" fontId="54" fillId="8" borderId="4" xfId="27" applyFont="1" applyFill="1" applyBorder="1" applyAlignment="1">
      <alignment horizontal="center" vertical="center" wrapText="1"/>
    </xf>
    <xf numFmtId="0" fontId="54" fillId="8" borderId="5" xfId="27" applyFont="1" applyFill="1" applyBorder="1" applyAlignment="1">
      <alignment horizontal="center" vertical="center" wrapText="1"/>
    </xf>
    <xf numFmtId="0" fontId="27" fillId="0" borderId="4" xfId="27" applyFont="1" applyBorder="1" applyAlignment="1">
      <alignment horizontal="center" vertical="center" wrapText="1"/>
    </xf>
    <xf numFmtId="0" fontId="27" fillId="0" borderId="5" xfId="27" applyFont="1" applyBorder="1" applyAlignment="1">
      <alignment horizontal="center" vertical="center" wrapText="1"/>
    </xf>
    <xf numFmtId="3" fontId="23" fillId="0" borderId="5" xfId="27" applyNumberFormat="1" applyFont="1" applyBorder="1" applyAlignment="1">
      <alignment horizontal="center" vertical="center" wrapText="1"/>
    </xf>
    <xf numFmtId="2" fontId="27" fillId="0" borderId="7" xfId="27" applyNumberFormat="1" applyFont="1" applyBorder="1" applyAlignment="1">
      <alignment horizontal="center" vertical="center" wrapText="1"/>
    </xf>
    <xf numFmtId="41" fontId="27" fillId="0" borderId="7" xfId="1" applyFont="1" applyBorder="1" applyAlignment="1">
      <alignment horizontal="center" vertical="center" wrapText="1"/>
    </xf>
    <xf numFmtId="41" fontId="1" fillId="0" borderId="0" xfId="1" applyFont="1" applyAlignment="1">
      <alignment horizontal="center" vertical="center"/>
    </xf>
    <xf numFmtId="3" fontId="23" fillId="0" borderId="7" xfId="27" applyNumberFormat="1" applyFont="1" applyBorder="1" applyAlignment="1">
      <alignment horizontal="center" vertical="center" wrapText="1"/>
    </xf>
    <xf numFmtId="0" fontId="27" fillId="0" borderId="6" xfId="27" applyFont="1" applyBorder="1" applyAlignment="1">
      <alignment horizontal="center" vertical="center" wrapText="1"/>
    </xf>
    <xf numFmtId="0" fontId="27" fillId="0" borderId="7" xfId="27" applyFont="1" applyBorder="1" applyAlignment="1">
      <alignment horizontal="center" vertical="center" wrapText="1"/>
    </xf>
    <xf numFmtId="41" fontId="174" fillId="10" borderId="35" xfId="27" applyNumberFormat="1" applyFont="1" applyFill="1" applyBorder="1" applyAlignment="1">
      <alignment vertical="center"/>
    </xf>
    <xf numFmtId="0" fontId="68" fillId="11" borderId="5" xfId="27" applyFont="1" applyFill="1" applyBorder="1" applyAlignment="1">
      <alignment horizontal="center" vertical="center" wrapText="1"/>
    </xf>
    <xf numFmtId="3" fontId="68" fillId="11" borderId="7" xfId="27" applyNumberFormat="1" applyFont="1" applyFill="1" applyBorder="1" applyAlignment="1">
      <alignment horizontal="center" vertical="center" wrapText="1"/>
    </xf>
    <xf numFmtId="2" fontId="68" fillId="11" borderId="7" xfId="27" applyNumberFormat="1" applyFont="1" applyFill="1" applyBorder="1" applyAlignment="1">
      <alignment horizontal="center" vertical="center" wrapText="1"/>
    </xf>
    <xf numFmtId="41" fontId="1" fillId="0" borderId="0" xfId="27" applyNumberFormat="1" applyFont="1" applyAlignment="1">
      <alignment horizontal="center" vertical="center"/>
    </xf>
    <xf numFmtId="0" fontId="13" fillId="21" borderId="6" xfId="27" applyFont="1" applyFill="1" applyBorder="1" applyAlignment="1">
      <alignment horizontal="center" vertical="center" wrapText="1"/>
    </xf>
    <xf numFmtId="3" fontId="13" fillId="21" borderId="7" xfId="27" applyNumberFormat="1" applyFont="1" applyFill="1" applyBorder="1" applyAlignment="1">
      <alignment horizontal="center" vertical="center" wrapText="1"/>
    </xf>
    <xf numFmtId="2" fontId="13" fillId="21" borderId="7" xfId="27" applyNumberFormat="1" applyFont="1" applyFill="1" applyBorder="1" applyAlignment="1">
      <alignment horizontal="center" vertical="center" wrapText="1"/>
    </xf>
    <xf numFmtId="41" fontId="13" fillId="21" borderId="7" xfId="1" applyFont="1" applyFill="1" applyBorder="1" applyAlignment="1">
      <alignment horizontal="center" vertical="center" wrapText="1"/>
    </xf>
    <xf numFmtId="0" fontId="18" fillId="0" borderId="0" xfId="27" applyFont="1">
      <alignment vertical="center"/>
    </xf>
    <xf numFmtId="0" fontId="176" fillId="0" borderId="6" xfId="27" applyFont="1" applyBorder="1" applyAlignment="1">
      <alignment horizontal="center" vertical="center" wrapText="1"/>
    </xf>
    <xf numFmtId="0" fontId="176" fillId="0" borderId="13" xfId="27" applyFont="1" applyBorder="1" applyAlignment="1">
      <alignment vertical="center" wrapText="1"/>
    </xf>
    <xf numFmtId="0" fontId="177" fillId="0" borderId="0" xfId="27" applyFont="1" applyAlignment="1" applyProtection="1">
      <alignment vertical="center"/>
    </xf>
    <xf numFmtId="0" fontId="176" fillId="0" borderId="4" xfId="27" applyFont="1" applyBorder="1" applyAlignment="1">
      <alignment horizontal="center" vertical="center" wrapText="1"/>
    </xf>
    <xf numFmtId="0" fontId="176" fillId="0" borderId="17" xfId="27" applyFont="1" applyBorder="1" applyAlignment="1">
      <alignment vertical="center" wrapText="1"/>
    </xf>
    <xf numFmtId="0" fontId="178" fillId="0" borderId="0" xfId="28" applyAlignment="1">
      <alignment vertical="center"/>
    </xf>
    <xf numFmtId="209" fontId="176" fillId="0" borderId="4" xfId="27" applyNumberFormat="1" applyFont="1" applyBorder="1" applyAlignment="1">
      <alignment horizontal="center" vertical="center" wrapText="1"/>
    </xf>
    <xf numFmtId="14" fontId="1" fillId="0" borderId="0" xfId="27" applyNumberFormat="1" applyFont="1" applyAlignment="1">
      <alignment horizontal="center" vertical="center"/>
    </xf>
    <xf numFmtId="212" fontId="1" fillId="0" borderId="0" xfId="27" applyNumberFormat="1" applyFont="1" applyAlignment="1">
      <alignment horizontal="center" vertical="center"/>
    </xf>
    <xf numFmtId="212" fontId="142" fillId="0" borderId="4" xfId="27" applyNumberFormat="1" applyFont="1" applyBorder="1" applyAlignment="1">
      <alignment horizontal="center" vertical="center"/>
    </xf>
    <xf numFmtId="31" fontId="176" fillId="0" borderId="4" xfId="27" applyNumberFormat="1" applyFont="1" applyBorder="1" applyAlignment="1">
      <alignment horizontal="center" vertical="center" wrapText="1"/>
    </xf>
    <xf numFmtId="10" fontId="176" fillId="0" borderId="4" xfId="2" applyNumberFormat="1" applyFont="1" applyBorder="1" applyAlignment="1">
      <alignment horizontal="center" vertical="center" wrapText="1"/>
    </xf>
    <xf numFmtId="0" fontId="176" fillId="0" borderId="7" xfId="27" applyFont="1" applyBorder="1" applyAlignment="1">
      <alignment vertical="center" wrapText="1"/>
    </xf>
    <xf numFmtId="10" fontId="1" fillId="0" borderId="0" xfId="27" applyNumberFormat="1" applyFont="1" applyAlignment="1">
      <alignment vertical="center"/>
    </xf>
    <xf numFmtId="0" fontId="1" fillId="0" borderId="0" xfId="27" applyFont="1" applyFill="1" applyAlignment="1">
      <alignment vertical="center"/>
    </xf>
    <xf numFmtId="0" fontId="42" fillId="0" borderId="0" xfId="27" applyFont="1" applyAlignment="1">
      <alignment horizontal="right" vertical="center"/>
    </xf>
    <xf numFmtId="0" fontId="180" fillId="0" borderId="0" xfId="27" applyFont="1" applyFill="1" applyAlignment="1">
      <alignment vertical="center"/>
    </xf>
    <xf numFmtId="0" fontId="54" fillId="8" borderId="5" xfId="27" applyFont="1" applyFill="1" applyBorder="1" applyAlignment="1">
      <alignment horizontal="center" vertical="center"/>
    </xf>
    <xf numFmtId="14" fontId="54" fillId="8" borderId="5" xfId="27" applyNumberFormat="1" applyFont="1" applyFill="1" applyBorder="1" applyAlignment="1">
      <alignment horizontal="center" vertical="center"/>
    </xf>
    <xf numFmtId="0" fontId="23" fillId="0" borderId="6" xfId="27" applyFont="1" applyBorder="1" applyAlignment="1">
      <alignment horizontal="center" vertical="center"/>
    </xf>
    <xf numFmtId="3" fontId="23" fillId="0" borderId="7" xfId="27" applyNumberFormat="1" applyFont="1" applyBorder="1" applyAlignment="1">
      <alignment horizontal="center" vertical="center"/>
    </xf>
    <xf numFmtId="3" fontId="27" fillId="0" borderId="7" xfId="27" applyNumberFormat="1" applyFont="1" applyBorder="1" applyAlignment="1">
      <alignment horizontal="center" vertical="center"/>
    </xf>
    <xf numFmtId="0" fontId="1" fillId="46" borderId="0" xfId="27" applyFont="1" applyFill="1" applyAlignment="1">
      <alignment vertical="center"/>
    </xf>
    <xf numFmtId="0" fontId="0" fillId="46" borderId="0" xfId="27" applyFont="1" applyFill="1" applyAlignment="1">
      <alignment vertical="center"/>
    </xf>
    <xf numFmtId="0" fontId="9" fillId="46" borderId="0" xfId="27" applyFont="1" applyFill="1" applyAlignment="1">
      <alignment vertical="center"/>
    </xf>
    <xf numFmtId="0" fontId="18" fillId="46" borderId="0" xfId="27" applyFont="1" applyFill="1">
      <alignment vertical="center"/>
    </xf>
    <xf numFmtId="0" fontId="84" fillId="46" borderId="0" xfId="27" applyFont="1" applyFill="1" applyAlignment="1">
      <alignment horizontal="center" vertical="center" wrapText="1"/>
    </xf>
    <xf numFmtId="41" fontId="18" fillId="46" borderId="0" xfId="27" applyNumberFormat="1" applyFont="1" applyFill="1">
      <alignment vertical="center"/>
    </xf>
    <xf numFmtId="41" fontId="84" fillId="46" borderId="0" xfId="27" applyNumberFormat="1" applyFont="1" applyFill="1">
      <alignment vertical="center"/>
    </xf>
    <xf numFmtId="41" fontId="18" fillId="0" borderId="0" xfId="27" applyNumberFormat="1" applyFont="1">
      <alignment vertical="center"/>
    </xf>
    <xf numFmtId="0" fontId="134" fillId="0" borderId="0" xfId="0" applyFont="1" applyFill="1" applyBorder="1">
      <alignment vertical="center"/>
    </xf>
    <xf numFmtId="0" fontId="183" fillId="0" borderId="0" xfId="0" applyFont="1" applyFill="1" applyBorder="1">
      <alignment vertical="center"/>
    </xf>
    <xf numFmtId="0" fontId="137" fillId="0" borderId="0" xfId="0" applyFont="1" applyFill="1" applyBorder="1">
      <alignment vertical="center"/>
    </xf>
    <xf numFmtId="0" fontId="137" fillId="0" borderId="0" xfId="0" applyFont="1">
      <alignment vertical="center"/>
    </xf>
    <xf numFmtId="0" fontId="161" fillId="0" borderId="0" xfId="0" applyFont="1" applyFill="1" applyAlignment="1">
      <alignment horizontal="center" vertical="center"/>
    </xf>
    <xf numFmtId="0" fontId="21" fillId="32" borderId="22" xfId="0" applyFont="1" applyFill="1" applyBorder="1">
      <alignment vertical="center"/>
    </xf>
    <xf numFmtId="49" fontId="184" fillId="0" borderId="0" xfId="0" applyNumberFormat="1" applyFont="1" applyFill="1" applyBorder="1" applyAlignment="1">
      <alignment horizontal="center" vertical="center"/>
    </xf>
    <xf numFmtId="0" fontId="137" fillId="0" borderId="0" xfId="0" applyFont="1" applyFill="1">
      <alignment vertical="center"/>
    </xf>
    <xf numFmtId="0" fontId="137" fillId="0" borderId="0" xfId="0" applyFont="1" applyAlignment="1">
      <alignment horizontal="center" vertical="center"/>
    </xf>
    <xf numFmtId="0" fontId="137" fillId="0" borderId="0" xfId="0" applyFont="1" applyFill="1" applyBorder="1" applyAlignment="1">
      <alignment horizontal="center" vertical="center"/>
    </xf>
    <xf numFmtId="0" fontId="142" fillId="0" borderId="0" xfId="0" applyFont="1" applyFill="1" applyBorder="1" applyAlignment="1">
      <alignment horizontal="center" vertical="center"/>
    </xf>
    <xf numFmtId="0" fontId="185" fillId="0" borderId="23" xfId="17" applyFont="1" applyBorder="1">
      <alignment vertical="center"/>
    </xf>
    <xf numFmtId="0" fontId="186" fillId="0" borderId="27" xfId="17" applyFont="1" applyBorder="1">
      <alignment vertical="center"/>
    </xf>
    <xf numFmtId="0" fontId="142" fillId="0" borderId="28" xfId="0" applyFont="1" applyBorder="1" applyAlignment="1">
      <alignment horizontal="center" vertical="center"/>
    </xf>
    <xf numFmtId="14" fontId="142" fillId="0" borderId="30" xfId="0" applyNumberFormat="1" applyFont="1" applyBorder="1" applyAlignment="1">
      <alignment horizontal="center" vertical="center"/>
    </xf>
    <xf numFmtId="0" fontId="137" fillId="10" borderId="20" xfId="0" applyFont="1" applyFill="1" applyBorder="1" applyAlignment="1">
      <alignment horizontal="center" vertical="center"/>
    </xf>
    <xf numFmtId="182" fontId="137" fillId="10" borderId="35" xfId="0" applyNumberFormat="1" applyFont="1" applyFill="1" applyBorder="1" applyAlignment="1">
      <alignment horizontal="center" vertical="center"/>
    </xf>
    <xf numFmtId="0" fontId="142" fillId="0" borderId="33" xfId="0" applyFont="1" applyBorder="1" applyAlignment="1">
      <alignment horizontal="center" vertical="center"/>
    </xf>
    <xf numFmtId="14" fontId="142" fillId="0" borderId="34" xfId="0" applyNumberFormat="1" applyFont="1" applyBorder="1" applyAlignment="1">
      <alignment horizontal="center" vertical="center"/>
    </xf>
    <xf numFmtId="3" fontId="137" fillId="0" borderId="0" xfId="0" applyNumberFormat="1" applyFont="1" applyFill="1" applyBorder="1" applyAlignment="1">
      <alignment horizontal="center" vertical="center"/>
    </xf>
    <xf numFmtId="0" fontId="137" fillId="0" borderId="0" xfId="0" applyFont="1" applyAlignment="1">
      <alignment horizontal="center" vertical="center" wrapText="1"/>
    </xf>
    <xf numFmtId="3" fontId="187" fillId="0" borderId="0" xfId="0" applyNumberFormat="1" applyFont="1" applyFill="1" applyBorder="1" applyAlignment="1">
      <alignment horizontal="left" vertical="center"/>
    </xf>
    <xf numFmtId="0" fontId="142" fillId="32" borderId="75" xfId="0" applyFont="1" applyFill="1" applyBorder="1" applyAlignment="1">
      <alignment horizontal="center" vertical="center" wrapText="1"/>
    </xf>
    <xf numFmtId="0" fontId="137" fillId="0" borderId="0" xfId="0" applyFont="1" applyAlignment="1">
      <alignment horizontal="right" vertical="center"/>
    </xf>
    <xf numFmtId="0" fontId="137" fillId="0" borderId="76" xfId="0" applyFont="1" applyBorder="1" applyAlignment="1">
      <alignment horizontal="center" vertical="center" wrapText="1"/>
    </xf>
    <xf numFmtId="0" fontId="137" fillId="0" borderId="76" xfId="0" applyFont="1" applyFill="1" applyBorder="1" applyAlignment="1">
      <alignment horizontal="center" vertical="center" wrapText="1"/>
    </xf>
    <xf numFmtId="14" fontId="137" fillId="0" borderId="76" xfId="0" applyNumberFormat="1" applyFont="1" applyFill="1" applyBorder="1" applyAlignment="1">
      <alignment horizontal="center" vertical="center" wrapText="1"/>
    </xf>
    <xf numFmtId="204" fontId="142" fillId="0" borderId="76" xfId="0" applyNumberFormat="1" applyFont="1" applyFill="1" applyBorder="1" applyAlignment="1">
      <alignment horizontal="center" vertical="center" wrapText="1"/>
    </xf>
    <xf numFmtId="10" fontId="142" fillId="0" borderId="76" xfId="0" applyNumberFormat="1" applyFont="1" applyFill="1" applyBorder="1" applyAlignment="1">
      <alignment horizontal="center" vertical="center" wrapText="1"/>
    </xf>
    <xf numFmtId="182" fontId="142" fillId="0" borderId="76" xfId="0" applyNumberFormat="1" applyFont="1" applyFill="1" applyBorder="1" applyAlignment="1">
      <alignment horizontal="center" vertical="center" wrapText="1"/>
    </xf>
    <xf numFmtId="204" fontId="142" fillId="0" borderId="76" xfId="1"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wrapText="1"/>
    </xf>
    <xf numFmtId="207" fontId="137" fillId="0" borderId="0" xfId="0" applyNumberFormat="1" applyFont="1" applyFill="1" applyBorder="1" applyAlignment="1">
      <alignment horizontal="center" vertical="center"/>
    </xf>
    <xf numFmtId="14" fontId="137" fillId="0" borderId="76" xfId="0" applyNumberFormat="1" applyFont="1" applyBorder="1" applyAlignment="1">
      <alignment horizontal="center" vertical="center" wrapText="1"/>
    </xf>
    <xf numFmtId="205" fontId="137" fillId="0" borderId="76" xfId="0" applyNumberFormat="1" applyFont="1" applyBorder="1" applyAlignment="1">
      <alignment horizontal="center" vertical="center" wrapText="1"/>
    </xf>
    <xf numFmtId="14" fontId="188" fillId="0" borderId="76" xfId="0" applyNumberFormat="1" applyFont="1" applyBorder="1" applyAlignment="1">
      <alignment horizontal="center" vertical="center" wrapText="1"/>
    </xf>
    <xf numFmtId="0" fontId="142" fillId="40" borderId="76" xfId="0" applyFont="1" applyFill="1" applyBorder="1" applyAlignment="1">
      <alignment horizontal="center" vertical="center" wrapText="1"/>
    </xf>
    <xf numFmtId="0" fontId="142" fillId="40" borderId="100" xfId="0" applyFont="1" applyFill="1" applyBorder="1" applyAlignment="1">
      <alignment horizontal="center" vertical="center" wrapText="1"/>
    </xf>
    <xf numFmtId="204" fontId="142" fillId="0" borderId="100" xfId="1" applyNumberFormat="1" applyFont="1" applyFill="1" applyBorder="1" applyAlignment="1">
      <alignment horizontal="center" vertical="center" wrapText="1"/>
    </xf>
    <xf numFmtId="49" fontId="137" fillId="0" borderId="0" xfId="0" applyNumberFormat="1" applyFont="1">
      <alignment vertical="center"/>
    </xf>
    <xf numFmtId="0" fontId="142" fillId="0" borderId="0" xfId="0" applyFont="1">
      <alignment vertical="center"/>
    </xf>
    <xf numFmtId="0" fontId="137" fillId="0" borderId="0" xfId="0" applyFont="1" applyFill="1" applyBorder="1" applyAlignment="1">
      <alignment horizontal="center" vertical="center" wrapText="1"/>
    </xf>
    <xf numFmtId="14" fontId="137" fillId="0" borderId="0" xfId="0" applyNumberFormat="1" applyFont="1" applyFill="1" applyBorder="1" applyAlignment="1">
      <alignment horizontal="center" vertical="center" wrapText="1"/>
    </xf>
    <xf numFmtId="204" fontId="142" fillId="10" borderId="35" xfId="0" applyNumberFormat="1" applyFont="1" applyFill="1" applyBorder="1" applyAlignment="1">
      <alignment horizontal="center" vertical="center" wrapText="1"/>
    </xf>
    <xf numFmtId="9" fontId="142" fillId="10" borderId="35" xfId="0" applyNumberFormat="1" applyFont="1" applyFill="1" applyBorder="1" applyAlignment="1">
      <alignment horizontal="center" vertical="center" wrapText="1"/>
    </xf>
    <xf numFmtId="204" fontId="142" fillId="40" borderId="101" xfId="0" applyNumberFormat="1" applyFont="1" applyFill="1" applyBorder="1" applyAlignment="1">
      <alignment horizontal="right" vertical="center" wrapText="1"/>
    </xf>
    <xf numFmtId="204" fontId="142" fillId="10" borderId="35" xfId="1" applyNumberFormat="1" applyFont="1" applyFill="1" applyBorder="1" applyAlignment="1">
      <alignment horizontal="center" vertical="center" wrapText="1"/>
    </xf>
    <xf numFmtId="2" fontId="137" fillId="0" borderId="0" xfId="0" applyNumberFormat="1" applyFont="1" applyFill="1" applyBorder="1" applyAlignment="1">
      <alignment horizontal="center" vertical="center" wrapText="1"/>
    </xf>
    <xf numFmtId="3" fontId="137" fillId="0" borderId="0" xfId="0" applyNumberFormat="1" applyFont="1">
      <alignment vertical="center"/>
    </xf>
    <xf numFmtId="0" fontId="189" fillId="0" borderId="0" xfId="17" applyFont="1">
      <alignment vertical="center"/>
    </xf>
    <xf numFmtId="204" fontId="137" fillId="0" borderId="0" xfId="0" applyNumberFormat="1" applyFont="1" applyFill="1" applyBorder="1" applyAlignment="1">
      <alignment horizontal="center" vertical="center" wrapText="1"/>
    </xf>
    <xf numFmtId="205" fontId="151" fillId="0" borderId="0" xfId="0" applyNumberFormat="1" applyFont="1" applyFill="1" applyBorder="1" applyAlignment="1">
      <alignment horizontal="right" vertical="center" wrapText="1"/>
    </xf>
    <xf numFmtId="205" fontId="137" fillId="0" borderId="0" xfId="0" applyNumberFormat="1" applyFont="1" applyFill="1" applyBorder="1" applyAlignment="1">
      <alignment horizontal="center" vertical="center" wrapText="1"/>
    </xf>
    <xf numFmtId="0" fontId="187" fillId="0" borderId="0" xfId="0" applyFont="1" applyBorder="1" applyAlignment="1">
      <alignment horizontal="left" vertical="center"/>
    </xf>
    <xf numFmtId="0" fontId="137" fillId="33" borderId="0" xfId="0" applyFont="1" applyFill="1">
      <alignment vertical="center"/>
    </xf>
    <xf numFmtId="0" fontId="52" fillId="33" borderId="0" xfId="0" applyFont="1" applyFill="1">
      <alignment vertical="center"/>
    </xf>
    <xf numFmtId="204" fontId="137" fillId="33" borderId="0" xfId="0" applyNumberFormat="1" applyFont="1" applyFill="1">
      <alignment vertical="center"/>
    </xf>
    <xf numFmtId="0" fontId="137" fillId="0" borderId="0" xfId="0" applyFont="1" applyAlignment="1">
      <alignment vertical="center" wrapText="1"/>
    </xf>
    <xf numFmtId="0" fontId="28" fillId="0" borderId="0" xfId="0" applyFont="1" applyAlignment="1">
      <alignment vertical="center" wrapText="1"/>
    </xf>
    <xf numFmtId="0" fontId="190" fillId="19" borderId="5" xfId="0" applyFont="1" applyFill="1" applyBorder="1" applyAlignment="1">
      <alignment horizontal="center" vertical="center" wrapText="1"/>
    </xf>
    <xf numFmtId="0" fontId="190" fillId="19" borderId="11" xfId="0" applyFont="1" applyFill="1" applyBorder="1" applyAlignment="1">
      <alignment horizontal="center" vertical="center" wrapText="1"/>
    </xf>
    <xf numFmtId="0" fontId="161" fillId="0" borderId="0" xfId="0" applyFont="1" applyAlignment="1">
      <alignment vertical="center" wrapText="1"/>
    </xf>
    <xf numFmtId="0" fontId="184" fillId="0" borderId="7" xfId="0" applyFont="1" applyBorder="1" applyAlignment="1">
      <alignment horizontal="center" vertical="center" wrapText="1"/>
    </xf>
    <xf numFmtId="204" fontId="184" fillId="0" borderId="7" xfId="0" applyNumberFormat="1" applyFont="1" applyBorder="1" applyAlignment="1">
      <alignment horizontal="center" vertical="center" wrapText="1"/>
    </xf>
    <xf numFmtId="9" fontId="184" fillId="0" borderId="7" xfId="0" applyNumberFormat="1" applyFont="1" applyBorder="1" applyAlignment="1">
      <alignment horizontal="center" vertical="center" wrapText="1"/>
    </xf>
    <xf numFmtId="0" fontId="190" fillId="11" borderId="7" xfId="0" applyFont="1" applyFill="1" applyBorder="1" applyAlignment="1">
      <alignment horizontal="center" vertical="center" wrapText="1"/>
    </xf>
    <xf numFmtId="0" fontId="184" fillId="11" borderId="7" xfId="0" applyFont="1" applyFill="1" applyBorder="1" applyAlignment="1">
      <alignment horizontal="center" vertical="center" wrapText="1"/>
    </xf>
    <xf numFmtId="204" fontId="190" fillId="11" borderId="7" xfId="0" applyNumberFormat="1" applyFont="1" applyFill="1" applyBorder="1" applyAlignment="1">
      <alignment horizontal="center" vertical="center" wrapText="1"/>
    </xf>
    <xf numFmtId="0" fontId="142" fillId="0" borderId="0" xfId="0" applyFont="1" applyAlignment="1">
      <alignment vertical="center" wrapText="1"/>
    </xf>
    <xf numFmtId="0" fontId="52" fillId="0" borderId="0" xfId="0" applyFont="1" applyAlignment="1">
      <alignment vertical="center" wrapText="1"/>
    </xf>
    <xf numFmtId="204" fontId="137" fillId="0" borderId="0" xfId="0" applyNumberFormat="1" applyFont="1" applyAlignment="1">
      <alignment vertical="center" wrapText="1"/>
    </xf>
    <xf numFmtId="0" fontId="142" fillId="8" borderId="4" xfId="0" applyFont="1" applyFill="1" applyBorder="1" applyAlignment="1">
      <alignment horizontal="center" vertical="center" wrapText="1"/>
    </xf>
    <xf numFmtId="0" fontId="142" fillId="8" borderId="5" xfId="0" applyFont="1" applyFill="1" applyBorder="1" applyAlignment="1">
      <alignment horizontal="center" vertical="center" wrapText="1"/>
    </xf>
    <xf numFmtId="0" fontId="142" fillId="0" borderId="0" xfId="0" applyFont="1" applyFill="1" applyBorder="1" applyAlignment="1">
      <alignment horizontal="center" vertical="center" wrapText="1"/>
    </xf>
    <xf numFmtId="0" fontId="190" fillId="0" borderId="6" xfId="0" applyFont="1" applyBorder="1" applyAlignment="1">
      <alignment horizontal="center" vertical="center" wrapText="1"/>
    </xf>
    <xf numFmtId="202" fontId="184" fillId="0" borderId="7" xfId="0" applyNumberFormat="1" applyFont="1" applyBorder="1" applyAlignment="1">
      <alignment horizontal="center" vertical="center" wrapText="1"/>
    </xf>
    <xf numFmtId="0" fontId="142" fillId="10" borderId="2" xfId="0" applyFont="1" applyFill="1" applyBorder="1" applyAlignment="1">
      <alignment horizontal="center" vertical="center" wrapText="1"/>
    </xf>
    <xf numFmtId="202" fontId="184" fillId="0" borderId="0" xfId="0" applyNumberFormat="1" applyFont="1" applyFill="1" applyBorder="1" applyAlignment="1">
      <alignment horizontal="center" vertical="center" wrapText="1"/>
    </xf>
    <xf numFmtId="10" fontId="184" fillId="0" borderId="7" xfId="0" applyNumberFormat="1" applyFont="1" applyBorder="1" applyAlignment="1">
      <alignment horizontal="center" vertical="center" wrapText="1"/>
    </xf>
    <xf numFmtId="182" fontId="142" fillId="0" borderId="2" xfId="0" applyNumberFormat="1" applyFont="1" applyBorder="1" applyAlignment="1">
      <alignment horizontal="center" vertical="center" wrapText="1"/>
    </xf>
    <xf numFmtId="10" fontId="184" fillId="0" borderId="0" xfId="0" applyNumberFormat="1" applyFont="1" applyFill="1" applyBorder="1" applyAlignment="1">
      <alignment horizontal="center" vertical="center" wrapText="1"/>
    </xf>
    <xf numFmtId="0" fontId="190" fillId="0" borderId="60" xfId="0" applyFont="1" applyBorder="1" applyAlignment="1">
      <alignment horizontal="center" vertical="center" wrapText="1"/>
    </xf>
    <xf numFmtId="0" fontId="184" fillId="0" borderId="15" xfId="0" applyFont="1" applyBorder="1" applyAlignment="1">
      <alignment horizontal="center" vertical="center" wrapText="1"/>
    </xf>
    <xf numFmtId="208" fontId="184" fillId="0" borderId="0" xfId="0" applyNumberFormat="1" applyFont="1" applyFill="1" applyBorder="1" applyAlignment="1">
      <alignment horizontal="center" vertical="center" wrapText="1"/>
    </xf>
    <xf numFmtId="0" fontId="190" fillId="0" borderId="15" xfId="0" applyFont="1" applyBorder="1" applyAlignment="1">
      <alignment horizontal="center" vertical="center" wrapText="1"/>
    </xf>
    <xf numFmtId="10" fontId="142" fillId="0" borderId="2" xfId="0" applyNumberFormat="1" applyFont="1" applyBorder="1" applyAlignment="1">
      <alignment horizontal="center" vertical="center" wrapText="1"/>
    </xf>
    <xf numFmtId="198" fontId="184" fillId="0" borderId="15" xfId="0" applyNumberFormat="1" applyFont="1" applyBorder="1" applyAlignment="1">
      <alignment horizontal="center" vertical="center" wrapText="1"/>
    </xf>
    <xf numFmtId="198" fontId="184" fillId="0" borderId="0" xfId="0" applyNumberFormat="1" applyFont="1" applyFill="1" applyBorder="1" applyAlignment="1">
      <alignment horizontal="center" vertical="center" wrapText="1"/>
    </xf>
    <xf numFmtId="198" fontId="184" fillId="0" borderId="4" xfId="0" applyNumberFormat="1" applyFont="1" applyBorder="1" applyAlignment="1">
      <alignment horizontal="center" vertical="center" wrapText="1"/>
    </xf>
    <xf numFmtId="0" fontId="190" fillId="11" borderId="4" xfId="0" applyFont="1" applyFill="1" applyBorder="1" applyAlignment="1">
      <alignment horizontal="center" vertical="center" wrapText="1"/>
    </xf>
    <xf numFmtId="0" fontId="184" fillId="11" borderId="4" xfId="0" applyFont="1" applyFill="1" applyBorder="1" applyAlignment="1">
      <alignment horizontal="center" vertical="center" wrapText="1"/>
    </xf>
    <xf numFmtId="10" fontId="184" fillId="11" borderId="5" xfId="0" applyNumberFormat="1" applyFont="1" applyFill="1" applyBorder="1" applyAlignment="1">
      <alignment horizontal="center" vertical="center" wrapText="1"/>
    </xf>
    <xf numFmtId="10" fontId="137" fillId="0" borderId="0" xfId="0" applyNumberFormat="1" applyFont="1" applyAlignment="1">
      <alignment vertical="center" wrapText="1"/>
    </xf>
    <xf numFmtId="0" fontId="187" fillId="0" borderId="10" xfId="0" applyFont="1" applyBorder="1" applyAlignment="1">
      <alignment vertical="center" wrapText="1"/>
    </xf>
    <xf numFmtId="0" fontId="137" fillId="0" borderId="0" xfId="0" applyFont="1" applyFill="1" applyBorder="1" applyAlignment="1">
      <alignment vertical="center" wrapText="1"/>
    </xf>
    <xf numFmtId="0" fontId="137" fillId="0" borderId="10" xfId="0" applyFont="1" applyBorder="1" applyAlignment="1">
      <alignment vertical="center" wrapText="1"/>
    </xf>
    <xf numFmtId="10" fontId="142" fillId="0" borderId="0" xfId="0" applyNumberFormat="1" applyFont="1" applyFill="1" applyBorder="1" applyAlignment="1">
      <alignment horizontal="center" vertical="center" wrapText="1"/>
    </xf>
    <xf numFmtId="0" fontId="190" fillId="0" borderId="0" xfId="0" applyFont="1" applyFill="1" applyBorder="1" applyAlignment="1">
      <alignment horizontal="center" vertical="center" wrapText="1"/>
    </xf>
    <xf numFmtId="0" fontId="134" fillId="0" borderId="0" xfId="0" applyFont="1">
      <alignment vertical="center"/>
    </xf>
    <xf numFmtId="202" fontId="184" fillId="10" borderId="7" xfId="0" applyNumberFormat="1" applyFont="1" applyFill="1" applyBorder="1" applyAlignment="1">
      <alignment horizontal="center" vertical="center" wrapText="1"/>
    </xf>
    <xf numFmtId="0" fontId="57" fillId="29" borderId="0" xfId="0" applyFont="1" applyFill="1">
      <alignment vertical="center"/>
    </xf>
    <xf numFmtId="0" fontId="58" fillId="29" borderId="0" xfId="0" applyFont="1" applyFill="1">
      <alignment vertical="center"/>
    </xf>
    <xf numFmtId="0" fontId="59" fillId="29" borderId="0" xfId="0" applyFont="1" applyFill="1">
      <alignment vertical="center"/>
    </xf>
    <xf numFmtId="0" fontId="60" fillId="29" borderId="0" xfId="0" applyFont="1" applyFill="1">
      <alignment vertical="center"/>
    </xf>
    <xf numFmtId="0" fontId="84" fillId="0" borderId="0" xfId="0" applyFont="1">
      <alignment vertical="center"/>
    </xf>
    <xf numFmtId="0" fontId="61" fillId="0" borderId="0" xfId="0" applyFont="1">
      <alignment vertical="center"/>
    </xf>
    <xf numFmtId="180" fontId="62" fillId="0" borderId="0" xfId="0" applyNumberFormat="1" applyFont="1" applyFill="1" applyBorder="1">
      <alignment vertical="center"/>
    </xf>
    <xf numFmtId="0" fontId="64" fillId="0" borderId="79" xfId="0" applyFont="1" applyFill="1" applyBorder="1">
      <alignment vertical="center"/>
    </xf>
    <xf numFmtId="0" fontId="64" fillId="0" borderId="102" xfId="0" applyFont="1" applyFill="1" applyBorder="1">
      <alignment vertical="center"/>
    </xf>
    <xf numFmtId="0" fontId="64" fillId="0" borderId="81" xfId="0" applyFont="1" applyFill="1" applyBorder="1">
      <alignment vertical="center"/>
    </xf>
    <xf numFmtId="0" fontId="64" fillId="0" borderId="0" xfId="0" applyFont="1" applyFill="1">
      <alignment vertical="center"/>
    </xf>
    <xf numFmtId="177" fontId="64" fillId="0" borderId="41" xfId="0" applyNumberFormat="1" applyFont="1" applyFill="1" applyBorder="1" applyAlignment="1">
      <alignment horizontal="center" vertical="center"/>
    </xf>
    <xf numFmtId="0" fontId="64" fillId="0" borderId="42" xfId="0" applyFont="1" applyBorder="1">
      <alignment vertical="center"/>
    </xf>
    <xf numFmtId="0" fontId="61" fillId="0" borderId="0" xfId="0" applyFont="1" applyFill="1" applyBorder="1" applyAlignment="1">
      <alignment horizontal="left" vertical="center"/>
    </xf>
    <xf numFmtId="0" fontId="64" fillId="0" borderId="0" xfId="0" applyFont="1" applyBorder="1">
      <alignment vertical="center"/>
    </xf>
    <xf numFmtId="0" fontId="64" fillId="0" borderId="0" xfId="0" applyFont="1" applyBorder="1" applyAlignment="1">
      <alignment horizontal="center" vertical="center"/>
    </xf>
    <xf numFmtId="0" fontId="64" fillId="0" borderId="43" xfId="0" applyFont="1" applyBorder="1" applyAlignment="1">
      <alignment horizontal="center" vertical="center"/>
    </xf>
    <xf numFmtId="0" fontId="64" fillId="0" borderId="0" xfId="0" applyFont="1">
      <alignment vertical="center"/>
    </xf>
    <xf numFmtId="178" fontId="64" fillId="0" borderId="44" xfId="0" applyNumberFormat="1" applyFont="1" applyFill="1" applyBorder="1" applyAlignment="1">
      <alignment horizontal="center" vertical="center"/>
    </xf>
    <xf numFmtId="0" fontId="62" fillId="0" borderId="45" xfId="0" applyFont="1" applyFill="1" applyBorder="1" applyAlignment="1">
      <alignment horizontal="center" vertical="center"/>
    </xf>
    <xf numFmtId="0" fontId="62" fillId="0" borderId="24" xfId="0" applyFont="1" applyFill="1" applyBorder="1" applyAlignment="1">
      <alignment horizontal="center" vertical="center"/>
    </xf>
    <xf numFmtId="0" fontId="88" fillId="0" borderId="24" xfId="0" applyFont="1" applyFill="1" applyBorder="1" applyAlignment="1">
      <alignment horizontal="right" vertical="center"/>
    </xf>
    <xf numFmtId="179" fontId="89" fillId="0" borderId="0" xfId="0" applyNumberFormat="1" applyFont="1" applyFill="1" applyBorder="1" applyAlignment="1" applyProtection="1">
      <alignment horizontal="center" vertical="center"/>
    </xf>
    <xf numFmtId="0" fontId="62" fillId="0" borderId="46" xfId="0" applyFont="1" applyFill="1" applyBorder="1" applyAlignment="1">
      <alignment horizontal="center" vertical="center"/>
    </xf>
    <xf numFmtId="0" fontId="62" fillId="0" borderId="0" xfId="0" applyFont="1" applyFill="1">
      <alignment vertical="center"/>
    </xf>
    <xf numFmtId="179" fontId="62" fillId="0" borderId="47" xfId="0" applyNumberFormat="1" applyFont="1" applyFill="1" applyBorder="1" applyAlignment="1">
      <alignment horizontal="center" vertical="center"/>
    </xf>
    <xf numFmtId="0" fontId="62" fillId="0" borderId="0" xfId="0" applyFont="1">
      <alignment vertical="center"/>
    </xf>
    <xf numFmtId="0" fontId="62" fillId="0" borderId="42" xfId="0" applyFont="1" applyBorder="1">
      <alignment vertical="center"/>
    </xf>
    <xf numFmtId="0" fontId="62" fillId="0" borderId="0" xfId="0" applyFont="1" applyBorder="1">
      <alignment vertical="center"/>
    </xf>
    <xf numFmtId="182" fontId="62" fillId="0" borderId="43" xfId="0" applyNumberFormat="1" applyFont="1" applyBorder="1">
      <alignment vertical="center"/>
    </xf>
    <xf numFmtId="0" fontId="85" fillId="0" borderId="0" xfId="0" applyFont="1">
      <alignment vertical="center"/>
    </xf>
    <xf numFmtId="0" fontId="65" fillId="0" borderId="42" xfId="0" applyFont="1" applyFill="1" applyBorder="1">
      <alignment vertical="center"/>
    </xf>
    <xf numFmtId="0" fontId="65" fillId="0" borderId="0" xfId="0" applyFont="1" applyFill="1" applyBorder="1">
      <alignment vertical="center"/>
    </xf>
    <xf numFmtId="180" fontId="65" fillId="0" borderId="43" xfId="0" applyNumberFormat="1" applyFont="1" applyFill="1" applyBorder="1">
      <alignment vertical="center"/>
    </xf>
    <xf numFmtId="0" fontId="65" fillId="0" borderId="0" xfId="0" applyFont="1" applyFill="1">
      <alignment vertical="center"/>
    </xf>
    <xf numFmtId="0" fontId="90" fillId="0" borderId="0" xfId="0" applyFont="1">
      <alignment vertical="center"/>
    </xf>
    <xf numFmtId="0" fontId="62" fillId="0" borderId="42" xfId="0" applyFont="1" applyFill="1" applyBorder="1">
      <alignment vertical="center"/>
    </xf>
    <xf numFmtId="0" fontId="62" fillId="0" borderId="0" xfId="0" applyFont="1" applyFill="1" applyBorder="1">
      <alignment vertical="center"/>
    </xf>
    <xf numFmtId="182" fontId="62" fillId="0" borderId="43" xfId="0" applyNumberFormat="1" applyFont="1" applyFill="1" applyBorder="1">
      <alignment vertical="center"/>
    </xf>
    <xf numFmtId="180" fontId="62" fillId="0" borderId="43" xfId="0" applyNumberFormat="1" applyFont="1" applyFill="1" applyBorder="1">
      <alignment vertical="center"/>
    </xf>
    <xf numFmtId="0" fontId="62" fillId="9" borderId="0" xfId="0" applyFont="1" applyFill="1" applyBorder="1">
      <alignment vertical="center"/>
    </xf>
    <xf numFmtId="180" fontId="62" fillId="9" borderId="43" xfId="0" applyNumberFormat="1" applyFont="1" applyFill="1" applyBorder="1">
      <alignment vertical="center"/>
    </xf>
    <xf numFmtId="0" fontId="62" fillId="9" borderId="0" xfId="0" applyFont="1" applyFill="1">
      <alignment vertical="center"/>
    </xf>
    <xf numFmtId="0" fontId="68" fillId="0" borderId="0" xfId="0" applyFont="1" applyFill="1" applyBorder="1">
      <alignment vertical="center"/>
    </xf>
    <xf numFmtId="41" fontId="62" fillId="0" borderId="0" xfId="0" applyNumberFormat="1" applyFont="1" applyFill="1" applyBorder="1">
      <alignment vertical="center"/>
    </xf>
    <xf numFmtId="0" fontId="86" fillId="0" borderId="0" xfId="0" applyFont="1" applyFill="1" applyBorder="1">
      <alignment vertical="center"/>
    </xf>
    <xf numFmtId="0" fontId="62" fillId="0" borderId="0" xfId="0" applyFont="1" applyFill="1" applyBorder="1" applyAlignment="1">
      <alignment horizontal="center" vertical="center"/>
    </xf>
    <xf numFmtId="41" fontId="62" fillId="0" borderId="0" xfId="0" applyNumberFormat="1" applyFont="1" applyFill="1">
      <alignment vertical="center"/>
    </xf>
    <xf numFmtId="0" fontId="62" fillId="0" borderId="0" xfId="0" applyFont="1" applyFill="1" applyBorder="1" applyAlignment="1">
      <alignment horizontal="right" vertical="center"/>
    </xf>
    <xf numFmtId="180" fontId="62" fillId="0" borderId="0" xfId="0" applyNumberFormat="1" applyFont="1" applyFill="1">
      <alignment vertical="center"/>
    </xf>
    <xf numFmtId="0" fontId="65" fillId="0" borderId="0" xfId="0" applyFont="1" applyFill="1" applyBorder="1" applyAlignment="1">
      <alignment horizontal="right" vertical="center"/>
    </xf>
    <xf numFmtId="0" fontId="62" fillId="0" borderId="45" xfId="0" applyFont="1" applyFill="1" applyBorder="1">
      <alignment vertical="center"/>
    </xf>
    <xf numFmtId="0" fontId="62" fillId="0" borderId="24" xfId="0" applyFont="1" applyFill="1" applyBorder="1">
      <alignment vertical="center"/>
    </xf>
    <xf numFmtId="0" fontId="62" fillId="0" borderId="24" xfId="0" applyFont="1" applyFill="1" applyBorder="1" applyAlignment="1">
      <alignment horizontal="right" vertical="center"/>
    </xf>
    <xf numFmtId="0" fontId="91" fillId="0" borderId="0" xfId="0" applyFont="1" applyFill="1">
      <alignment vertical="center"/>
    </xf>
    <xf numFmtId="182" fontId="62" fillId="0" borderId="81" xfId="0" applyNumberFormat="1" applyFont="1" applyFill="1" applyBorder="1">
      <alignment vertical="center"/>
    </xf>
    <xf numFmtId="182" fontId="62" fillId="0" borderId="81" xfId="11" applyNumberFormat="1" applyFont="1" applyFill="1" applyBorder="1">
      <alignment vertical="center"/>
    </xf>
    <xf numFmtId="0" fontId="64" fillId="0" borderId="42" xfId="0" applyFont="1" applyFill="1" applyBorder="1">
      <alignment vertical="center"/>
    </xf>
    <xf numFmtId="0" fontId="61" fillId="0" borderId="0" xfId="0" applyFont="1" applyFill="1" applyBorder="1">
      <alignment vertical="center"/>
    </xf>
    <xf numFmtId="0" fontId="64" fillId="0" borderId="0" xfId="0" applyFont="1" applyFill="1" applyBorder="1">
      <alignment vertical="center"/>
    </xf>
    <xf numFmtId="0" fontId="87" fillId="0" borderId="42" xfId="0" applyFont="1" applyFill="1" applyBorder="1">
      <alignment vertical="center"/>
    </xf>
    <xf numFmtId="0" fontId="87" fillId="0" borderId="0" xfId="0" applyFont="1" applyFill="1" applyBorder="1">
      <alignment vertical="center"/>
    </xf>
    <xf numFmtId="182" fontId="86" fillId="0" borderId="43" xfId="0" applyNumberFormat="1" applyFont="1" applyFill="1" applyBorder="1">
      <alignment vertical="center"/>
    </xf>
    <xf numFmtId="0" fontId="86" fillId="0" borderId="0" xfId="0" applyFont="1" applyFill="1">
      <alignment vertical="center"/>
    </xf>
    <xf numFmtId="0" fontId="86" fillId="0" borderId="0" xfId="0" applyFont="1">
      <alignment vertical="center"/>
    </xf>
    <xf numFmtId="180" fontId="86" fillId="0" borderId="43" xfId="0" applyNumberFormat="1" applyFont="1" applyFill="1" applyBorder="1">
      <alignment vertical="center"/>
    </xf>
    <xf numFmtId="0" fontId="87" fillId="0" borderId="0" xfId="0" applyFont="1" applyFill="1" applyBorder="1" applyAlignment="1">
      <alignment vertical="center"/>
    </xf>
    <xf numFmtId="0" fontId="87" fillId="0" borderId="0" xfId="0" applyFont="1" applyFill="1">
      <alignment vertical="center"/>
    </xf>
    <xf numFmtId="0" fontId="87" fillId="0" borderId="0" xfId="0" applyFont="1" applyFill="1" applyBorder="1" applyAlignment="1">
      <alignment horizontal="right" vertical="center"/>
    </xf>
    <xf numFmtId="0" fontId="64" fillId="0" borderId="0" xfId="0" applyFont="1" applyFill="1" applyBorder="1" applyAlignment="1">
      <alignment vertical="center"/>
    </xf>
    <xf numFmtId="0" fontId="64" fillId="0" borderId="0" xfId="0" applyFont="1" applyFill="1" applyBorder="1" applyAlignment="1">
      <alignment horizontal="center" vertical="center"/>
    </xf>
    <xf numFmtId="180" fontId="92" fillId="0" borderId="43" xfId="0" applyNumberFormat="1" applyFont="1" applyFill="1" applyBorder="1">
      <alignment vertical="center"/>
    </xf>
    <xf numFmtId="0" fontId="64" fillId="0" borderId="0" xfId="0" applyFont="1" applyFill="1" applyBorder="1" applyAlignment="1">
      <alignment horizontal="left" vertical="center"/>
    </xf>
    <xf numFmtId="0" fontId="84" fillId="0" borderId="0" xfId="0" applyFont="1" applyFill="1" applyBorder="1" applyAlignment="1">
      <alignment horizontal="left" vertical="center"/>
    </xf>
    <xf numFmtId="0" fontId="93" fillId="0" borderId="0" xfId="0" applyFont="1" applyFill="1" applyBorder="1" applyAlignment="1">
      <alignment horizontal="center" vertical="center"/>
    </xf>
    <xf numFmtId="0" fontId="64" fillId="32" borderId="0" xfId="0" applyFont="1" applyFill="1" applyBorder="1" applyAlignment="1">
      <alignment horizontal="left" vertical="center"/>
    </xf>
    <xf numFmtId="0" fontId="97" fillId="0" borderId="42" xfId="0" applyFont="1" applyFill="1" applyBorder="1">
      <alignment vertical="center"/>
    </xf>
    <xf numFmtId="0" fontId="97" fillId="0" borderId="0" xfId="0" applyFont="1" applyFill="1" applyBorder="1">
      <alignment vertical="center"/>
    </xf>
    <xf numFmtId="0" fontId="63" fillId="0" borderId="0" xfId="0" applyFont="1">
      <alignment vertical="center"/>
    </xf>
    <xf numFmtId="0" fontId="63" fillId="0" borderId="0" xfId="0" applyFont="1" applyFill="1">
      <alignment vertical="center"/>
    </xf>
    <xf numFmtId="0" fontId="84" fillId="0" borderId="42" xfId="0" applyFont="1" applyFill="1" applyBorder="1">
      <alignment vertical="center"/>
    </xf>
    <xf numFmtId="0" fontId="84" fillId="0" borderId="0" xfId="0" applyFont="1" applyFill="1" applyBorder="1">
      <alignment vertical="center"/>
    </xf>
    <xf numFmtId="0" fontId="84" fillId="0" borderId="0" xfId="0" applyFont="1" applyFill="1" applyBorder="1" applyAlignment="1">
      <alignment horizontal="left" vertical="center" indent="1"/>
    </xf>
    <xf numFmtId="0" fontId="84" fillId="0" borderId="0" xfId="0" applyFont="1" applyFill="1">
      <alignment vertical="center"/>
    </xf>
    <xf numFmtId="180" fontId="85" fillId="0" borderId="43" xfId="0" applyNumberFormat="1" applyFont="1" applyFill="1" applyBorder="1">
      <alignment vertical="center"/>
    </xf>
    <xf numFmtId="0" fontId="85" fillId="0" borderId="0" xfId="0" applyFont="1" applyFill="1">
      <alignment vertical="center"/>
    </xf>
    <xf numFmtId="0" fontId="80" fillId="0" borderId="42" xfId="0" applyFont="1" applyFill="1" applyBorder="1">
      <alignment vertical="center"/>
    </xf>
    <xf numFmtId="0" fontId="80" fillId="0" borderId="0" xfId="0" applyFont="1" applyFill="1" applyBorder="1">
      <alignment vertical="center"/>
    </xf>
    <xf numFmtId="0" fontId="80" fillId="0" borderId="0" xfId="0" applyFont="1" applyFill="1">
      <alignment vertical="center"/>
    </xf>
    <xf numFmtId="0" fontId="78" fillId="0" borderId="0" xfId="0" applyFont="1" applyFill="1">
      <alignment vertical="center"/>
    </xf>
    <xf numFmtId="180" fontId="98" fillId="0" borderId="43" xfId="0" applyNumberFormat="1" applyFont="1" applyFill="1" applyBorder="1">
      <alignment vertical="center"/>
    </xf>
    <xf numFmtId="0" fontId="99" fillId="0" borderId="0" xfId="0" applyFont="1" applyFill="1" applyAlignment="1">
      <alignment horizontal="right" vertical="center"/>
    </xf>
    <xf numFmtId="180" fontId="62" fillId="30" borderId="43" xfId="0" applyNumberFormat="1" applyFont="1" applyFill="1" applyBorder="1">
      <alignment vertical="center"/>
    </xf>
    <xf numFmtId="0" fontId="64" fillId="0" borderId="45" xfId="0" applyFont="1" applyFill="1" applyBorder="1">
      <alignment vertical="center"/>
    </xf>
    <xf numFmtId="0" fontId="64" fillId="0" borderId="24" xfId="0" applyFont="1" applyFill="1" applyBorder="1">
      <alignment vertical="center"/>
    </xf>
    <xf numFmtId="180" fontId="62" fillId="0" borderId="46" xfId="0" applyNumberFormat="1" applyFont="1" applyFill="1" applyBorder="1">
      <alignment vertical="center"/>
    </xf>
    <xf numFmtId="0" fontId="100" fillId="0" borderId="0" xfId="0" applyFont="1" applyFill="1">
      <alignment vertical="center"/>
    </xf>
    <xf numFmtId="184" fontId="65" fillId="0" borderId="0" xfId="0" applyNumberFormat="1" applyFont="1" applyFill="1">
      <alignment vertical="center"/>
    </xf>
    <xf numFmtId="0" fontId="62" fillId="0" borderId="79" xfId="0" applyFont="1" applyFill="1" applyBorder="1">
      <alignment vertical="center"/>
    </xf>
    <xf numFmtId="0" fontId="62" fillId="0" borderId="102" xfId="0" applyFont="1" applyFill="1" applyBorder="1">
      <alignment vertical="center"/>
    </xf>
    <xf numFmtId="182" fontId="62" fillId="0" borderId="46" xfId="0" applyNumberFormat="1" applyFont="1" applyFill="1" applyBorder="1">
      <alignment vertical="center"/>
    </xf>
    <xf numFmtId="0" fontId="62" fillId="0" borderId="0" xfId="0" applyFont="1" applyFill="1" applyBorder="1" applyAlignment="1">
      <alignment horizontal="left" vertical="center" indent="1"/>
    </xf>
    <xf numFmtId="0" fontId="64" fillId="0" borderId="0" xfId="0" applyFont="1" applyFill="1" applyBorder="1" applyAlignment="1">
      <alignment horizontal="left" vertical="center" indent="1"/>
    </xf>
    <xf numFmtId="179" fontId="62" fillId="0" borderId="43" xfId="0" applyNumberFormat="1" applyFont="1" applyFill="1" applyBorder="1" applyAlignment="1">
      <alignment horizontal="center" vertical="center"/>
    </xf>
    <xf numFmtId="10" fontId="62" fillId="0" borderId="102" xfId="11" applyNumberFormat="1" applyFont="1" applyFill="1" applyBorder="1">
      <alignment vertical="center"/>
    </xf>
    <xf numFmtId="0" fontId="62" fillId="0" borderId="1" xfId="0" applyFont="1" applyFill="1" applyBorder="1">
      <alignment vertical="center"/>
    </xf>
    <xf numFmtId="0" fontId="62" fillId="0" borderId="81" xfId="0" applyFont="1" applyFill="1" applyBorder="1">
      <alignment vertical="center"/>
    </xf>
    <xf numFmtId="0" fontId="62" fillId="0" borderId="43" xfId="0" applyFont="1" applyFill="1" applyBorder="1">
      <alignment vertical="center"/>
    </xf>
    <xf numFmtId="180" fontId="62" fillId="0" borderId="56" xfId="0" applyNumberFormat="1" applyFont="1" applyFill="1" applyBorder="1">
      <alignment vertical="center"/>
    </xf>
    <xf numFmtId="0" fontId="62" fillId="0" borderId="46" xfId="0" applyFont="1" applyFill="1" applyBorder="1">
      <alignment vertical="center"/>
    </xf>
    <xf numFmtId="0" fontId="101" fillId="9" borderId="0" xfId="0" applyFont="1" applyFill="1" applyBorder="1" applyAlignment="1">
      <alignment horizontal="left" vertical="center"/>
    </xf>
    <xf numFmtId="41" fontId="102" fillId="9" borderId="0" xfId="0" applyNumberFormat="1" applyFont="1" applyFill="1" applyBorder="1" applyAlignment="1">
      <alignment horizontal="center" vertical="center"/>
    </xf>
    <xf numFmtId="180" fontId="102" fillId="9" borderId="43" xfId="0" applyNumberFormat="1" applyFont="1" applyFill="1" applyBorder="1">
      <alignment vertical="center"/>
    </xf>
    <xf numFmtId="0" fontId="102" fillId="9" borderId="0" xfId="0" applyFont="1" applyFill="1">
      <alignment vertical="center"/>
    </xf>
    <xf numFmtId="0" fontId="103" fillId="0" borderId="0" xfId="0" applyFont="1" applyFill="1" applyBorder="1" applyAlignment="1">
      <alignment horizontal="left" vertical="center"/>
    </xf>
    <xf numFmtId="41" fontId="89" fillId="0" borderId="0" xfId="0" applyNumberFormat="1" applyFont="1" applyFill="1" applyBorder="1" applyAlignment="1">
      <alignment horizontal="center" vertical="center"/>
    </xf>
    <xf numFmtId="0" fontId="85" fillId="0" borderId="0" xfId="0" applyFont="1" applyBorder="1">
      <alignment vertical="center"/>
    </xf>
    <xf numFmtId="0" fontId="106" fillId="0" borderId="0" xfId="0" applyFont="1" applyFill="1" applyBorder="1">
      <alignment vertical="center"/>
    </xf>
    <xf numFmtId="0" fontId="107" fillId="0" borderId="42" xfId="0" applyFont="1" applyFill="1" applyBorder="1">
      <alignment vertical="center"/>
    </xf>
    <xf numFmtId="0" fontId="107" fillId="0" borderId="0" xfId="0" applyFont="1" applyFill="1" applyBorder="1">
      <alignment vertical="center"/>
    </xf>
    <xf numFmtId="0" fontId="108" fillId="0" borderId="0" xfId="0" applyFont="1" applyFill="1" applyBorder="1">
      <alignment vertical="center"/>
    </xf>
    <xf numFmtId="0" fontId="107" fillId="0" borderId="0" xfId="0" applyFont="1" applyFill="1">
      <alignment vertical="center"/>
    </xf>
    <xf numFmtId="0" fontId="107" fillId="0" borderId="0" xfId="0" applyFont="1">
      <alignment vertical="center"/>
    </xf>
    <xf numFmtId="0" fontId="86" fillId="0" borderId="42" xfId="0" applyFont="1" applyFill="1" applyBorder="1">
      <alignment vertical="center"/>
    </xf>
    <xf numFmtId="0" fontId="111" fillId="0" borderId="0" xfId="0" applyFont="1" applyFill="1" applyBorder="1">
      <alignment vertical="center"/>
    </xf>
    <xf numFmtId="0" fontId="109" fillId="0" borderId="0" xfId="0" applyFont="1" applyFill="1">
      <alignment vertical="center"/>
    </xf>
    <xf numFmtId="10" fontId="109" fillId="0" borderId="0" xfId="0" applyNumberFormat="1" applyFont="1" applyFill="1" applyBorder="1">
      <alignment vertical="center"/>
    </xf>
    <xf numFmtId="10" fontId="112" fillId="0" borderId="0" xfId="0" applyNumberFormat="1" applyFont="1" applyFill="1" applyBorder="1">
      <alignment vertical="center"/>
    </xf>
    <xf numFmtId="0" fontId="85" fillId="0" borderId="42" xfId="0" applyFont="1" applyFill="1" applyBorder="1">
      <alignment vertical="center"/>
    </xf>
    <xf numFmtId="0" fontId="85" fillId="0" borderId="0" xfId="0" applyFont="1" applyFill="1" applyBorder="1">
      <alignment vertical="center"/>
    </xf>
    <xf numFmtId="10" fontId="85" fillId="0" borderId="0" xfId="0" applyNumberFormat="1" applyFont="1" applyFill="1" applyBorder="1">
      <alignment vertical="center"/>
    </xf>
    <xf numFmtId="0" fontId="103" fillId="2" borderId="0" xfId="0" applyFont="1" applyFill="1" applyBorder="1" applyAlignment="1">
      <alignment horizontal="left" vertical="center"/>
    </xf>
    <xf numFmtId="41" fontId="89" fillId="2" borderId="0" xfId="0" applyNumberFormat="1" applyFont="1" applyFill="1" applyBorder="1" applyAlignment="1">
      <alignment horizontal="center" vertical="center"/>
    </xf>
    <xf numFmtId="180" fontId="62" fillId="2" borderId="43" xfId="0" applyNumberFormat="1" applyFont="1" applyFill="1" applyBorder="1">
      <alignment vertical="center"/>
    </xf>
    <xf numFmtId="0" fontId="62" fillId="2" borderId="0" xfId="0" applyFont="1" applyFill="1">
      <alignment vertical="center"/>
    </xf>
    <xf numFmtId="0" fontId="62" fillId="0" borderId="57" xfId="0" applyFont="1" applyFill="1" applyBorder="1">
      <alignment vertical="center"/>
    </xf>
    <xf numFmtId="0" fontId="62" fillId="0" borderId="53" xfId="0" applyFont="1" applyFill="1" applyBorder="1">
      <alignment vertical="center"/>
    </xf>
    <xf numFmtId="0" fontId="64" fillId="0" borderId="53" xfId="0" applyFont="1" applyFill="1" applyBorder="1" applyAlignment="1">
      <alignment horizontal="left" vertical="center" indent="2"/>
    </xf>
    <xf numFmtId="41" fontId="89" fillId="0" borderId="53" xfId="0" applyNumberFormat="1" applyFont="1" applyFill="1" applyBorder="1" applyAlignment="1">
      <alignment horizontal="center" vertical="center"/>
    </xf>
    <xf numFmtId="10" fontId="62" fillId="0" borderId="0" xfId="0" applyNumberFormat="1" applyFont="1" applyFill="1" applyBorder="1">
      <alignment vertical="center"/>
    </xf>
    <xf numFmtId="0" fontId="64" fillId="0" borderId="0" xfId="0" applyFont="1" applyFill="1" applyBorder="1" applyAlignment="1">
      <alignment horizontal="left" vertical="center" indent="2"/>
    </xf>
    <xf numFmtId="0" fontId="103" fillId="2" borderId="0" xfId="0" applyFont="1" applyFill="1" applyBorder="1">
      <alignment vertical="center"/>
    </xf>
    <xf numFmtId="9" fontId="62" fillId="2" borderId="0" xfId="0" applyNumberFormat="1" applyFont="1" applyFill="1" applyBorder="1" applyAlignment="1">
      <alignment horizontal="center" vertical="center"/>
    </xf>
    <xf numFmtId="182" fontId="62" fillId="2" borderId="0" xfId="0" applyNumberFormat="1" applyFont="1" applyFill="1" applyBorder="1" applyAlignment="1">
      <alignment horizontal="center" vertical="center"/>
    </xf>
    <xf numFmtId="180" fontId="62" fillId="9" borderId="0" xfId="0" applyNumberFormat="1" applyFont="1" applyFill="1" applyBorder="1">
      <alignment vertical="center"/>
    </xf>
    <xf numFmtId="0" fontId="93" fillId="0" borderId="0" xfId="0" applyFont="1" applyFill="1" applyBorder="1" applyAlignment="1">
      <alignment horizontal="right" vertical="center"/>
    </xf>
    <xf numFmtId="0" fontId="64" fillId="9" borderId="0" xfId="0" applyFont="1" applyFill="1" applyBorder="1">
      <alignment vertical="center"/>
    </xf>
    <xf numFmtId="180" fontId="62" fillId="9" borderId="56" xfId="0" applyNumberFormat="1" applyFont="1" applyFill="1" applyBorder="1">
      <alignment vertical="center"/>
    </xf>
    <xf numFmtId="0" fontId="63" fillId="0" borderId="42" xfId="0" applyFont="1" applyFill="1" applyBorder="1">
      <alignment vertical="center"/>
    </xf>
    <xf numFmtId="0" fontId="63" fillId="0" borderId="0" xfId="0" applyFont="1" applyFill="1" applyBorder="1">
      <alignment vertical="center"/>
    </xf>
    <xf numFmtId="0" fontId="91" fillId="0" borderId="0" xfId="0" applyFont="1" applyFill="1" applyBorder="1">
      <alignment vertical="center"/>
    </xf>
    <xf numFmtId="180" fontId="63" fillId="0" borderId="43" xfId="0" applyNumberFormat="1" applyFont="1" applyFill="1" applyBorder="1">
      <alignment vertical="center"/>
    </xf>
    <xf numFmtId="0" fontId="87" fillId="9" borderId="0" xfId="0" applyFont="1" applyFill="1" applyBorder="1">
      <alignment vertical="center"/>
    </xf>
    <xf numFmtId="41" fontId="89" fillId="9" borderId="0" xfId="0" applyNumberFormat="1" applyFont="1" applyFill="1" applyBorder="1">
      <alignment vertical="center"/>
    </xf>
    <xf numFmtId="0" fontId="91" fillId="0" borderId="0" xfId="0" applyFont="1" applyFill="1" applyBorder="1" applyAlignment="1">
      <alignment horizontal="left" vertical="center" indent="2"/>
    </xf>
    <xf numFmtId="0" fontId="117" fillId="0" borderId="0" xfId="0" applyFont="1" applyFill="1" applyBorder="1">
      <alignment vertical="center"/>
    </xf>
    <xf numFmtId="41" fontId="110" fillId="0" borderId="0" xfId="0" applyNumberFormat="1" applyFont="1" applyFill="1" applyBorder="1">
      <alignment vertical="center"/>
    </xf>
    <xf numFmtId="0" fontId="80" fillId="0" borderId="0" xfId="0" applyFont="1" applyFill="1" applyBorder="1" applyAlignment="1">
      <alignment horizontal="left" vertical="center" indent="2"/>
    </xf>
    <xf numFmtId="0" fontId="78" fillId="0" borderId="0" xfId="0" applyFont="1" applyFill="1" applyBorder="1">
      <alignment vertical="center"/>
    </xf>
    <xf numFmtId="182" fontId="62" fillId="0" borderId="54" xfId="0" applyNumberFormat="1" applyFont="1" applyFill="1" applyBorder="1">
      <alignment vertical="center"/>
    </xf>
    <xf numFmtId="180" fontId="62" fillId="0" borderId="54" xfId="0" applyNumberFormat="1" applyFont="1" applyFill="1" applyBorder="1">
      <alignment vertical="center"/>
    </xf>
    <xf numFmtId="0" fontId="62" fillId="0" borderId="49" xfId="0" applyFont="1" applyFill="1" applyBorder="1">
      <alignment vertical="center"/>
    </xf>
    <xf numFmtId="182" fontId="62" fillId="0" borderId="50" xfId="0" applyNumberFormat="1" applyFont="1" applyFill="1" applyBorder="1">
      <alignment vertical="center"/>
    </xf>
    <xf numFmtId="180" fontId="62" fillId="0" borderId="50" xfId="0" applyNumberFormat="1" applyFont="1" applyFill="1" applyBorder="1">
      <alignment vertical="center"/>
    </xf>
    <xf numFmtId="179" fontId="89" fillId="0" borderId="0" xfId="0" applyNumberFormat="1" applyFont="1" applyFill="1" applyBorder="1" applyAlignment="1" applyProtection="1">
      <alignment horizontal="left" vertical="center" indent="1"/>
    </xf>
    <xf numFmtId="0" fontId="64" fillId="9" borderId="0" xfId="0" applyFont="1" applyFill="1" applyBorder="1" applyAlignment="1">
      <alignment horizontal="left" vertical="center"/>
    </xf>
    <xf numFmtId="180" fontId="62" fillId="0" borderId="24" xfId="0" applyNumberFormat="1" applyFont="1" applyFill="1" applyBorder="1">
      <alignment vertical="center"/>
    </xf>
    <xf numFmtId="182" fontId="62" fillId="0" borderId="0" xfId="0" applyNumberFormat="1" applyFont="1" applyFill="1" applyBorder="1">
      <alignment vertical="center"/>
    </xf>
    <xf numFmtId="0" fontId="74" fillId="0" borderId="0" xfId="0" applyFont="1" applyFill="1" applyBorder="1">
      <alignment vertical="center"/>
    </xf>
    <xf numFmtId="0" fontId="74" fillId="0" borderId="0" xfId="0" applyFont="1" applyFill="1" applyBorder="1" applyAlignment="1">
      <alignment horizontal="center" vertical="center"/>
    </xf>
    <xf numFmtId="14" fontId="89" fillId="0" borderId="0" xfId="0" applyNumberFormat="1" applyFont="1" applyFill="1" applyBorder="1" applyAlignment="1">
      <alignment horizontal="center" vertical="center"/>
    </xf>
    <xf numFmtId="3" fontId="119" fillId="0" borderId="15" xfId="0" applyNumberFormat="1" applyFont="1" applyBorder="1" applyAlignment="1">
      <alignment horizontal="center" vertical="center" wrapText="1"/>
    </xf>
    <xf numFmtId="41" fontId="62" fillId="0" borderId="0" xfId="0" applyNumberFormat="1" applyFont="1">
      <alignment vertical="center"/>
    </xf>
    <xf numFmtId="3" fontId="119" fillId="0" borderId="60" xfId="0" applyNumberFormat="1" applyFont="1" applyBorder="1" applyAlignment="1">
      <alignment horizontal="center" vertical="center" wrapText="1"/>
    </xf>
    <xf numFmtId="179" fontId="110" fillId="0" borderId="61" xfId="0" applyNumberFormat="1" applyFont="1" applyFill="1" applyBorder="1" applyAlignment="1">
      <alignment horizontal="center" vertical="center"/>
    </xf>
    <xf numFmtId="191" fontId="62" fillId="30" borderId="43" xfId="7" applyNumberFormat="1" applyFont="1" applyFill="1" applyBorder="1">
      <alignment vertical="center"/>
    </xf>
    <xf numFmtId="41" fontId="123" fillId="47" borderId="56" xfId="7" applyFont="1" applyFill="1" applyBorder="1">
      <alignment vertical="center"/>
    </xf>
    <xf numFmtId="0" fontId="62" fillId="0" borderId="0" xfId="0" applyFont="1" applyBorder="1" applyAlignment="1">
      <alignment horizontal="left" vertical="center"/>
    </xf>
    <xf numFmtId="0" fontId="78" fillId="0" borderId="0" xfId="0" applyFont="1">
      <alignment vertical="center"/>
    </xf>
    <xf numFmtId="0" fontId="157" fillId="29" borderId="0" xfId="0" applyFont="1" applyFill="1">
      <alignment vertical="center"/>
    </xf>
    <xf numFmtId="0" fontId="79" fillId="0" borderId="0" xfId="0" applyFont="1" applyAlignment="1">
      <alignment horizontal="right" vertical="center"/>
    </xf>
    <xf numFmtId="41" fontId="78" fillId="0" borderId="0" xfId="0" applyNumberFormat="1" applyFont="1">
      <alignment vertical="center"/>
    </xf>
    <xf numFmtId="0" fontId="88" fillId="0" borderId="102" xfId="0" applyFont="1" applyFill="1" applyBorder="1" applyAlignment="1">
      <alignment horizontal="right" vertical="center"/>
    </xf>
    <xf numFmtId="179" fontId="110" fillId="0" borderId="80" xfId="0" applyNumberFormat="1" applyFont="1" applyFill="1" applyBorder="1" applyAlignment="1">
      <alignment horizontal="center" vertical="center"/>
    </xf>
    <xf numFmtId="177" fontId="97" fillId="0" borderId="41" xfId="0" applyNumberFormat="1" applyFont="1" applyFill="1" applyBorder="1" applyAlignment="1">
      <alignment horizontal="center" vertical="center"/>
    </xf>
    <xf numFmtId="0" fontId="65" fillId="0" borderId="0" xfId="0" applyFont="1" applyFill="1" applyBorder="1" applyAlignment="1">
      <alignment horizontal="left" vertical="center"/>
    </xf>
    <xf numFmtId="0" fontId="88" fillId="0" borderId="0" xfId="0" applyFont="1" applyFill="1" applyBorder="1" applyAlignment="1">
      <alignment horizontal="right" vertical="center"/>
    </xf>
    <xf numFmtId="179" fontId="110" fillId="0" borderId="56" xfId="0" applyNumberFormat="1" applyFont="1" applyFill="1" applyBorder="1" applyAlignment="1">
      <alignment horizontal="center" vertical="center"/>
    </xf>
    <xf numFmtId="211" fontId="64" fillId="0" borderId="44" xfId="0" applyNumberFormat="1" applyFont="1" applyBorder="1" applyAlignment="1">
      <alignment horizontal="center" vertical="center"/>
    </xf>
    <xf numFmtId="211" fontId="97" fillId="0" borderId="44" xfId="0" applyNumberFormat="1" applyFont="1" applyBorder="1" applyAlignment="1">
      <alignment horizontal="center" vertical="center"/>
    </xf>
    <xf numFmtId="179" fontId="63" fillId="0" borderId="47" xfId="0" applyNumberFormat="1" applyFont="1" applyFill="1" applyBorder="1" applyAlignment="1">
      <alignment horizontal="center" vertical="center"/>
    </xf>
    <xf numFmtId="0" fontId="62" fillId="0" borderId="42" xfId="0" applyFont="1" applyFill="1" applyBorder="1" applyAlignment="1">
      <alignment horizontal="left" vertical="center"/>
    </xf>
    <xf numFmtId="0" fontId="62" fillId="0" borderId="0" xfId="0" applyFont="1" applyFill="1" applyBorder="1" applyAlignment="1">
      <alignment horizontal="left" vertical="center"/>
    </xf>
    <xf numFmtId="14" fontId="62" fillId="0" borderId="43" xfId="0" applyNumberFormat="1" applyFont="1" applyFill="1" applyBorder="1" applyAlignment="1">
      <alignment horizontal="center" vertical="center"/>
    </xf>
    <xf numFmtId="14" fontId="63" fillId="0" borderId="43" xfId="0" applyNumberFormat="1" applyFont="1" applyFill="1" applyBorder="1" applyAlignment="1">
      <alignment horizontal="center" vertical="center"/>
    </xf>
    <xf numFmtId="0" fontId="65" fillId="0" borderId="42" xfId="0" applyFont="1" applyFill="1" applyBorder="1" applyAlignment="1">
      <alignment horizontal="left" vertical="center"/>
    </xf>
    <xf numFmtId="0" fontId="65" fillId="0" borderId="0" xfId="0" applyFont="1" applyBorder="1" applyAlignment="1">
      <alignment horizontal="left" vertical="center"/>
    </xf>
    <xf numFmtId="41" fontId="65" fillId="0" borderId="0" xfId="0" applyNumberFormat="1" applyFont="1" applyFill="1" applyBorder="1" applyAlignment="1">
      <alignment horizontal="left" vertical="center"/>
    </xf>
    <xf numFmtId="0" fontId="65" fillId="0" borderId="0" xfId="0" applyFont="1">
      <alignment vertical="center"/>
    </xf>
    <xf numFmtId="41" fontId="62" fillId="0" borderId="0" xfId="0" applyNumberFormat="1" applyFont="1" applyFill="1" applyBorder="1" applyAlignment="1">
      <alignment horizontal="left" vertical="center"/>
    </xf>
    <xf numFmtId="180" fontId="100" fillId="0" borderId="43" xfId="0" applyNumberFormat="1" applyFont="1" applyFill="1" applyBorder="1">
      <alignment vertical="center"/>
    </xf>
    <xf numFmtId="180" fontId="62" fillId="5" borderId="43" xfId="0" applyNumberFormat="1" applyFont="1" applyFill="1" applyBorder="1">
      <alignment vertical="center"/>
    </xf>
    <xf numFmtId="180" fontId="63" fillId="5" borderId="43" xfId="0" applyNumberFormat="1" applyFont="1" applyFill="1" applyBorder="1">
      <alignment vertical="center"/>
    </xf>
    <xf numFmtId="180" fontId="62" fillId="22" borderId="43" xfId="0" applyNumberFormat="1" applyFont="1" applyFill="1" applyBorder="1">
      <alignment vertical="center"/>
    </xf>
    <xf numFmtId="0" fontId="62" fillId="0" borderId="45" xfId="0" applyFont="1" applyFill="1" applyBorder="1" applyAlignment="1">
      <alignment horizontal="left" vertical="center"/>
    </xf>
    <xf numFmtId="0" fontId="62" fillId="0" borderId="24" xfId="0" applyFont="1" applyFill="1" applyBorder="1" applyAlignment="1">
      <alignment horizontal="left" vertical="center"/>
    </xf>
    <xf numFmtId="14" fontId="62" fillId="0" borderId="46" xfId="0" applyNumberFormat="1" applyFont="1" applyFill="1" applyBorder="1" applyAlignment="1">
      <alignment horizontal="center" vertical="center"/>
    </xf>
    <xf numFmtId="14" fontId="63" fillId="0" borderId="46" xfId="0" applyNumberFormat="1" applyFont="1" applyFill="1" applyBorder="1" applyAlignment="1">
      <alignment horizontal="center" vertical="center"/>
    </xf>
    <xf numFmtId="0" fontId="158" fillId="0" borderId="0" xfId="0" applyFont="1" applyBorder="1" applyAlignment="1">
      <alignment horizontal="left" vertical="center"/>
    </xf>
    <xf numFmtId="180" fontId="78" fillId="0" borderId="0" xfId="0" applyNumberFormat="1" applyFont="1">
      <alignment vertical="center"/>
    </xf>
    <xf numFmtId="180" fontId="78" fillId="0" borderId="49" xfId="0" applyNumberFormat="1" applyFont="1" applyBorder="1">
      <alignment vertical="center"/>
    </xf>
    <xf numFmtId="0" fontId="82" fillId="2" borderId="0" xfId="0" applyFont="1" applyFill="1">
      <alignment vertical="center"/>
    </xf>
    <xf numFmtId="0" fontId="83" fillId="2" borderId="0" xfId="0" applyFont="1" applyFill="1" applyAlignment="1">
      <alignment horizontal="center" vertical="center"/>
    </xf>
    <xf numFmtId="0" fontId="64" fillId="2" borderId="0" xfId="0" applyFont="1" applyFill="1">
      <alignment vertical="center"/>
    </xf>
    <xf numFmtId="0" fontId="64" fillId="2" borderId="0" xfId="0" applyFont="1" applyFill="1" applyAlignment="1">
      <alignment horizontal="right" vertical="center"/>
    </xf>
    <xf numFmtId="180" fontId="62" fillId="2" borderId="0" xfId="0" applyNumberFormat="1" applyFont="1" applyFill="1">
      <alignment vertical="center"/>
    </xf>
    <xf numFmtId="181" fontId="62" fillId="2" borderId="0" xfId="0" applyNumberFormat="1" applyFont="1" applyFill="1">
      <alignment vertical="center"/>
    </xf>
    <xf numFmtId="180" fontId="62" fillId="0" borderId="0" xfId="0" applyNumberFormat="1" applyFont="1">
      <alignment vertical="center"/>
    </xf>
    <xf numFmtId="0" fontId="54" fillId="19" borderId="5" xfId="0" applyFont="1" applyFill="1" applyBorder="1" applyAlignment="1">
      <alignment horizontal="center" vertical="center" wrapText="1"/>
    </xf>
    <xf numFmtId="0" fontId="54" fillId="19" borderId="1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0" borderId="7" xfId="0" applyFont="1" applyBorder="1" applyAlignment="1">
      <alignment horizontal="center" vertical="center" wrapText="1"/>
    </xf>
    <xf numFmtId="14" fontId="6" fillId="10" borderId="2" xfId="3" applyNumberFormat="1" applyFont="1" applyFill="1" applyBorder="1" applyAlignment="1">
      <alignment horizontal="center" vertical="center"/>
    </xf>
    <xf numFmtId="0" fontId="185" fillId="0" borderId="23" xfId="29" applyFont="1" applyBorder="1">
      <alignment vertical="center"/>
    </xf>
    <xf numFmtId="0" fontId="186" fillId="0" borderId="27" xfId="29" applyFont="1" applyBorder="1">
      <alignment vertical="center"/>
    </xf>
    <xf numFmtId="0" fontId="189" fillId="0" borderId="0" xfId="29" applyFont="1">
      <alignment vertical="center"/>
    </xf>
    <xf numFmtId="0" fontId="18" fillId="0" borderId="23" xfId="5" applyBorder="1">
      <alignment vertical="center"/>
    </xf>
    <xf numFmtId="10" fontId="18" fillId="0" borderId="23" xfId="5" applyNumberFormat="1" applyBorder="1">
      <alignment vertical="center"/>
    </xf>
    <xf numFmtId="14" fontId="18" fillId="0" borderId="68" xfId="5" applyNumberFormat="1" applyBorder="1">
      <alignment vertical="center"/>
    </xf>
    <xf numFmtId="10" fontId="193" fillId="11" borderId="5" xfId="0" applyNumberFormat="1" applyFont="1" applyFill="1" applyBorder="1" applyAlignment="1">
      <alignment horizontal="center" vertical="center" wrapText="1"/>
    </xf>
    <xf numFmtId="0" fontId="51" fillId="0" borderId="21" xfId="3" applyFont="1" applyBorder="1">
      <alignment vertical="center"/>
    </xf>
    <xf numFmtId="0" fontId="6" fillId="23" borderId="2" xfId="0" applyFont="1" applyFill="1" applyBorder="1" applyAlignment="1">
      <alignment horizontal="center" vertical="center"/>
    </xf>
    <xf numFmtId="41" fontId="6" fillId="23" borderId="2" xfId="1" applyFont="1" applyFill="1" applyBorder="1" applyAlignment="1">
      <alignment horizontal="center" vertical="center"/>
    </xf>
    <xf numFmtId="0" fontId="28" fillId="23" borderId="2" xfId="0" applyFont="1" applyFill="1" applyBorder="1" applyAlignment="1">
      <alignment horizontal="center" vertical="center"/>
    </xf>
    <xf numFmtId="41" fontId="28" fillId="23" borderId="2" xfId="1" applyFont="1" applyFill="1" applyBorder="1" applyAlignment="1">
      <alignment horizontal="center" vertical="center"/>
    </xf>
    <xf numFmtId="0" fontId="0" fillId="23" borderId="2" xfId="0" applyFill="1" applyBorder="1" applyAlignment="1">
      <alignment horizontal="center" vertical="center"/>
    </xf>
    <xf numFmtId="41" fontId="0" fillId="23" borderId="2" xfId="1" applyFont="1" applyFill="1" applyBorder="1" applyAlignment="1">
      <alignment horizontal="center" vertical="center"/>
    </xf>
    <xf numFmtId="0" fontId="0" fillId="23" borderId="83" xfId="0" applyFill="1" applyBorder="1" applyAlignment="1">
      <alignment horizontal="center" vertical="center"/>
    </xf>
    <xf numFmtId="41" fontId="0" fillId="23" borderId="83" xfId="1" applyFont="1" applyFill="1" applyBorder="1" applyAlignment="1">
      <alignment horizontal="center" vertical="center"/>
    </xf>
    <xf numFmtId="0" fontId="33" fillId="19" borderId="11" xfId="0" applyFont="1" applyFill="1" applyBorder="1" applyAlignment="1">
      <alignment horizontal="center" vertical="center" wrapText="1"/>
    </xf>
    <xf numFmtId="14" fontId="33" fillId="0" borderId="7" xfId="0" applyNumberFormat="1" applyFont="1" applyBorder="1" applyAlignment="1">
      <alignment horizontal="center" vertical="center" wrapText="1"/>
    </xf>
    <xf numFmtId="0" fontId="33" fillId="0" borderId="7" xfId="0" applyFont="1" applyBorder="1" applyAlignment="1">
      <alignment horizontal="center" vertical="center" wrapText="1"/>
    </xf>
    <xf numFmtId="3" fontId="34" fillId="0" borderId="11" xfId="0" applyNumberFormat="1" applyFont="1" applyBorder="1" applyAlignment="1">
      <alignment horizontal="center" vertical="center" wrapText="1"/>
    </xf>
    <xf numFmtId="9" fontId="0" fillId="15" borderId="0" xfId="3" applyNumberFormat="1" applyFont="1" applyFill="1">
      <alignment vertical="center"/>
    </xf>
    <xf numFmtId="0" fontId="34" fillId="19" borderId="11" xfId="0" applyFont="1" applyFill="1" applyBorder="1" applyAlignment="1">
      <alignment horizontal="center" vertical="center" wrapText="1"/>
    </xf>
    <xf numFmtId="0" fontId="35" fillId="0" borderId="0" xfId="0" applyFont="1" applyAlignment="1">
      <alignment horizontal="justify" vertical="center" wrapText="1"/>
    </xf>
    <xf numFmtId="0" fontId="0" fillId="0" borderId="3" xfId="0" applyBorder="1" applyAlignment="1">
      <alignment vertical="center" wrapText="1"/>
    </xf>
    <xf numFmtId="43" fontId="1" fillId="0" borderId="0" xfId="3" applyNumberFormat="1">
      <alignment vertical="center"/>
    </xf>
    <xf numFmtId="41" fontId="62" fillId="0" borderId="43" xfId="7" applyNumberFormat="1" applyFont="1" applyFill="1" applyBorder="1" applyAlignment="1">
      <alignment horizontal="center" vertical="center"/>
    </xf>
    <xf numFmtId="41" fontId="62" fillId="0" borderId="102" xfId="0" applyNumberFormat="1" applyFont="1" applyFill="1" applyBorder="1" applyAlignment="1">
      <alignment horizontal="left" vertical="center"/>
    </xf>
    <xf numFmtId="0" fontId="62" fillId="0" borderId="79" xfId="8" applyFont="1" applyFill="1" applyBorder="1">
      <alignment vertical="center"/>
    </xf>
    <xf numFmtId="0" fontId="62" fillId="0" borderId="102" xfId="8" applyFont="1" applyFill="1" applyBorder="1">
      <alignment vertical="center"/>
    </xf>
    <xf numFmtId="0" fontId="62" fillId="0" borderId="81" xfId="8" applyFont="1" applyFill="1" applyBorder="1" applyAlignment="1">
      <alignment horizontal="center" vertical="center"/>
    </xf>
    <xf numFmtId="178" fontId="64" fillId="0" borderId="41" xfId="0" applyNumberFormat="1" applyFont="1" applyFill="1" applyBorder="1" applyAlignment="1">
      <alignment horizontal="center" vertical="center"/>
    </xf>
    <xf numFmtId="0" fontId="79" fillId="0" borderId="0" xfId="0" applyFont="1" applyFill="1" applyBorder="1" applyAlignment="1">
      <alignment horizontal="left" vertical="center"/>
    </xf>
    <xf numFmtId="0" fontId="80" fillId="0" borderId="0" xfId="0" applyFont="1">
      <alignment vertical="center"/>
    </xf>
    <xf numFmtId="180" fontId="81" fillId="0" borderId="55" xfId="0" applyNumberFormat="1" applyFont="1" applyFill="1" applyBorder="1">
      <alignment vertical="center"/>
    </xf>
    <xf numFmtId="0" fontId="80" fillId="0" borderId="0" xfId="0" applyFont="1" applyFill="1" applyBorder="1" applyAlignment="1">
      <alignment horizontal="left" vertical="center"/>
    </xf>
    <xf numFmtId="0" fontId="62" fillId="0" borderId="43" xfId="0" applyFont="1" applyFill="1" applyBorder="1" applyAlignment="1">
      <alignment horizontal="center" vertical="center"/>
    </xf>
    <xf numFmtId="0" fontId="102" fillId="0" borderId="0" xfId="0" applyFont="1" applyFill="1" applyBorder="1" applyAlignment="1">
      <alignment horizontal="left" vertical="center"/>
    </xf>
    <xf numFmtId="0" fontId="62" fillId="0" borderId="57" xfId="0" applyFont="1" applyFill="1" applyBorder="1" applyAlignment="1">
      <alignment horizontal="left" vertical="center"/>
    </xf>
    <xf numFmtId="0" fontId="62" fillId="0" borderId="53" xfId="0" applyFont="1" applyFill="1" applyBorder="1" applyAlignment="1">
      <alignment horizontal="left" vertical="center"/>
    </xf>
    <xf numFmtId="0" fontId="62" fillId="0" borderId="54" xfId="0" applyFont="1" applyFill="1" applyBorder="1" applyAlignment="1">
      <alignment horizontal="center" vertical="center"/>
    </xf>
    <xf numFmtId="0" fontId="68" fillId="0" borderId="0" xfId="0" applyFont="1" applyFill="1" applyBorder="1" applyAlignment="1">
      <alignment horizontal="left" vertical="center" indent="1"/>
    </xf>
    <xf numFmtId="0" fontId="62" fillId="0" borderId="78" xfId="0" applyFont="1" applyBorder="1">
      <alignment vertical="center"/>
    </xf>
    <xf numFmtId="180" fontId="62" fillId="0" borderId="78" xfId="0" applyNumberFormat="1" applyFont="1" applyBorder="1">
      <alignment vertical="center"/>
    </xf>
    <xf numFmtId="0" fontId="68" fillId="0" borderId="0" xfId="0" applyFont="1" applyFill="1" applyBorder="1" applyAlignment="1">
      <alignment horizontal="left" vertical="center"/>
    </xf>
    <xf numFmtId="10" fontId="89" fillId="0" borderId="0" xfId="0" applyNumberFormat="1" applyFont="1" applyFill="1" applyBorder="1" applyAlignment="1">
      <alignment horizontal="center" vertical="center"/>
    </xf>
    <xf numFmtId="0" fontId="156" fillId="0" borderId="45" xfId="0" applyFont="1" applyFill="1" applyBorder="1" applyAlignment="1">
      <alignment horizontal="left" vertical="center"/>
    </xf>
    <xf numFmtId="0" fontId="156" fillId="0" borderId="24" xfId="0" applyFont="1" applyFill="1" applyBorder="1" applyAlignment="1">
      <alignment horizontal="left" vertical="center"/>
    </xf>
    <xf numFmtId="0" fontId="156" fillId="0" borderId="0" xfId="0" applyFont="1" applyFill="1">
      <alignment vertical="center"/>
    </xf>
    <xf numFmtId="0" fontId="68" fillId="0" borderId="0" xfId="0" applyFont="1" applyFill="1" applyBorder="1" applyAlignment="1">
      <alignment horizontal="center" vertical="center"/>
    </xf>
    <xf numFmtId="0" fontId="62" fillId="0" borderId="1" xfId="0" applyFont="1" applyFill="1" applyBorder="1" applyAlignment="1">
      <alignment horizontal="left" vertical="center"/>
    </xf>
    <xf numFmtId="0" fontId="62" fillId="0" borderId="24" xfId="0" applyFont="1" applyBorder="1">
      <alignment vertical="center"/>
    </xf>
    <xf numFmtId="0" fontId="62" fillId="0" borderId="79" xfId="0" applyFont="1" applyFill="1" applyBorder="1" applyAlignment="1">
      <alignment horizontal="left" vertical="center"/>
    </xf>
    <xf numFmtId="0" fontId="62" fillId="0" borderId="102" xfId="0" applyFont="1" applyFill="1" applyBorder="1" applyAlignment="1">
      <alignment horizontal="left" vertical="center"/>
    </xf>
    <xf numFmtId="0" fontId="67" fillId="14" borderId="0" xfId="0" applyFont="1" applyFill="1" applyBorder="1" applyAlignment="1">
      <alignment horizontal="left" vertical="center"/>
    </xf>
    <xf numFmtId="41" fontId="67" fillId="14" borderId="0" xfId="0" applyNumberFormat="1" applyFont="1" applyFill="1" applyBorder="1" applyAlignment="1">
      <alignment horizontal="left" vertical="center"/>
    </xf>
    <xf numFmtId="0" fontId="67" fillId="37" borderId="0" xfId="0" applyFont="1" applyFill="1" applyBorder="1" applyAlignment="1">
      <alignment horizontal="left" vertical="center"/>
    </xf>
    <xf numFmtId="41" fontId="67" fillId="37" borderId="0" xfId="0" applyNumberFormat="1" applyFont="1" applyFill="1" applyBorder="1" applyAlignment="1">
      <alignment horizontal="left" vertical="center"/>
    </xf>
    <xf numFmtId="0" fontId="67" fillId="43" borderId="0" xfId="0" applyFont="1" applyFill="1" applyBorder="1" applyAlignment="1">
      <alignment horizontal="left" vertical="center"/>
    </xf>
    <xf numFmtId="41" fontId="67" fillId="43" borderId="0" xfId="0" applyNumberFormat="1" applyFont="1" applyFill="1" applyBorder="1" applyAlignment="1">
      <alignment horizontal="left" vertical="center"/>
    </xf>
    <xf numFmtId="0" fontId="67" fillId="0" borderId="0" xfId="0" applyFont="1" applyFill="1" applyBorder="1" applyAlignment="1">
      <alignment horizontal="left" vertical="center"/>
    </xf>
    <xf numFmtId="41" fontId="67" fillId="0" borderId="0" xfId="0" applyNumberFormat="1" applyFont="1" applyFill="1" applyBorder="1" applyAlignment="1">
      <alignment horizontal="left" vertical="center"/>
    </xf>
    <xf numFmtId="0" fontId="63" fillId="0" borderId="79" xfId="0" applyFont="1" applyFill="1" applyBorder="1" applyAlignment="1">
      <alignment horizontal="left" vertical="center"/>
    </xf>
    <xf numFmtId="0" fontId="63" fillId="0" borderId="102" xfId="0" applyFont="1" applyFill="1" applyBorder="1" applyAlignment="1">
      <alignment horizontal="left" vertical="center"/>
    </xf>
    <xf numFmtId="41" fontId="63" fillId="0" borderId="102" xfId="0" applyNumberFormat="1" applyFont="1" applyFill="1" applyBorder="1" applyAlignment="1">
      <alignment horizontal="left" vertical="center"/>
    </xf>
    <xf numFmtId="0" fontId="63" fillId="0" borderId="42" xfId="0" applyFont="1" applyFill="1" applyBorder="1" applyAlignment="1">
      <alignment horizontal="left" vertical="center"/>
    </xf>
    <xf numFmtId="0" fontId="63" fillId="0" borderId="45" xfId="0" applyFont="1" applyFill="1" applyBorder="1" applyAlignment="1">
      <alignment horizontal="left" vertical="center"/>
    </xf>
    <xf numFmtId="0" fontId="63" fillId="0" borderId="24" xfId="0" applyFont="1" applyFill="1" applyBorder="1" applyAlignment="1">
      <alignment horizontal="left" vertical="center"/>
    </xf>
    <xf numFmtId="0" fontId="57" fillId="34" borderId="0" xfId="0" applyFont="1" applyFill="1">
      <alignment vertical="center"/>
    </xf>
    <xf numFmtId="0" fontId="58" fillId="34" borderId="0" xfId="0" applyFont="1" applyFill="1">
      <alignment vertical="center"/>
    </xf>
    <xf numFmtId="0" fontId="59" fillId="34" borderId="0" xfId="0" applyFont="1" applyFill="1">
      <alignment vertical="center"/>
    </xf>
    <xf numFmtId="0" fontId="60" fillId="34" borderId="0" xfId="0" applyFont="1" applyFill="1" applyAlignment="1">
      <alignment horizontal="left" vertical="center" indent="2"/>
    </xf>
    <xf numFmtId="0" fontId="58" fillId="0" borderId="0" xfId="0" applyFont="1" applyFill="1">
      <alignment vertical="center"/>
    </xf>
    <xf numFmtId="0" fontId="67" fillId="35" borderId="0" xfId="0" applyFont="1" applyFill="1">
      <alignment vertical="center"/>
    </xf>
    <xf numFmtId="0" fontId="62" fillId="0" borderId="102" xfId="0" applyFont="1" applyFill="1" applyBorder="1" applyAlignment="1">
      <alignment horizontal="center" vertical="center"/>
    </xf>
    <xf numFmtId="0" fontId="62" fillId="0" borderId="80" xfId="0" applyFont="1" applyFill="1" applyBorder="1">
      <alignment vertical="center"/>
    </xf>
    <xf numFmtId="0" fontId="62" fillId="0" borderId="81" xfId="0" applyFont="1" applyFill="1" applyBorder="1" applyAlignment="1">
      <alignment horizontal="center" vertical="center"/>
    </xf>
    <xf numFmtId="0" fontId="62" fillId="0" borderId="56" xfId="0" applyFont="1" applyFill="1" applyBorder="1">
      <alignment vertical="center"/>
    </xf>
    <xf numFmtId="41" fontId="62" fillId="0" borderId="56" xfId="0" applyNumberFormat="1" applyFont="1" applyFill="1" applyBorder="1">
      <alignment vertical="center"/>
    </xf>
    <xf numFmtId="190" fontId="62" fillId="0" borderId="0" xfId="0" applyNumberFormat="1" applyFont="1" applyFill="1" applyBorder="1">
      <alignment vertical="center"/>
    </xf>
    <xf numFmtId="0" fontId="121" fillId="0" borderId="0" xfId="0" applyFont="1" applyFill="1" applyBorder="1" applyAlignment="1">
      <alignment horizontal="center" vertical="center"/>
    </xf>
    <xf numFmtId="0" fontId="122" fillId="0" borderId="0" xfId="0" applyFont="1" applyFill="1" applyAlignment="1">
      <alignment horizontal="center" vertical="center"/>
    </xf>
    <xf numFmtId="0" fontId="99" fillId="0" borderId="0" xfId="0" applyFont="1" applyFill="1" applyBorder="1" applyAlignment="1">
      <alignment horizontal="right" vertical="center"/>
    </xf>
    <xf numFmtId="0" fontId="64" fillId="32" borderId="0" xfId="0" applyFont="1" applyFill="1" applyBorder="1">
      <alignment vertical="center"/>
    </xf>
    <xf numFmtId="0" fontId="122" fillId="32" borderId="0" xfId="0" applyFont="1" applyFill="1" applyAlignment="1">
      <alignment horizontal="center" vertical="center"/>
    </xf>
    <xf numFmtId="0" fontId="62" fillId="47" borderId="0" xfId="0" applyFont="1" applyFill="1" applyBorder="1">
      <alignment vertical="center"/>
    </xf>
    <xf numFmtId="180" fontId="65" fillId="47" borderId="43" xfId="0" applyNumberFormat="1" applyFont="1" applyFill="1" applyBorder="1">
      <alignment vertical="center"/>
    </xf>
    <xf numFmtId="0" fontId="62" fillId="0" borderId="102" xfId="0" applyFont="1" applyBorder="1">
      <alignment vertical="center"/>
    </xf>
    <xf numFmtId="14" fontId="62" fillId="0" borderId="102" xfId="0" applyNumberFormat="1" applyFont="1" applyBorder="1">
      <alignment vertical="center"/>
    </xf>
    <xf numFmtId="41" fontId="62" fillId="0" borderId="102" xfId="7" applyFont="1" applyBorder="1">
      <alignment vertical="center"/>
    </xf>
    <xf numFmtId="0" fontId="62" fillId="0" borderId="61" xfId="0" applyFont="1" applyFill="1" applyBorder="1">
      <alignment vertical="center"/>
    </xf>
    <xf numFmtId="0" fontId="62" fillId="0" borderId="1" xfId="0" applyFont="1" applyBorder="1">
      <alignment vertical="center"/>
    </xf>
    <xf numFmtId="0" fontId="67" fillId="35" borderId="0" xfId="0" applyFont="1" applyFill="1" applyAlignment="1">
      <alignment horizontal="center" vertical="center"/>
    </xf>
    <xf numFmtId="193" fontId="62" fillId="0" borderId="42" xfId="0" applyNumberFormat="1" applyFont="1" applyFill="1" applyBorder="1" applyAlignment="1">
      <alignment horizontal="center" vertical="center"/>
    </xf>
    <xf numFmtId="0" fontId="61" fillId="0" borderId="0" xfId="0" applyFont="1" applyFill="1" applyBorder="1" applyAlignment="1">
      <alignment horizontal="right" vertical="center"/>
    </xf>
    <xf numFmtId="0" fontId="67" fillId="0" borderId="0" xfId="0" applyFont="1" applyFill="1">
      <alignment vertical="center"/>
    </xf>
    <xf numFmtId="194" fontId="97" fillId="0" borderId="0" xfId="0" applyNumberFormat="1" applyFont="1">
      <alignment vertical="center"/>
    </xf>
    <xf numFmtId="0" fontId="62" fillId="0" borderId="79" xfId="0" applyFont="1" applyBorder="1">
      <alignment vertical="center"/>
    </xf>
    <xf numFmtId="193" fontId="62" fillId="0" borderId="0" xfId="0" applyNumberFormat="1" applyFont="1" applyFill="1" applyBorder="1" applyAlignment="1">
      <alignment horizontal="center" vertical="center"/>
    </xf>
    <xf numFmtId="0" fontId="62" fillId="0" borderId="28" xfId="0" applyFont="1" applyBorder="1">
      <alignment vertical="center"/>
    </xf>
    <xf numFmtId="0" fontId="62" fillId="0" borderId="29" xfId="0" applyFont="1" applyBorder="1">
      <alignment vertical="center"/>
    </xf>
    <xf numFmtId="0" fontId="62" fillId="0" borderId="30" xfId="0" applyFont="1" applyFill="1" applyBorder="1">
      <alignment vertical="center"/>
    </xf>
    <xf numFmtId="0" fontId="62" fillId="0" borderId="48" xfId="0" applyFont="1" applyBorder="1">
      <alignment vertical="center"/>
    </xf>
    <xf numFmtId="0" fontId="62" fillId="0" borderId="49" xfId="0" applyFont="1" applyBorder="1">
      <alignment vertical="center"/>
    </xf>
    <xf numFmtId="194" fontId="97" fillId="0" borderId="62" xfId="0" applyNumberFormat="1" applyFont="1" applyBorder="1">
      <alignment vertical="center"/>
    </xf>
    <xf numFmtId="0" fontId="61" fillId="0" borderId="42" xfId="0" applyFont="1" applyBorder="1" applyAlignment="1">
      <alignment horizontal="right" vertical="center"/>
    </xf>
    <xf numFmtId="0" fontId="61" fillId="0" borderId="0" xfId="0" applyFont="1" applyBorder="1">
      <alignment vertical="center"/>
    </xf>
    <xf numFmtId="0" fontId="65" fillId="0" borderId="0" xfId="0" applyFont="1" applyBorder="1">
      <alignment vertical="center"/>
    </xf>
    <xf numFmtId="0" fontId="62" fillId="0" borderId="31" xfId="0" applyFont="1" applyBorder="1">
      <alignment vertical="center"/>
    </xf>
    <xf numFmtId="0" fontId="68" fillId="0" borderId="0" xfId="0" applyFont="1" applyBorder="1" applyAlignment="1">
      <alignment horizontal="left" vertical="center"/>
    </xf>
    <xf numFmtId="0" fontId="62" fillId="0" borderId="32" xfId="0" applyFont="1" applyBorder="1">
      <alignment vertical="center"/>
    </xf>
    <xf numFmtId="0" fontId="64" fillId="0" borderId="51" xfId="0" applyFont="1" applyBorder="1" applyAlignment="1">
      <alignment horizontal="left" vertical="center" indent="2"/>
    </xf>
    <xf numFmtId="194" fontId="64" fillId="0" borderId="63" xfId="0" applyNumberFormat="1" applyFont="1" applyBorder="1">
      <alignment vertical="center"/>
    </xf>
    <xf numFmtId="0" fontId="62" fillId="0" borderId="31" xfId="0" applyFont="1" applyBorder="1" applyAlignment="1">
      <alignment horizontal="right" vertical="center"/>
    </xf>
    <xf numFmtId="0" fontId="68" fillId="0" borderId="0" xfId="0" applyFont="1" applyBorder="1">
      <alignment vertical="center"/>
    </xf>
    <xf numFmtId="41" fontId="64" fillId="0" borderId="0" xfId="0" applyNumberFormat="1" applyFont="1" applyFill="1" applyBorder="1">
      <alignment vertical="center"/>
    </xf>
    <xf numFmtId="0" fontId="62" fillId="0" borderId="32" xfId="0" applyFont="1" applyFill="1" applyBorder="1">
      <alignment vertical="center"/>
    </xf>
    <xf numFmtId="41" fontId="62" fillId="0" borderId="0" xfId="0" applyNumberFormat="1" applyFont="1" applyBorder="1">
      <alignment vertical="center"/>
    </xf>
    <xf numFmtId="194" fontId="64" fillId="0" borderId="0" xfId="0" applyNumberFormat="1" applyFont="1" applyFill="1" applyBorder="1">
      <alignment vertical="center"/>
    </xf>
    <xf numFmtId="41" fontId="116" fillId="0" borderId="0" xfId="0" applyNumberFormat="1" applyFont="1" applyFill="1" applyBorder="1">
      <alignment vertical="center"/>
    </xf>
    <xf numFmtId="0" fontId="64" fillId="0" borderId="32" xfId="0" applyFont="1" applyFill="1" applyBorder="1">
      <alignment vertical="center"/>
    </xf>
    <xf numFmtId="0" fontId="89" fillId="0" borderId="51" xfId="0" applyFont="1" applyBorder="1" applyAlignment="1">
      <alignment horizontal="left" vertical="center" indent="2"/>
    </xf>
    <xf numFmtId="194" fontId="97" fillId="0" borderId="65" xfId="0" applyNumberFormat="1" applyFont="1" applyBorder="1">
      <alignment vertical="center"/>
    </xf>
    <xf numFmtId="0" fontId="65" fillId="0" borderId="42" xfId="0" applyFont="1" applyBorder="1" applyAlignment="1">
      <alignment horizontal="right" vertical="center"/>
    </xf>
    <xf numFmtId="0" fontId="66" fillId="0" borderId="0" xfId="0" applyFont="1" applyBorder="1">
      <alignment vertical="center"/>
    </xf>
    <xf numFmtId="10" fontId="89" fillId="0" borderId="0" xfId="0" applyNumberFormat="1" applyFont="1" applyFill="1" applyBorder="1">
      <alignment vertical="center"/>
    </xf>
    <xf numFmtId="0" fontId="89" fillId="0" borderId="32" xfId="0" applyFont="1" applyFill="1" applyBorder="1">
      <alignment vertical="center"/>
    </xf>
    <xf numFmtId="0" fontId="89" fillId="0" borderId="51" xfId="0" applyFont="1" applyBorder="1" applyAlignment="1">
      <alignment horizontal="left" vertical="center" indent="1"/>
    </xf>
    <xf numFmtId="41" fontId="89" fillId="0" borderId="63" xfId="0" applyNumberFormat="1" applyFont="1" applyBorder="1" applyAlignment="1">
      <alignment horizontal="center" vertical="center"/>
    </xf>
    <xf numFmtId="9" fontId="93" fillId="0" borderId="0" xfId="0" applyNumberFormat="1" applyFont="1" applyBorder="1">
      <alignment vertical="center"/>
    </xf>
    <xf numFmtId="0" fontId="62" fillId="0" borderId="52" xfId="0" applyFont="1" applyBorder="1">
      <alignment vertical="center"/>
    </xf>
    <xf numFmtId="0" fontId="62" fillId="0" borderId="53" xfId="0" applyFont="1" applyBorder="1">
      <alignment vertical="center"/>
    </xf>
    <xf numFmtId="0" fontId="62" fillId="0" borderId="66" xfId="0" applyFont="1" applyBorder="1">
      <alignment vertical="center"/>
    </xf>
    <xf numFmtId="41" fontId="64" fillId="0" borderId="0" xfId="0" quotePrefix="1" applyNumberFormat="1" applyFont="1" applyFill="1" applyBorder="1">
      <alignment vertical="center"/>
    </xf>
    <xf numFmtId="0" fontId="62" fillId="0" borderId="33" xfId="0" applyFont="1" applyBorder="1">
      <alignment vertical="center"/>
    </xf>
    <xf numFmtId="41" fontId="64" fillId="0" borderId="1" xfId="0" applyNumberFormat="1" applyFont="1" applyBorder="1">
      <alignment vertical="center"/>
    </xf>
    <xf numFmtId="0" fontId="62" fillId="0" borderId="34" xfId="0" applyFont="1" applyFill="1" applyBorder="1">
      <alignment vertical="center"/>
    </xf>
    <xf numFmtId="0" fontId="124" fillId="0" borderId="0" xfId="0" applyFont="1" applyBorder="1">
      <alignment vertical="center"/>
    </xf>
    <xf numFmtId="41" fontId="124" fillId="0" borderId="0" xfId="0" applyNumberFormat="1" applyFont="1" applyFill="1" applyBorder="1">
      <alignment vertical="center"/>
    </xf>
    <xf numFmtId="0" fontId="125" fillId="0" borderId="0" xfId="0" applyFont="1" applyBorder="1">
      <alignment vertical="center"/>
    </xf>
    <xf numFmtId="0" fontId="61" fillId="0" borderId="48" xfId="0" applyFont="1" applyBorder="1" applyAlignment="1">
      <alignment horizontal="left" vertical="center" indent="2"/>
    </xf>
    <xf numFmtId="0" fontId="64" fillId="0" borderId="49" xfId="0" applyFont="1" applyBorder="1">
      <alignment vertical="center"/>
    </xf>
    <xf numFmtId="41" fontId="127" fillId="0" borderId="49" xfId="0" applyNumberFormat="1" applyFont="1" applyBorder="1">
      <alignment vertical="center"/>
    </xf>
    <xf numFmtId="41" fontId="127" fillId="0" borderId="62" xfId="0" applyNumberFormat="1" applyFont="1" applyBorder="1">
      <alignment vertical="center"/>
    </xf>
    <xf numFmtId="0" fontId="64" fillId="0" borderId="51" xfId="0" applyFont="1" applyBorder="1">
      <alignment vertical="center"/>
    </xf>
    <xf numFmtId="194" fontId="64" fillId="0" borderId="0" xfId="0" applyNumberFormat="1" applyFont="1" applyBorder="1">
      <alignment vertical="center"/>
    </xf>
    <xf numFmtId="0" fontId="127" fillId="0" borderId="63" xfId="0" applyFont="1" applyBorder="1">
      <alignment vertical="center"/>
    </xf>
    <xf numFmtId="0" fontId="64" fillId="0" borderId="51" xfId="0" applyFont="1" applyBorder="1" applyAlignment="1">
      <alignment horizontal="right" vertical="center"/>
    </xf>
    <xf numFmtId="0" fontId="87" fillId="0" borderId="0" xfId="0" applyFont="1" applyBorder="1">
      <alignment vertical="center"/>
    </xf>
    <xf numFmtId="41" fontId="127" fillId="0" borderId="63" xfId="0" applyNumberFormat="1" applyFont="1" applyBorder="1">
      <alignment vertical="center"/>
    </xf>
    <xf numFmtId="0" fontId="62" fillId="0" borderId="45" xfId="0" applyFont="1" applyBorder="1">
      <alignment vertical="center"/>
    </xf>
    <xf numFmtId="41" fontId="124" fillId="0" borderId="0" xfId="0" applyNumberFormat="1" applyFont="1" applyBorder="1">
      <alignment vertical="center"/>
    </xf>
    <xf numFmtId="0" fontId="64" fillId="0" borderId="51" xfId="0" applyFont="1" applyFill="1" applyBorder="1" applyAlignment="1">
      <alignment horizontal="right" vertical="center"/>
    </xf>
    <xf numFmtId="41" fontId="127" fillId="0" borderId="63" xfId="0" applyNumberFormat="1" applyFont="1" applyFill="1" applyBorder="1">
      <alignment vertical="center"/>
    </xf>
    <xf numFmtId="194" fontId="116" fillId="0" borderId="0" xfId="0" applyNumberFormat="1" applyFont="1" applyFill="1" applyBorder="1">
      <alignment vertical="center"/>
    </xf>
    <xf numFmtId="41" fontId="80" fillId="0" borderId="63" xfId="0" applyNumberFormat="1" applyFont="1" applyBorder="1">
      <alignment vertical="center"/>
    </xf>
    <xf numFmtId="0" fontId="80" fillId="0" borderId="63" xfId="0" applyFont="1" applyBorder="1">
      <alignment vertical="center"/>
    </xf>
    <xf numFmtId="0" fontId="64" fillId="0" borderId="52" xfId="0" applyFont="1" applyBorder="1">
      <alignment vertical="center"/>
    </xf>
    <xf numFmtId="0" fontId="64" fillId="0" borderId="53" xfId="0" applyFont="1" applyBorder="1">
      <alignment vertical="center"/>
    </xf>
    <xf numFmtId="0" fontId="80" fillId="0" borderId="66" xfId="0" applyFont="1" applyBorder="1">
      <alignment vertical="center"/>
    </xf>
    <xf numFmtId="41" fontId="64" fillId="0" borderId="0" xfId="0" applyNumberFormat="1" applyFont="1">
      <alignment vertical="center"/>
    </xf>
    <xf numFmtId="0" fontId="61" fillId="0" borderId="0" xfId="13" applyFont="1">
      <alignment vertical="center"/>
    </xf>
    <xf numFmtId="0" fontId="61" fillId="0" borderId="0" xfId="13" applyFont="1" applyFill="1" applyBorder="1">
      <alignment vertical="center"/>
    </xf>
    <xf numFmtId="0" fontId="61" fillId="0" borderId="0" xfId="13" applyFont="1" applyFill="1">
      <alignment vertical="center"/>
    </xf>
    <xf numFmtId="0" fontId="62" fillId="0" borderId="0" xfId="13" applyFont="1" applyFill="1" applyAlignment="1">
      <alignment horizontal="center" vertical="center"/>
    </xf>
    <xf numFmtId="22" fontId="62" fillId="0" borderId="0" xfId="13" applyNumberFormat="1" applyFont="1" applyFill="1">
      <alignment vertical="center"/>
    </xf>
    <xf numFmtId="0" fontId="62" fillId="0" borderId="0" xfId="13" applyFont="1" applyFill="1" applyBorder="1">
      <alignment vertical="center"/>
    </xf>
    <xf numFmtId="0" fontId="62" fillId="0" borderId="0" xfId="13" applyFont="1">
      <alignment vertical="center"/>
    </xf>
    <xf numFmtId="0" fontId="71" fillId="35" borderId="79" xfId="13" applyFont="1" applyFill="1" applyBorder="1">
      <alignment vertical="center"/>
    </xf>
    <xf numFmtId="0" fontId="71" fillId="35" borderId="102" xfId="13" applyFont="1" applyFill="1" applyBorder="1">
      <alignment vertical="center"/>
    </xf>
    <xf numFmtId="0" fontId="71" fillId="35" borderId="80" xfId="13" applyFont="1" applyFill="1" applyBorder="1">
      <alignment vertical="center"/>
    </xf>
    <xf numFmtId="0" fontId="71" fillId="49" borderId="0" xfId="13" applyFont="1" applyFill="1">
      <alignment vertical="center"/>
    </xf>
    <xf numFmtId="0" fontId="132" fillId="49" borderId="0" xfId="13" applyFont="1" applyFill="1">
      <alignment vertical="center"/>
    </xf>
    <xf numFmtId="213" fontId="132" fillId="49" borderId="0" xfId="7" applyNumberFormat="1" applyFont="1" applyFill="1" applyBorder="1" applyAlignment="1">
      <alignment horizontal="center" vertical="center"/>
    </xf>
    <xf numFmtId="0" fontId="196" fillId="37" borderId="0" xfId="13" applyFont="1" applyFill="1" applyBorder="1">
      <alignment vertical="center"/>
    </xf>
    <xf numFmtId="0" fontId="71" fillId="37" borderId="0" xfId="13" applyFont="1" applyFill="1" applyBorder="1">
      <alignment vertical="center"/>
    </xf>
    <xf numFmtId="0" fontId="62" fillId="0" borderId="43" xfId="13" applyFont="1" applyFill="1" applyBorder="1">
      <alignment vertical="center"/>
    </xf>
    <xf numFmtId="0" fontId="58" fillId="49" borderId="79" xfId="13" applyFont="1" applyFill="1" applyBorder="1">
      <alignment vertical="center"/>
    </xf>
    <xf numFmtId="0" fontId="58" fillId="49" borderId="102" xfId="13" applyFont="1" applyFill="1" applyBorder="1">
      <alignment vertical="center"/>
    </xf>
    <xf numFmtId="0" fontId="71" fillId="49" borderId="102" xfId="13" applyFont="1" applyFill="1" applyBorder="1">
      <alignment vertical="center"/>
    </xf>
    <xf numFmtId="0" fontId="71" fillId="49" borderId="80" xfId="13" applyFont="1" applyFill="1" applyBorder="1">
      <alignment vertical="center"/>
    </xf>
    <xf numFmtId="0" fontId="62" fillId="0" borderId="0" xfId="13" applyFont="1" applyBorder="1">
      <alignment vertical="center"/>
    </xf>
    <xf numFmtId="0" fontId="132" fillId="35" borderId="77" xfId="13" applyFont="1" applyFill="1" applyBorder="1" applyAlignment="1">
      <alignment horizontal="left" vertical="center" indent="2"/>
    </xf>
    <xf numFmtId="0" fontId="67" fillId="35" borderId="78" xfId="13" applyFont="1" applyFill="1" applyBorder="1">
      <alignment vertical="center"/>
    </xf>
    <xf numFmtId="0" fontId="67" fillId="35" borderId="69" xfId="13" applyFont="1" applyFill="1" applyBorder="1">
      <alignment vertical="center"/>
    </xf>
    <xf numFmtId="0" fontId="62" fillId="0" borderId="42" xfId="13" applyFont="1" applyFill="1" applyBorder="1">
      <alignment vertical="center"/>
    </xf>
    <xf numFmtId="0" fontId="66" fillId="0" borderId="0" xfId="13" applyFont="1" applyFill="1" applyBorder="1">
      <alignment vertical="center"/>
    </xf>
    <xf numFmtId="0" fontId="64" fillId="0" borderId="0" xfId="13" applyFont="1" applyFill="1" applyBorder="1" applyAlignment="1">
      <alignment horizontal="right" vertical="center"/>
    </xf>
    <xf numFmtId="0" fontId="197" fillId="0" borderId="0" xfId="13" applyFont="1" applyFill="1" applyBorder="1" applyAlignment="1">
      <alignment horizontal="right" vertical="center"/>
    </xf>
    <xf numFmtId="0" fontId="62" fillId="0" borderId="56" xfId="13" applyFont="1" applyFill="1" applyBorder="1">
      <alignment vertical="center"/>
    </xf>
    <xf numFmtId="0" fontId="198" fillId="0" borderId="42" xfId="13" applyFont="1" applyFill="1" applyBorder="1">
      <alignment vertical="center"/>
    </xf>
    <xf numFmtId="0" fontId="199" fillId="0" borderId="51" xfId="13" applyFont="1" applyFill="1" applyBorder="1">
      <alignment vertical="center"/>
    </xf>
    <xf numFmtId="0" fontId="62" fillId="0" borderId="0" xfId="13" applyFont="1" applyFill="1" applyBorder="1" applyAlignment="1">
      <alignment horizontal="left" vertical="center" indent="1"/>
    </xf>
    <xf numFmtId="0" fontId="80" fillId="0" borderId="0" xfId="13" applyFont="1" applyFill="1" applyBorder="1" applyAlignment="1">
      <alignment horizontal="center" vertical="center"/>
    </xf>
    <xf numFmtId="0" fontId="114" fillId="0" borderId="49" xfId="13" applyFont="1" applyBorder="1" applyAlignment="1">
      <alignment horizontal="center" vertical="center"/>
    </xf>
    <xf numFmtId="0" fontId="62" fillId="0" borderId="51" xfId="13" applyFont="1" applyFill="1" applyBorder="1" applyAlignment="1">
      <alignment horizontal="left" vertical="center"/>
    </xf>
    <xf numFmtId="0" fontId="62" fillId="0" borderId="53" xfId="13" applyFont="1" applyFill="1" applyBorder="1" applyAlignment="1">
      <alignment horizontal="centerContinuous" vertical="center"/>
    </xf>
    <xf numFmtId="0" fontId="201" fillId="0" borderId="53" xfId="13" applyFont="1" applyFill="1" applyBorder="1" applyAlignment="1">
      <alignment horizontal="center" vertical="center"/>
    </xf>
    <xf numFmtId="41" fontId="78" fillId="0" borderId="53" xfId="7" applyFont="1" applyFill="1" applyBorder="1">
      <alignment vertical="center"/>
    </xf>
    <xf numFmtId="180" fontId="81" fillId="0" borderId="66" xfId="14" applyNumberFormat="1" applyFont="1" applyFill="1" applyBorder="1" applyAlignment="1">
      <alignment horizontal="center" vertical="center"/>
    </xf>
    <xf numFmtId="0" fontId="65" fillId="0" borderId="0" xfId="13" applyFont="1" applyBorder="1">
      <alignment vertical="center"/>
    </xf>
    <xf numFmtId="41" fontId="78" fillId="0" borderId="52" xfId="7" applyFont="1" applyFill="1" applyBorder="1">
      <alignment vertical="center"/>
    </xf>
    <xf numFmtId="10" fontId="62" fillId="0" borderId="0" xfId="14" applyNumberFormat="1" applyFont="1" applyFill="1" applyBorder="1" applyAlignment="1">
      <alignment horizontal="center" vertical="center"/>
    </xf>
    <xf numFmtId="10" fontId="62" fillId="0" borderId="43" xfId="14" applyNumberFormat="1" applyFont="1" applyFill="1" applyBorder="1" applyAlignment="1">
      <alignment horizontal="center" vertical="center"/>
    </xf>
    <xf numFmtId="10" fontId="62" fillId="0" borderId="79" xfId="14" applyNumberFormat="1" applyFont="1" applyFill="1" applyBorder="1" applyAlignment="1">
      <alignment horizontal="center" vertical="center"/>
    </xf>
    <xf numFmtId="10" fontId="62" fillId="0" borderId="80" xfId="14" applyNumberFormat="1" applyFont="1" applyFill="1" applyBorder="1" applyAlignment="1">
      <alignment horizontal="center" vertical="center"/>
    </xf>
    <xf numFmtId="180" fontId="62" fillId="0" borderId="0" xfId="13" applyNumberFormat="1" applyFont="1" applyBorder="1">
      <alignment vertical="center"/>
    </xf>
    <xf numFmtId="0" fontId="62" fillId="0" borderId="42" xfId="13" applyFont="1" applyBorder="1">
      <alignment vertical="center"/>
    </xf>
    <xf numFmtId="0" fontId="62" fillId="0" borderId="56" xfId="13" applyFont="1" applyBorder="1">
      <alignment vertical="center"/>
    </xf>
    <xf numFmtId="0" fontId="87" fillId="0" borderId="0" xfId="13" applyFont="1" applyFill="1" applyBorder="1">
      <alignment vertical="center"/>
    </xf>
    <xf numFmtId="0" fontId="68" fillId="0" borderId="0" xfId="13" applyFont="1" applyFill="1" applyBorder="1" applyAlignment="1">
      <alignment horizontal="left" vertical="center" indent="1"/>
    </xf>
    <xf numFmtId="0" fontId="62" fillId="0" borderId="51" xfId="13" applyFont="1" applyBorder="1">
      <alignment vertical="center"/>
    </xf>
    <xf numFmtId="0" fontId="202" fillId="0" borderId="103" xfId="13" applyFont="1" applyFill="1" applyBorder="1">
      <alignment vertical="center"/>
    </xf>
    <xf numFmtId="195" fontId="203" fillId="0" borderId="104" xfId="11" applyNumberFormat="1" applyFont="1" applyFill="1" applyBorder="1" applyAlignment="1">
      <alignment horizontal="center" vertical="center"/>
    </xf>
    <xf numFmtId="0" fontId="203" fillId="0" borderId="104" xfId="13" applyFont="1" applyFill="1" applyBorder="1" applyAlignment="1">
      <alignment horizontal="center" vertical="center"/>
    </xf>
    <xf numFmtId="195" fontId="204" fillId="0" borderId="105" xfId="7" applyNumberFormat="1" applyFont="1" applyFill="1" applyBorder="1" applyAlignment="1">
      <alignment horizontal="center" vertical="center"/>
    </xf>
    <xf numFmtId="0" fontId="62" fillId="0" borderId="106" xfId="13" applyFont="1" applyFill="1" applyBorder="1">
      <alignment vertical="center"/>
    </xf>
    <xf numFmtId="0" fontId="62" fillId="0" borderId="107" xfId="13" applyFont="1" applyFill="1" applyBorder="1" applyAlignment="1">
      <alignment horizontal="left" vertical="center"/>
    </xf>
    <xf numFmtId="198" fontId="62" fillId="0" borderId="108" xfId="13" applyNumberFormat="1" applyFont="1" applyFill="1" applyBorder="1" applyAlignment="1">
      <alignment horizontal="left" vertical="center" indent="1"/>
    </xf>
    <xf numFmtId="0" fontId="62" fillId="0" borderId="55" xfId="13" applyFont="1" applyFill="1" applyBorder="1" applyAlignment="1">
      <alignment horizontal="centerContinuous" vertical="center"/>
    </xf>
    <xf numFmtId="189" fontId="95" fillId="0" borderId="0" xfId="7" applyNumberFormat="1" applyFont="1" applyFill="1" applyBorder="1" applyAlignment="1" applyProtection="1">
      <alignment horizontal="right" vertical="center"/>
      <protection hidden="1"/>
    </xf>
    <xf numFmtId="0" fontId="62" fillId="0" borderId="109" xfId="13" applyFont="1" applyFill="1" applyBorder="1" applyAlignment="1">
      <alignment horizontal="centerContinuous" vertical="center"/>
    </xf>
    <xf numFmtId="198" fontId="205" fillId="0" borderId="108" xfId="13" applyNumberFormat="1" applyFont="1" applyFill="1" applyBorder="1" applyAlignment="1">
      <alignment horizontal="right" vertical="center"/>
    </xf>
    <xf numFmtId="198" fontId="68" fillId="0" borderId="109" xfId="13" applyNumberFormat="1" applyFont="1" applyFill="1" applyBorder="1" applyAlignment="1">
      <alignment horizontal="center" vertical="center"/>
    </xf>
    <xf numFmtId="198" fontId="68" fillId="0" borderId="55" xfId="13" applyNumberFormat="1" applyFont="1" applyFill="1" applyBorder="1" applyAlignment="1">
      <alignment horizontal="center" vertical="center"/>
    </xf>
    <xf numFmtId="10" fontId="68" fillId="0" borderId="109" xfId="14" applyNumberFormat="1" applyFont="1" applyFill="1" applyBorder="1" applyAlignment="1">
      <alignment horizontal="center" vertical="center"/>
    </xf>
    <xf numFmtId="198" fontId="68" fillId="0" borderId="108" xfId="13" applyNumberFormat="1" applyFont="1" applyFill="1" applyBorder="1" applyAlignment="1">
      <alignment horizontal="center" vertical="center"/>
    </xf>
    <xf numFmtId="10" fontId="68" fillId="0" borderId="109" xfId="14" applyNumberFormat="1" applyFont="1" applyFill="1" applyBorder="1" applyAlignment="1">
      <alignment horizontal="left" vertical="center"/>
    </xf>
    <xf numFmtId="10" fontId="68" fillId="0" borderId="0" xfId="14" applyNumberFormat="1" applyFont="1" applyFill="1" applyBorder="1" applyAlignment="1">
      <alignment horizontal="center" vertical="center"/>
    </xf>
    <xf numFmtId="10" fontId="68" fillId="0" borderId="43" xfId="14" applyNumberFormat="1" applyFont="1" applyFill="1" applyBorder="1" applyAlignment="1">
      <alignment horizontal="center" vertical="center"/>
    </xf>
    <xf numFmtId="10" fontId="68" fillId="0" borderId="42" xfId="14" applyNumberFormat="1" applyFont="1" applyFill="1" applyBorder="1" applyAlignment="1">
      <alignment horizontal="center" vertical="center"/>
    </xf>
    <xf numFmtId="198" fontId="64" fillId="0" borderId="52" xfId="13" applyNumberFormat="1" applyFont="1" applyFill="1" applyBorder="1" applyAlignment="1">
      <alignment horizontal="left" vertical="center"/>
    </xf>
    <xf numFmtId="198" fontId="64" fillId="0" borderId="66" xfId="13" applyNumberFormat="1" applyFont="1" applyFill="1" applyBorder="1" applyAlignment="1">
      <alignment horizontal="center" vertical="center"/>
    </xf>
    <xf numFmtId="187" fontId="120" fillId="0" borderId="63" xfId="14" applyNumberFormat="1" applyFont="1" applyFill="1" applyBorder="1" applyAlignment="1">
      <alignment horizontal="right" vertical="center"/>
    </xf>
    <xf numFmtId="10" fontId="68" fillId="0" borderId="56" xfId="14" applyNumberFormat="1" applyFont="1" applyFill="1" applyBorder="1" applyAlignment="1">
      <alignment horizontal="center" vertical="center"/>
    </xf>
    <xf numFmtId="198" fontId="64" fillId="0" borderId="42" xfId="13" applyNumberFormat="1" applyFont="1" applyBorder="1">
      <alignment vertical="center"/>
    </xf>
    <xf numFmtId="198" fontId="62" fillId="0" borderId="0" xfId="13" applyNumberFormat="1" applyFont="1" applyBorder="1">
      <alignment vertical="center"/>
    </xf>
    <xf numFmtId="198" fontId="64" fillId="0" borderId="0" xfId="13" applyNumberFormat="1" applyFont="1" applyBorder="1" applyAlignment="1">
      <alignment horizontal="center" vertical="center"/>
    </xf>
    <xf numFmtId="198" fontId="64" fillId="0" borderId="0" xfId="13" applyNumberFormat="1" applyFont="1" applyBorder="1">
      <alignment vertical="center"/>
    </xf>
    <xf numFmtId="198" fontId="64" fillId="0" borderId="56" xfId="13" applyNumberFormat="1" applyFont="1" applyBorder="1">
      <alignment vertical="center"/>
    </xf>
    <xf numFmtId="213" fontId="64" fillId="0" borderId="0" xfId="7" applyNumberFormat="1" applyFont="1" applyBorder="1" applyAlignment="1">
      <alignment vertical="center"/>
    </xf>
    <xf numFmtId="214" fontId="64" fillId="0" borderId="110" xfId="13" applyNumberFormat="1" applyFont="1" applyFill="1" applyBorder="1" applyAlignment="1">
      <alignment horizontal="left" vertical="center" indent="1"/>
    </xf>
    <xf numFmtId="199" fontId="95" fillId="0" borderId="0" xfId="7" applyNumberFormat="1" applyFont="1" applyFill="1" applyBorder="1" applyAlignment="1">
      <alignment horizontal="center" vertical="center"/>
    </xf>
    <xf numFmtId="181" fontId="94" fillId="0" borderId="0" xfId="10" applyNumberFormat="1" applyFont="1" applyFill="1" applyBorder="1">
      <alignment vertical="center"/>
    </xf>
    <xf numFmtId="215" fontId="95" fillId="0" borderId="0" xfId="13" applyNumberFormat="1" applyFont="1" applyFill="1" applyBorder="1" applyAlignment="1">
      <alignment horizontal="center" vertical="center"/>
    </xf>
    <xf numFmtId="216" fontId="116" fillId="0" borderId="0" xfId="9" applyNumberFormat="1" applyFont="1" applyFill="1" applyBorder="1" applyAlignment="1">
      <alignment horizontal="center" vertical="center"/>
    </xf>
    <xf numFmtId="41" fontId="102" fillId="0" borderId="111" xfId="7" applyFont="1" applyFill="1" applyBorder="1" applyAlignment="1">
      <alignment horizontal="center" vertical="center"/>
    </xf>
    <xf numFmtId="178" fontId="62" fillId="0" borderId="107" xfId="13" applyNumberFormat="1" applyFont="1" applyFill="1" applyBorder="1" applyAlignment="1">
      <alignment horizontal="left" vertical="center"/>
    </xf>
    <xf numFmtId="218" fontId="62" fillId="0" borderId="0" xfId="14" applyNumberFormat="1" applyFont="1" applyFill="1" applyBorder="1" applyAlignment="1">
      <alignment horizontal="right" vertical="center"/>
    </xf>
    <xf numFmtId="218" fontId="62" fillId="0" borderId="43" xfId="14" applyNumberFormat="1" applyFont="1" applyFill="1" applyBorder="1" applyAlignment="1">
      <alignment horizontal="right" vertical="center"/>
    </xf>
    <xf numFmtId="218" fontId="62" fillId="0" borderId="42" xfId="14" applyNumberFormat="1" applyFont="1" applyFill="1" applyBorder="1" applyAlignment="1">
      <alignment horizontal="right" vertical="center"/>
    </xf>
    <xf numFmtId="218" fontId="62" fillId="0" borderId="56" xfId="14" applyNumberFormat="1" applyFont="1" applyFill="1" applyBorder="1" applyAlignment="1">
      <alignment horizontal="right" vertical="center"/>
    </xf>
    <xf numFmtId="178" fontId="64" fillId="0" borderId="51" xfId="13" applyNumberFormat="1" applyFont="1" applyFill="1" applyBorder="1" applyAlignment="1">
      <alignment horizontal="right" vertical="center"/>
    </xf>
    <xf numFmtId="217" fontId="91" fillId="0" borderId="63" xfId="7" applyNumberFormat="1" applyFont="1" applyFill="1" applyBorder="1" applyAlignment="1">
      <alignment horizontal="center" vertical="center"/>
    </xf>
    <xf numFmtId="187" fontId="62" fillId="0" borderId="63" xfId="14" applyNumberFormat="1" applyFont="1" applyFill="1" applyBorder="1" applyAlignment="1">
      <alignment horizontal="right" vertical="center"/>
    </xf>
    <xf numFmtId="219" fontId="64" fillId="0" borderId="51" xfId="7" applyNumberFormat="1" applyFont="1" applyFill="1" applyBorder="1" applyAlignment="1">
      <alignment horizontal="center" vertical="center"/>
    </xf>
    <xf numFmtId="213" fontId="64" fillId="0" borderId="0" xfId="7" applyNumberFormat="1" applyFont="1" applyFill="1" applyBorder="1" applyAlignment="1">
      <alignment horizontal="right" vertical="center"/>
    </xf>
    <xf numFmtId="0" fontId="120" fillId="0" borderId="0" xfId="13" applyFont="1" applyBorder="1" applyAlignment="1">
      <alignment horizontal="center" vertical="center"/>
    </xf>
    <xf numFmtId="0" fontId="62" fillId="0" borderId="0" xfId="13" applyFont="1" applyBorder="1" applyAlignment="1">
      <alignment horizontal="center" vertical="center"/>
    </xf>
    <xf numFmtId="215" fontId="197" fillId="0" borderId="0" xfId="13" applyNumberFormat="1" applyFont="1" applyFill="1" applyBorder="1" applyAlignment="1">
      <alignment horizontal="center" vertical="center"/>
    </xf>
    <xf numFmtId="0" fontId="68" fillId="0" borderId="0" xfId="13" applyFont="1" applyFill="1" applyBorder="1" applyAlignment="1">
      <alignment horizontal="right" vertical="center" indent="1"/>
    </xf>
    <xf numFmtId="0" fontId="71" fillId="35" borderId="0" xfId="13" applyFont="1" applyFill="1">
      <alignment vertical="center"/>
    </xf>
    <xf numFmtId="214" fontId="64" fillId="0" borderId="116" xfId="13" applyNumberFormat="1" applyFont="1" applyFill="1" applyBorder="1" applyAlignment="1">
      <alignment horizontal="left" vertical="center" indent="1"/>
    </xf>
    <xf numFmtId="214" fontId="64" fillId="0" borderId="117" xfId="13" quotePrefix="1" applyNumberFormat="1" applyFont="1" applyFill="1" applyBorder="1" applyAlignment="1">
      <alignment vertical="center"/>
    </xf>
    <xf numFmtId="181" fontId="62" fillId="0" borderId="117" xfId="10" applyNumberFormat="1" applyFont="1" applyFill="1" applyBorder="1">
      <alignment vertical="center"/>
    </xf>
    <xf numFmtId="216" fontId="87" fillId="0" borderId="118" xfId="9" applyNumberFormat="1" applyFont="1" applyFill="1" applyBorder="1" applyAlignment="1">
      <alignment horizontal="center" vertical="center"/>
    </xf>
    <xf numFmtId="41" fontId="86" fillId="0" borderId="119" xfId="7" applyFont="1" applyFill="1" applyBorder="1" applyAlignment="1">
      <alignment horizontal="center" vertical="center"/>
    </xf>
    <xf numFmtId="214" fontId="64" fillId="0" borderId="0" xfId="13" quotePrefix="1" applyNumberFormat="1" applyFont="1" applyFill="1" applyBorder="1" applyAlignment="1">
      <alignment vertical="center"/>
    </xf>
    <xf numFmtId="181" fontId="94" fillId="0" borderId="120" xfId="10" applyNumberFormat="1" applyFont="1" applyFill="1" applyBorder="1">
      <alignment vertical="center"/>
    </xf>
    <xf numFmtId="216" fontId="87" fillId="0" borderId="0" xfId="9" applyNumberFormat="1" applyFont="1" applyFill="1" applyBorder="1" applyAlignment="1">
      <alignment horizontal="center" vertical="center"/>
    </xf>
    <xf numFmtId="41" fontId="86" fillId="0" borderId="111" xfId="7" applyFont="1" applyFill="1" applyBorder="1" applyAlignment="1">
      <alignment horizontal="center" vertical="center"/>
    </xf>
    <xf numFmtId="195" fontId="208" fillId="0" borderId="0" xfId="14" applyNumberFormat="1" applyFont="1" applyFill="1" applyBorder="1" applyAlignment="1">
      <alignment horizontal="right" vertical="center"/>
    </xf>
    <xf numFmtId="209" fontId="86" fillId="0" borderId="42" xfId="13" applyNumberFormat="1" applyFont="1" applyBorder="1">
      <alignment vertical="center"/>
    </xf>
    <xf numFmtId="0" fontId="209" fillId="0" borderId="0" xfId="13" applyFont="1" applyBorder="1">
      <alignment vertical="center"/>
    </xf>
    <xf numFmtId="14" fontId="209" fillId="0" borderId="0" xfId="13" applyNumberFormat="1" applyFont="1" applyFill="1" applyBorder="1" applyAlignment="1">
      <alignment horizontal="right" vertical="center"/>
    </xf>
    <xf numFmtId="181" fontId="62" fillId="0" borderId="121" xfId="10" applyNumberFormat="1" applyFont="1" applyFill="1" applyBorder="1">
      <alignment vertical="center"/>
    </xf>
    <xf numFmtId="41" fontId="62" fillId="0" borderId="0" xfId="10" applyFont="1" applyBorder="1">
      <alignment vertical="center"/>
    </xf>
    <xf numFmtId="0" fontId="68" fillId="0" borderId="110" xfId="13" applyFont="1" applyFill="1" applyBorder="1" applyAlignment="1">
      <alignment horizontal="left" vertical="center" indent="3"/>
    </xf>
    <xf numFmtId="0" fontId="68" fillId="0" borderId="0" xfId="13" applyFont="1" applyFill="1" applyBorder="1" applyAlignment="1">
      <alignment horizontal="right" vertical="center"/>
    </xf>
    <xf numFmtId="0" fontId="68" fillId="0" borderId="0" xfId="13" applyFont="1" applyFill="1" applyBorder="1" applyAlignment="1">
      <alignment vertical="center"/>
    </xf>
    <xf numFmtId="216" fontId="116" fillId="0" borderId="122" xfId="9" applyNumberFormat="1" applyFont="1" applyFill="1" applyBorder="1" applyAlignment="1">
      <alignment horizontal="center" vertical="center"/>
    </xf>
    <xf numFmtId="0" fontId="210" fillId="0" borderId="122" xfId="13" applyFont="1" applyFill="1" applyBorder="1" applyAlignment="1">
      <alignment horizontal="right" vertical="center"/>
    </xf>
    <xf numFmtId="220" fontId="95" fillId="0" borderId="122" xfId="13" applyNumberFormat="1" applyFont="1" applyFill="1" applyBorder="1" applyAlignment="1">
      <alignment horizontal="center" vertical="center"/>
    </xf>
    <xf numFmtId="0" fontId="62" fillId="0" borderId="111" xfId="13" applyFont="1" applyFill="1" applyBorder="1">
      <alignment vertical="center"/>
    </xf>
    <xf numFmtId="0" fontId="63" fillId="0" borderId="0" xfId="13" applyFont="1" applyBorder="1">
      <alignment vertical="center"/>
    </xf>
    <xf numFmtId="0" fontId="63" fillId="0" borderId="56" xfId="13" applyFont="1" applyBorder="1">
      <alignment vertical="center"/>
    </xf>
    <xf numFmtId="0" fontId="202" fillId="0" borderId="104" xfId="13" applyFont="1" applyFill="1" applyBorder="1">
      <alignment vertical="center"/>
    </xf>
    <xf numFmtId="0" fontId="212" fillId="0" borderId="123" xfId="13" applyFont="1" applyFill="1" applyBorder="1" applyAlignment="1">
      <alignment horizontal="right" vertical="center"/>
    </xf>
    <xf numFmtId="0" fontId="62" fillId="0" borderId="104" xfId="13" applyFont="1" applyFill="1" applyBorder="1">
      <alignment vertical="center"/>
    </xf>
    <xf numFmtId="0" fontId="62" fillId="0" borderId="105" xfId="13" applyFont="1" applyFill="1" applyBorder="1">
      <alignment vertical="center"/>
    </xf>
    <xf numFmtId="187" fontId="62" fillId="5" borderId="63" xfId="14" applyNumberFormat="1" applyFont="1" applyFill="1" applyBorder="1" applyAlignment="1">
      <alignment horizontal="right" vertical="center"/>
    </xf>
    <xf numFmtId="0" fontId="86" fillId="0" borderId="51" xfId="13" applyFont="1" applyBorder="1">
      <alignment vertical="center"/>
    </xf>
    <xf numFmtId="214" fontId="64" fillId="0" borderId="110" xfId="13" applyNumberFormat="1" applyFont="1" applyFill="1" applyBorder="1" applyAlignment="1">
      <alignment horizontal="left" vertical="center" indent="2"/>
    </xf>
    <xf numFmtId="214" fontId="64" fillId="0" borderId="0" xfId="13" applyNumberFormat="1" applyFont="1" applyFill="1" applyBorder="1" applyAlignment="1">
      <alignment horizontal="left" vertical="center" indent="2"/>
    </xf>
    <xf numFmtId="0" fontId="209" fillId="0" borderId="0" xfId="13" applyFont="1" applyFill="1" applyBorder="1">
      <alignment vertical="center"/>
    </xf>
    <xf numFmtId="214" fontId="214" fillId="0" borderId="110" xfId="13" applyNumberFormat="1" applyFont="1" applyFill="1" applyBorder="1" applyAlignment="1">
      <alignment horizontal="left" vertical="center" indent="8"/>
    </xf>
    <xf numFmtId="214" fontId="214" fillId="0" borderId="0" xfId="13" applyNumberFormat="1" applyFont="1" applyFill="1" applyBorder="1" applyAlignment="1">
      <alignment horizontal="left" vertical="center" indent="2"/>
    </xf>
    <xf numFmtId="0" fontId="215" fillId="0" borderId="0" xfId="13" applyFont="1" applyFill="1" applyBorder="1" applyAlignment="1">
      <alignment horizontal="right" vertical="center"/>
    </xf>
    <xf numFmtId="0" fontId="216" fillId="0" borderId="0" xfId="13" applyFont="1" applyFill="1" applyBorder="1">
      <alignment vertical="center"/>
    </xf>
    <xf numFmtId="195" fontId="95" fillId="0" borderId="0" xfId="11" applyNumberFormat="1" applyFont="1" applyFill="1" applyBorder="1" applyAlignment="1">
      <alignment vertical="center"/>
    </xf>
    <xf numFmtId="195" fontId="98" fillId="0" borderId="111" xfId="14" applyNumberFormat="1" applyFont="1" applyFill="1" applyBorder="1" applyAlignment="1">
      <alignment horizontal="right" vertical="center"/>
    </xf>
    <xf numFmtId="222" fontId="64" fillId="0" borderId="0" xfId="13" applyNumberFormat="1" applyFont="1" applyFill="1" applyBorder="1" applyAlignment="1">
      <alignment horizontal="right" vertical="center"/>
    </xf>
    <xf numFmtId="0" fontId="80" fillId="0" borderId="104" xfId="13" applyFont="1" applyFill="1" applyBorder="1" applyAlignment="1">
      <alignment horizontal="center" vertical="center"/>
    </xf>
    <xf numFmtId="0" fontId="212" fillId="0" borderId="127" xfId="13" applyFont="1" applyFill="1" applyBorder="1" applyAlignment="1">
      <alignment horizontal="right" vertical="center"/>
    </xf>
    <xf numFmtId="0" fontId="211" fillId="0" borderId="0" xfId="13" applyFont="1" applyBorder="1">
      <alignment vertical="center"/>
    </xf>
    <xf numFmtId="0" fontId="211" fillId="0" borderId="0" xfId="13" applyFont="1" applyFill="1" applyBorder="1">
      <alignment vertical="center"/>
    </xf>
    <xf numFmtId="0" fontId="211" fillId="0" borderId="0" xfId="13" applyFont="1" applyFill="1" applyBorder="1" applyAlignment="1">
      <alignment horizontal="right" vertical="center"/>
    </xf>
    <xf numFmtId="195" fontId="203" fillId="0" borderId="110" xfId="11" applyNumberFormat="1" applyFont="1" applyFill="1" applyBorder="1" applyAlignment="1">
      <alignment horizontal="center" vertical="center"/>
    </xf>
    <xf numFmtId="0" fontId="83" fillId="0" borderId="0" xfId="13" applyFont="1" applyFill="1" applyBorder="1" applyAlignment="1">
      <alignment horizontal="center" vertical="center"/>
    </xf>
    <xf numFmtId="195" fontId="114" fillId="0" borderId="0" xfId="11" applyNumberFormat="1" applyFont="1" applyFill="1" applyBorder="1" applyAlignment="1">
      <alignment horizontal="center" vertical="center"/>
    </xf>
    <xf numFmtId="195" fontId="83" fillId="0" borderId="0" xfId="11" applyNumberFormat="1" applyFont="1" applyFill="1" applyBorder="1" applyAlignment="1">
      <alignment horizontal="center" vertical="center"/>
    </xf>
    <xf numFmtId="195" fontId="203" fillId="0" borderId="0" xfId="11" applyNumberFormat="1" applyFont="1" applyFill="1" applyBorder="1" applyAlignment="1">
      <alignment horizontal="center" vertical="center"/>
    </xf>
    <xf numFmtId="195" fontId="204" fillId="0" borderId="111" xfId="11" applyNumberFormat="1" applyFont="1" applyFill="1" applyBorder="1" applyAlignment="1">
      <alignment horizontal="right" vertical="center"/>
    </xf>
    <xf numFmtId="195" fontId="217" fillId="0" borderId="129" xfId="14" applyNumberFormat="1" applyFont="1" applyFill="1" applyBorder="1" applyAlignment="1">
      <alignment horizontal="right" vertical="center"/>
    </xf>
    <xf numFmtId="0" fontId="218" fillId="0" borderId="0" xfId="13" applyFont="1" applyFill="1" applyBorder="1" applyAlignment="1">
      <alignment horizontal="left" vertical="center"/>
    </xf>
    <xf numFmtId="216" fontId="64" fillId="0" borderId="0" xfId="9" applyNumberFormat="1" applyFont="1" applyFill="1" applyBorder="1" applyAlignment="1">
      <alignment horizontal="center" vertical="center"/>
    </xf>
    <xf numFmtId="41" fontId="102" fillId="0" borderId="111" xfId="10" applyNumberFormat="1" applyFont="1" applyFill="1" applyBorder="1">
      <alignment vertical="center"/>
    </xf>
    <xf numFmtId="195" fontId="219" fillId="0" borderId="129" xfId="14" applyNumberFormat="1" applyFont="1" applyFill="1" applyBorder="1" applyAlignment="1">
      <alignment horizontal="right" vertical="center"/>
    </xf>
    <xf numFmtId="223" fontId="95" fillId="31" borderId="0" xfId="13" applyNumberFormat="1" applyFont="1" applyFill="1" applyBorder="1" applyAlignment="1">
      <alignment horizontal="center" vertical="center"/>
    </xf>
    <xf numFmtId="0" fontId="64" fillId="0" borderId="0" xfId="13" applyFont="1" applyFill="1" applyAlignment="1">
      <alignment horizontal="right" vertical="center"/>
    </xf>
    <xf numFmtId="222" fontId="95" fillId="0" borderId="0" xfId="13" applyNumberFormat="1" applyFont="1" applyFill="1" applyBorder="1" applyAlignment="1">
      <alignment horizontal="right" vertical="center"/>
    </xf>
    <xf numFmtId="0" fontId="220" fillId="0" borderId="0" xfId="13" applyFont="1" applyFill="1" applyBorder="1" applyAlignment="1">
      <alignment horizontal="right" vertical="center"/>
    </xf>
    <xf numFmtId="215" fontId="221" fillId="0" borderId="0" xfId="13" applyNumberFormat="1" applyFont="1" applyFill="1" applyBorder="1" applyAlignment="1">
      <alignment horizontal="center" vertical="center"/>
    </xf>
    <xf numFmtId="224" fontId="91" fillId="0" borderId="63" xfId="7" applyNumberFormat="1" applyFont="1" applyFill="1" applyBorder="1" applyAlignment="1">
      <alignment horizontal="center" vertical="center"/>
    </xf>
    <xf numFmtId="225" fontId="95" fillId="0" borderId="0" xfId="13" applyNumberFormat="1" applyFont="1" applyFill="1" applyBorder="1" applyAlignment="1">
      <alignment horizontal="left" vertical="center" indent="1"/>
    </xf>
    <xf numFmtId="0" fontId="196" fillId="35" borderId="0" xfId="13" applyFont="1" applyFill="1">
      <alignment vertical="center"/>
    </xf>
    <xf numFmtId="41" fontId="65" fillId="0" borderId="0" xfId="7" applyFont="1" applyFill="1" applyBorder="1">
      <alignment vertical="center"/>
    </xf>
    <xf numFmtId="214" fontId="64" fillId="0" borderId="130" xfId="13" applyNumberFormat="1" applyFont="1" applyFill="1" applyBorder="1" applyAlignment="1">
      <alignment horizontal="left" vertical="center" indent="1"/>
    </xf>
    <xf numFmtId="214" fontId="64" fillId="0" borderId="131" xfId="13" applyNumberFormat="1" applyFont="1" applyFill="1" applyBorder="1" applyAlignment="1">
      <alignment horizontal="left" vertical="center" indent="2"/>
    </xf>
    <xf numFmtId="215" fontId="87" fillId="0" borderId="131" xfId="13" applyNumberFormat="1" applyFont="1" applyFill="1" applyBorder="1" applyAlignment="1">
      <alignment horizontal="center" vertical="center"/>
    </xf>
    <xf numFmtId="215" fontId="221" fillId="0" borderId="131" xfId="13" applyNumberFormat="1" applyFont="1" applyFill="1" applyBorder="1" applyAlignment="1">
      <alignment horizontal="center" vertical="center"/>
    </xf>
    <xf numFmtId="216" fontId="197" fillId="0" borderId="131" xfId="9" applyNumberFormat="1" applyFont="1" applyFill="1" applyBorder="1" applyAlignment="1">
      <alignment horizontal="center" vertical="center"/>
    </xf>
    <xf numFmtId="41" fontId="102" fillId="0" borderId="119" xfId="10" applyNumberFormat="1" applyFont="1" applyFill="1" applyBorder="1">
      <alignment vertical="center"/>
    </xf>
    <xf numFmtId="195" fontId="219" fillId="0" borderId="132" xfId="14" applyNumberFormat="1" applyFont="1" applyFill="1" applyBorder="1" applyAlignment="1">
      <alignment horizontal="right" vertical="center"/>
    </xf>
    <xf numFmtId="0" fontId="68" fillId="0" borderId="116" xfId="13" applyFont="1" applyFill="1" applyBorder="1" applyAlignment="1">
      <alignment horizontal="left" vertical="center" indent="6"/>
    </xf>
    <xf numFmtId="0" fontId="68" fillId="0" borderId="117" xfId="13" applyFont="1" applyFill="1" applyBorder="1" applyAlignment="1">
      <alignment horizontal="right" vertical="center"/>
    </xf>
    <xf numFmtId="0" fontId="68" fillId="0" borderId="117" xfId="13" applyFont="1" applyFill="1" applyBorder="1" applyAlignment="1">
      <alignment vertical="center"/>
    </xf>
    <xf numFmtId="181" fontId="64" fillId="0" borderId="117" xfId="10" applyNumberFormat="1" applyFont="1" applyFill="1" applyBorder="1">
      <alignment vertical="center"/>
    </xf>
    <xf numFmtId="0" fontId="62" fillId="0" borderId="133" xfId="13" applyFont="1" applyFill="1" applyBorder="1">
      <alignment vertical="center"/>
    </xf>
    <xf numFmtId="181" fontId="64" fillId="0" borderId="0" xfId="10" applyNumberFormat="1" applyFont="1" applyFill="1" applyBorder="1">
      <alignment vertical="center"/>
    </xf>
    <xf numFmtId="178" fontId="64" fillId="0" borderId="52" xfId="13" applyNumberFormat="1" applyFont="1" applyFill="1" applyBorder="1" applyAlignment="1">
      <alignment horizontal="right" vertical="center"/>
    </xf>
    <xf numFmtId="217" fontId="91" fillId="0" borderId="66" xfId="7" applyNumberFormat="1" applyFont="1" applyFill="1" applyBorder="1" applyAlignment="1">
      <alignment horizontal="center" vertical="center"/>
    </xf>
    <xf numFmtId="219" fontId="64" fillId="0" borderId="52" xfId="7" applyNumberFormat="1" applyFont="1" applyFill="1" applyBorder="1" applyAlignment="1">
      <alignment horizontal="center" vertical="center"/>
    </xf>
    <xf numFmtId="0" fontId="64" fillId="0" borderId="0" xfId="13" applyFont="1" applyFill="1" applyBorder="1">
      <alignment vertical="center"/>
    </xf>
    <xf numFmtId="0" fontId="68" fillId="0" borderId="136" xfId="13" applyFont="1" applyFill="1" applyBorder="1" applyAlignment="1">
      <alignment horizontal="left" vertical="center"/>
    </xf>
    <xf numFmtId="0" fontId="68" fillId="0" borderId="137" xfId="13" applyFont="1" applyFill="1" applyBorder="1" applyAlignment="1">
      <alignment horizontal="right" vertical="center"/>
    </xf>
    <xf numFmtId="0" fontId="68" fillId="0" borderId="137" xfId="13" applyFont="1" applyFill="1" applyBorder="1" applyAlignment="1">
      <alignment horizontal="right" vertical="center" indent="2"/>
    </xf>
    <xf numFmtId="220" fontId="95" fillId="31" borderId="137" xfId="13" applyNumberFormat="1" applyFont="1" applyFill="1" applyBorder="1" applyAlignment="1">
      <alignment horizontal="center" vertical="center"/>
    </xf>
    <xf numFmtId="195" fontId="95" fillId="0" borderId="137" xfId="11" applyNumberFormat="1" applyFont="1" applyFill="1" applyBorder="1" applyAlignment="1">
      <alignment vertical="center"/>
    </xf>
    <xf numFmtId="195" fontId="95" fillId="0" borderId="138" xfId="11" applyNumberFormat="1" applyFont="1" applyFill="1" applyBorder="1" applyAlignment="1">
      <alignment horizontal="center" vertical="center"/>
    </xf>
    <xf numFmtId="178" fontId="64" fillId="2" borderId="48" xfId="13" applyNumberFormat="1" applyFont="1" applyFill="1" applyBorder="1" applyAlignment="1">
      <alignment horizontal="left" vertical="center"/>
    </xf>
    <xf numFmtId="41" fontId="62" fillId="2" borderId="0" xfId="7" applyFont="1" applyFill="1" applyBorder="1">
      <alignment vertical="center"/>
    </xf>
    <xf numFmtId="217" fontId="91" fillId="2" borderId="62" xfId="7" applyNumberFormat="1" applyFont="1" applyFill="1" applyBorder="1" applyAlignment="1">
      <alignment horizontal="center" vertical="center"/>
    </xf>
    <xf numFmtId="218" fontId="62" fillId="2" borderId="62" xfId="14" applyNumberFormat="1" applyFont="1" applyFill="1" applyBorder="1" applyAlignment="1">
      <alignment horizontal="right" vertical="center"/>
    </xf>
    <xf numFmtId="0" fontId="62" fillId="2" borderId="0" xfId="13" applyFont="1" applyFill="1" applyBorder="1">
      <alignment vertical="center"/>
    </xf>
    <xf numFmtId="227" fontId="98" fillId="2" borderId="62" xfId="14" applyNumberFormat="1" applyFont="1" applyFill="1" applyBorder="1" applyAlignment="1">
      <alignment horizontal="right" vertical="center"/>
    </xf>
    <xf numFmtId="218" fontId="62" fillId="0" borderId="108" xfId="14" applyNumberFormat="1" applyFont="1" applyFill="1" applyBorder="1" applyAlignment="1">
      <alignment horizontal="right" vertical="center"/>
    </xf>
    <xf numFmtId="218" fontId="62" fillId="0" borderId="109" xfId="14" applyNumberFormat="1" applyFont="1" applyFill="1" applyBorder="1" applyAlignment="1">
      <alignment horizontal="right" vertical="center"/>
    </xf>
    <xf numFmtId="0" fontId="209" fillId="0" borderId="42" xfId="13" applyFont="1" applyFill="1" applyBorder="1">
      <alignment vertical="center"/>
    </xf>
    <xf numFmtId="0" fontId="209" fillId="0" borderId="51" xfId="13" applyFont="1" applyFill="1" applyBorder="1">
      <alignment vertical="center"/>
    </xf>
    <xf numFmtId="0" fontId="66" fillId="0" borderId="51" xfId="13" applyFont="1" applyFill="1" applyBorder="1">
      <alignment vertical="center"/>
    </xf>
    <xf numFmtId="228" fontId="114" fillId="0" borderId="0" xfId="13" applyNumberFormat="1" applyFont="1" applyFill="1" applyBorder="1" applyAlignment="1">
      <alignment horizontal="left" vertical="center" indent="1"/>
    </xf>
    <xf numFmtId="228" fontId="114" fillId="0" borderId="63" xfId="13" applyNumberFormat="1" applyFont="1" applyFill="1" applyBorder="1" applyAlignment="1">
      <alignment horizontal="left" vertical="center" indent="1"/>
    </xf>
    <xf numFmtId="178" fontId="64" fillId="0" borderId="52" xfId="13" applyNumberFormat="1" applyFont="1" applyFill="1" applyBorder="1" applyAlignment="1">
      <alignment horizontal="left" vertical="center"/>
    </xf>
    <xf numFmtId="41" fontId="62" fillId="0" borderId="53" xfId="7" applyFont="1" applyFill="1" applyBorder="1">
      <alignment vertical="center"/>
    </xf>
    <xf numFmtId="229" fontId="62" fillId="0" borderId="66" xfId="7" applyNumberFormat="1" applyFont="1" applyFill="1" applyBorder="1" applyAlignment="1">
      <alignment horizontal="left" vertical="center"/>
    </xf>
    <xf numFmtId="10" fontId="62" fillId="0" borderId="66" xfId="14" applyNumberFormat="1" applyFont="1" applyFill="1" applyBorder="1" applyAlignment="1">
      <alignment vertical="center"/>
    </xf>
    <xf numFmtId="227" fontId="115" fillId="0" borderId="63" xfId="14" applyNumberFormat="1" applyFont="1" applyFill="1" applyBorder="1" applyAlignment="1">
      <alignment horizontal="right" vertical="center"/>
    </xf>
    <xf numFmtId="0" fontId="62" fillId="0" borderId="53" xfId="13" applyFont="1" applyFill="1" applyBorder="1">
      <alignment vertical="center"/>
    </xf>
    <xf numFmtId="41" fontId="64" fillId="0" borderId="53" xfId="7" applyFont="1" applyFill="1" applyBorder="1">
      <alignment vertical="center"/>
    </xf>
    <xf numFmtId="0" fontId="62" fillId="0" borderId="59" xfId="13" applyFont="1" applyFill="1" applyBorder="1">
      <alignment vertical="center"/>
    </xf>
    <xf numFmtId="0" fontId="62" fillId="0" borderId="51" xfId="13" applyFont="1" applyFill="1" applyBorder="1">
      <alignment vertical="center"/>
    </xf>
    <xf numFmtId="0" fontId="64" fillId="0" borderId="51" xfId="13" applyFont="1" applyFill="1" applyBorder="1" applyAlignment="1">
      <alignment horizontal="left" vertical="center" indent="3"/>
    </xf>
    <xf numFmtId="0" fontId="64" fillId="0" borderId="0" xfId="13" applyFont="1" applyFill="1" applyBorder="1" applyAlignment="1">
      <alignment horizontal="left" vertical="center" indent="3"/>
    </xf>
    <xf numFmtId="187" fontId="116" fillId="0" borderId="0" xfId="13" applyNumberFormat="1" applyFont="1" applyFill="1" applyBorder="1" applyAlignment="1">
      <alignment horizontal="center" vertical="center"/>
    </xf>
    <xf numFmtId="187" fontId="116" fillId="0" borderId="63" xfId="13" applyNumberFormat="1" applyFont="1" applyFill="1" applyBorder="1" applyAlignment="1">
      <alignment horizontal="center" vertical="center"/>
    </xf>
    <xf numFmtId="178" fontId="61" fillId="22" borderId="108" xfId="13" applyNumberFormat="1" applyFont="1" applyFill="1" applyBorder="1" applyAlignment="1">
      <alignment horizontal="right" vertical="center"/>
    </xf>
    <xf numFmtId="41" fontId="65" fillId="22" borderId="55" xfId="7" applyFont="1" applyFill="1" applyBorder="1">
      <alignment vertical="center"/>
    </xf>
    <xf numFmtId="229" fontId="65" fillId="22" borderId="109" xfId="7" applyNumberFormat="1" applyFont="1" applyFill="1" applyBorder="1" applyAlignment="1">
      <alignment horizontal="left" vertical="center"/>
    </xf>
    <xf numFmtId="10" fontId="65" fillId="22" borderId="109" xfId="14" applyNumberFormat="1" applyFont="1" applyFill="1" applyBorder="1" applyAlignment="1">
      <alignment vertical="center"/>
    </xf>
    <xf numFmtId="0" fontId="62" fillId="22" borderId="0" xfId="13" applyFont="1" applyFill="1" applyBorder="1">
      <alignment vertical="center"/>
    </xf>
    <xf numFmtId="187" fontId="95" fillId="2" borderId="0" xfId="13" applyNumberFormat="1" applyFont="1" applyFill="1" applyBorder="1" applyAlignment="1">
      <alignment horizontal="center" vertical="center"/>
    </xf>
    <xf numFmtId="187" fontId="64" fillId="31" borderId="0" xfId="13" applyNumberFormat="1" applyFont="1" applyFill="1" applyBorder="1" applyAlignment="1">
      <alignment horizontal="center" vertical="center"/>
    </xf>
    <xf numFmtId="187" fontId="64" fillId="31" borderId="63" xfId="13" applyNumberFormat="1" applyFont="1" applyFill="1" applyBorder="1" applyAlignment="1">
      <alignment horizontal="center" vertical="center"/>
    </xf>
    <xf numFmtId="178" fontId="62" fillId="0" borderId="49" xfId="13" applyNumberFormat="1" applyFont="1" applyFill="1" applyBorder="1">
      <alignment vertical="center"/>
    </xf>
    <xf numFmtId="178" fontId="62" fillId="2" borderId="49" xfId="13" applyNumberFormat="1" applyFont="1" applyFill="1" applyBorder="1">
      <alignment vertical="center"/>
    </xf>
    <xf numFmtId="0" fontId="64" fillId="2" borderId="48" xfId="13" applyFont="1" applyFill="1" applyBorder="1" applyAlignment="1">
      <alignment horizontal="right" vertical="center"/>
    </xf>
    <xf numFmtId="0" fontId="62" fillId="2" borderId="0" xfId="13" applyFont="1" applyFill="1">
      <alignment vertical="center"/>
    </xf>
    <xf numFmtId="0" fontId="223" fillId="0" borderId="51" xfId="13" applyFont="1" applyFill="1" applyBorder="1" applyAlignment="1">
      <alignment horizontal="left" vertical="center" indent="3"/>
    </xf>
    <xf numFmtId="0" fontId="223" fillId="0" borderId="0" xfId="13" applyFont="1" applyFill="1" applyBorder="1" applyAlignment="1">
      <alignment horizontal="left" vertical="center" indent="3"/>
    </xf>
    <xf numFmtId="187" fontId="223" fillId="0" borderId="49" xfId="14" applyNumberFormat="1" applyFont="1" applyFill="1" applyBorder="1" applyAlignment="1">
      <alignment horizontal="center" vertical="center"/>
    </xf>
    <xf numFmtId="187" fontId="223" fillId="0" borderId="62" xfId="14" applyNumberFormat="1" applyFont="1" applyFill="1" applyBorder="1" applyAlignment="1">
      <alignment horizontal="center" vertical="center"/>
    </xf>
    <xf numFmtId="199" fontId="93" fillId="0" borderId="51" xfId="7" applyNumberFormat="1" applyFont="1" applyFill="1" applyBorder="1" applyAlignment="1">
      <alignment horizontal="center" vertical="center"/>
    </xf>
    <xf numFmtId="199" fontId="93" fillId="0" borderId="63" xfId="7" applyNumberFormat="1" applyFont="1" applyFill="1" applyBorder="1" applyAlignment="1">
      <alignment horizontal="center" vertical="center"/>
    </xf>
    <xf numFmtId="199" fontId="93" fillId="0" borderId="0" xfId="7" applyNumberFormat="1" applyFont="1" applyFill="1" applyBorder="1" applyAlignment="1">
      <alignment horizontal="center" vertical="center"/>
    </xf>
    <xf numFmtId="199" fontId="95" fillId="0" borderId="52" xfId="7" applyNumberFormat="1" applyFont="1" applyFill="1" applyBorder="1" applyAlignment="1">
      <alignment horizontal="center" vertical="center"/>
    </xf>
    <xf numFmtId="10" fontId="129" fillId="0" borderId="0" xfId="13" applyNumberFormat="1" applyFont="1" applyFill="1" applyBorder="1" applyAlignment="1">
      <alignment horizontal="right" vertical="center"/>
    </xf>
    <xf numFmtId="231" fontId="224" fillId="0" borderId="63" xfId="13" applyNumberFormat="1" applyFont="1" applyFill="1" applyBorder="1" applyAlignment="1">
      <alignment horizontal="center" vertical="center"/>
    </xf>
    <xf numFmtId="0" fontId="64" fillId="0" borderId="48" xfId="13" applyFont="1" applyFill="1" applyBorder="1" applyAlignment="1">
      <alignment horizontal="right" vertical="center"/>
    </xf>
    <xf numFmtId="178" fontId="62" fillId="22" borderId="53" xfId="13" applyNumberFormat="1" applyFont="1" applyFill="1" applyBorder="1">
      <alignment vertical="center"/>
    </xf>
    <xf numFmtId="0" fontId="61" fillId="22" borderId="66" xfId="13" applyFont="1" applyFill="1" applyBorder="1" applyAlignment="1">
      <alignment horizontal="right" vertical="center"/>
    </xf>
    <xf numFmtId="0" fontId="64" fillId="22" borderId="52" xfId="13" applyFont="1" applyFill="1" applyBorder="1" applyAlignment="1">
      <alignment horizontal="right" vertical="center"/>
    </xf>
    <xf numFmtId="187" fontId="65" fillId="22" borderId="0" xfId="13" applyNumberFormat="1" applyFont="1" applyFill="1" applyBorder="1">
      <alignment vertical="center"/>
    </xf>
    <xf numFmtId="187" fontId="65" fillId="22" borderId="52" xfId="13" applyNumberFormat="1" applyFont="1" applyFill="1" applyBorder="1" applyAlignment="1">
      <alignment horizontal="right" vertical="center"/>
    </xf>
    <xf numFmtId="187" fontId="65" fillId="22" borderId="53" xfId="13" applyNumberFormat="1" applyFont="1" applyFill="1" applyBorder="1" applyAlignment="1">
      <alignment horizontal="right" vertical="center"/>
    </xf>
    <xf numFmtId="9" fontId="129" fillId="0" borderId="0" xfId="13" applyNumberFormat="1" applyFont="1" applyBorder="1" applyAlignment="1">
      <alignment horizontal="center" vertical="center"/>
    </xf>
    <xf numFmtId="41" fontId="62" fillId="0" borderId="0" xfId="7" applyFont="1" applyBorder="1">
      <alignment vertical="center"/>
    </xf>
    <xf numFmtId="10" fontId="129" fillId="0" borderId="0" xfId="7" applyNumberFormat="1" applyFont="1" applyFill="1" applyBorder="1" applyAlignment="1">
      <alignment horizontal="right" vertical="center"/>
    </xf>
    <xf numFmtId="0" fontId="64" fillId="0" borderId="0" xfId="13" applyFont="1">
      <alignment vertical="center"/>
    </xf>
    <xf numFmtId="0" fontId="62" fillId="0" borderId="142" xfId="13" applyFont="1" applyBorder="1">
      <alignment vertical="center"/>
    </xf>
    <xf numFmtId="0" fontId="62" fillId="0" borderId="24" xfId="13" applyFont="1" applyFill="1" applyBorder="1">
      <alignment vertical="center"/>
    </xf>
    <xf numFmtId="218" fontId="62" fillId="0" borderId="24" xfId="14" applyNumberFormat="1" applyFont="1" applyFill="1" applyBorder="1" applyAlignment="1">
      <alignment horizontal="right" vertical="center"/>
    </xf>
    <xf numFmtId="218" fontId="62" fillId="0" borderId="45" xfId="14" applyNumberFormat="1" applyFont="1" applyFill="1" applyBorder="1" applyAlignment="1">
      <alignment horizontal="right" vertical="center"/>
    </xf>
    <xf numFmtId="218" fontId="62" fillId="0" borderId="61" xfId="14" applyNumberFormat="1" applyFont="1" applyFill="1" applyBorder="1" applyAlignment="1">
      <alignment horizontal="right" vertical="center"/>
    </xf>
    <xf numFmtId="0" fontId="62" fillId="0" borderId="45" xfId="13" applyFont="1" applyBorder="1">
      <alignment vertical="center"/>
    </xf>
    <xf numFmtId="0" fontId="62" fillId="0" borderId="24" xfId="13" applyFont="1" applyBorder="1">
      <alignment vertical="center"/>
    </xf>
    <xf numFmtId="0" fontId="62" fillId="0" borderId="61" xfId="13" applyFont="1" applyBorder="1">
      <alignment vertical="center"/>
    </xf>
    <xf numFmtId="0" fontId="196" fillId="34" borderId="0" xfId="13" applyFont="1" applyFill="1">
      <alignment vertical="center"/>
    </xf>
    <xf numFmtId="0" fontId="71" fillId="34" borderId="0" xfId="13" applyFont="1" applyFill="1">
      <alignment vertical="center"/>
    </xf>
    <xf numFmtId="0" fontId="223" fillId="0" borderId="52" xfId="13" applyFont="1" applyFill="1" applyBorder="1" applyAlignment="1">
      <alignment horizontal="left" vertical="center" indent="3"/>
    </xf>
    <xf numFmtId="0" fontId="223" fillId="0" borderId="53" xfId="13" applyFont="1" applyFill="1" applyBorder="1" applyAlignment="1">
      <alignment horizontal="left" vertical="center" indent="3"/>
    </xf>
    <xf numFmtId="0" fontId="71" fillId="35" borderId="77" xfId="13" applyFont="1" applyFill="1" applyBorder="1">
      <alignment vertical="center"/>
    </xf>
    <xf numFmtId="0" fontId="71" fillId="35" borderId="78" xfId="13" applyFont="1" applyFill="1" applyBorder="1">
      <alignment vertical="center"/>
    </xf>
    <xf numFmtId="0" fontId="71" fillId="35" borderId="69" xfId="13" applyFont="1" applyFill="1" applyBorder="1">
      <alignment vertical="center"/>
    </xf>
    <xf numFmtId="0" fontId="199" fillId="0" borderId="0" xfId="13" applyFont="1" applyFill="1" applyBorder="1">
      <alignment vertical="center"/>
    </xf>
    <xf numFmtId="0" fontId="65" fillId="0" borderId="0" xfId="13" applyFont="1" applyFill="1" applyBorder="1">
      <alignment vertical="center"/>
    </xf>
    <xf numFmtId="0" fontId="61" fillId="0" borderId="48" xfId="13" applyFont="1" applyFill="1" applyBorder="1">
      <alignment vertical="center"/>
    </xf>
    <xf numFmtId="0" fontId="68" fillId="0" borderId="49" xfId="13" applyFont="1" applyFill="1" applyBorder="1">
      <alignment vertical="center"/>
    </xf>
    <xf numFmtId="0" fontId="62" fillId="0" borderId="49" xfId="13" applyFont="1" applyFill="1" applyBorder="1">
      <alignment vertical="center"/>
    </xf>
    <xf numFmtId="232" fontId="64" fillId="0" borderId="49" xfId="7" applyNumberFormat="1" applyFont="1" applyFill="1" applyBorder="1" applyAlignment="1">
      <alignment horizontal="right" vertical="center" indent="1"/>
    </xf>
    <xf numFmtId="197" fontId="95" fillId="0" borderId="62" xfId="13" applyNumberFormat="1" applyFont="1" applyFill="1" applyBorder="1" applyAlignment="1">
      <alignment horizontal="center" vertical="center"/>
    </xf>
    <xf numFmtId="41" fontId="62" fillId="0" borderId="0" xfId="7" applyNumberFormat="1" applyFont="1" applyFill="1" applyBorder="1" applyAlignment="1">
      <alignment horizontal="right" vertical="center"/>
    </xf>
    <xf numFmtId="0" fontId="64" fillId="0" borderId="48" xfId="13" applyFont="1" applyFill="1" applyBorder="1">
      <alignment vertical="center"/>
    </xf>
    <xf numFmtId="0" fontId="62" fillId="0" borderId="49" xfId="13" applyFont="1" applyBorder="1">
      <alignment vertical="center"/>
    </xf>
    <xf numFmtId="233" fontId="228" fillId="0" borderId="49" xfId="13" applyNumberFormat="1" applyFont="1" applyFill="1" applyBorder="1" applyAlignment="1">
      <alignment vertical="center"/>
    </xf>
    <xf numFmtId="0" fontId="68" fillId="0" borderId="51" xfId="13" applyFont="1" applyFill="1" applyBorder="1" applyAlignment="1">
      <alignment horizontal="right" vertical="center"/>
    </xf>
    <xf numFmtId="0" fontId="114" fillId="0" borderId="0" xfId="13" applyFont="1" applyFill="1" applyBorder="1" applyAlignment="1">
      <alignment horizontal="center" vertical="center"/>
    </xf>
    <xf numFmtId="232" fontId="64" fillId="0" borderId="63" xfId="7" applyNumberFormat="1" applyFont="1" applyFill="1" applyBorder="1" applyAlignment="1">
      <alignment horizontal="center" vertical="center"/>
    </xf>
    <xf numFmtId="235"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4"/>
    </xf>
    <xf numFmtId="10" fontId="62" fillId="0" borderId="0" xfId="7" applyNumberFormat="1" applyFont="1" applyFill="1" applyBorder="1" applyAlignment="1">
      <alignment horizontal="right" vertical="center"/>
    </xf>
    <xf numFmtId="43" fontId="64" fillId="0" borderId="51" xfId="13" applyNumberFormat="1" applyFont="1" applyFill="1" applyBorder="1" applyAlignment="1">
      <alignment horizontal="right" vertical="center" indent="1"/>
    </xf>
    <xf numFmtId="197" fontId="95" fillId="0" borderId="0" xfId="13" applyNumberFormat="1" applyFont="1" applyFill="1" applyBorder="1" applyAlignment="1">
      <alignment horizontal="center" vertical="center"/>
    </xf>
    <xf numFmtId="197" fontId="64" fillId="0" borderId="0" xfId="13" applyNumberFormat="1" applyFont="1" applyFill="1" applyBorder="1" applyAlignment="1">
      <alignment horizontal="center" vertical="center"/>
    </xf>
    <xf numFmtId="197" fontId="95" fillId="0" borderId="63" xfId="13" applyNumberFormat="1" applyFont="1" applyFill="1" applyBorder="1" applyAlignment="1">
      <alignment horizontal="center" vertical="center"/>
    </xf>
    <xf numFmtId="0" fontId="64" fillId="0" borderId="51" xfId="13" applyFont="1" applyFill="1" applyBorder="1">
      <alignment vertical="center"/>
    </xf>
    <xf numFmtId="197" fontId="64" fillId="0" borderId="53" xfId="13" applyNumberFormat="1" applyFont="1" applyFill="1" applyBorder="1" applyAlignment="1">
      <alignment horizontal="center" vertical="center"/>
    </xf>
    <xf numFmtId="197" fontId="95" fillId="0" borderId="53" xfId="13" applyNumberFormat="1" applyFont="1" applyFill="1" applyBorder="1" applyAlignment="1">
      <alignment horizontal="center" vertical="center"/>
    </xf>
    <xf numFmtId="0" fontId="61" fillId="0" borderId="0" xfId="13" applyFont="1" applyFill="1" applyBorder="1" applyAlignment="1">
      <alignment horizontal="center" vertical="center"/>
    </xf>
    <xf numFmtId="0" fontId="64" fillId="0" borderId="0" xfId="13" applyFont="1" applyFill="1" applyBorder="1" applyAlignment="1">
      <alignment horizontal="center" vertical="center"/>
    </xf>
    <xf numFmtId="0" fontId="62" fillId="0" borderId="52" xfId="13" applyFont="1" applyFill="1" applyBorder="1">
      <alignment vertical="center"/>
    </xf>
    <xf numFmtId="197" fontId="64" fillId="0" borderId="55" xfId="13" applyNumberFormat="1" applyFont="1" applyFill="1" applyBorder="1" applyAlignment="1">
      <alignment horizontal="center" vertical="center"/>
    </xf>
    <xf numFmtId="0" fontId="62" fillId="0" borderId="66" xfId="13" applyFont="1" applyFill="1" applyBorder="1">
      <alignment vertical="center"/>
    </xf>
    <xf numFmtId="0" fontId="68" fillId="0" borderId="49" xfId="13" applyFont="1" applyBorder="1">
      <alignment vertical="center"/>
    </xf>
    <xf numFmtId="0" fontId="199" fillId="0" borderId="48" xfId="13" applyFont="1" applyFill="1" applyBorder="1">
      <alignment vertical="center"/>
    </xf>
    <xf numFmtId="0" fontId="62" fillId="0" borderId="49" xfId="13" applyFont="1" applyFill="1" applyBorder="1" applyAlignment="1">
      <alignment horizontal="left" vertical="center" indent="1"/>
    </xf>
    <xf numFmtId="232" fontId="64" fillId="0" borderId="49" xfId="7" applyNumberFormat="1" applyFont="1" applyFill="1" applyBorder="1" applyAlignment="1">
      <alignment horizontal="right" vertical="center"/>
    </xf>
    <xf numFmtId="0" fontId="64" fillId="0" borderId="49" xfId="13" applyFont="1" applyFill="1" applyBorder="1" applyAlignment="1">
      <alignment horizontal="left" vertical="center" indent="1"/>
    </xf>
    <xf numFmtId="195" fontId="95" fillId="0" borderId="62" xfId="13" applyNumberFormat="1" applyFont="1" applyFill="1" applyBorder="1" applyAlignment="1">
      <alignment horizontal="center" vertical="center"/>
    </xf>
    <xf numFmtId="0" fontId="230" fillId="0" borderId="56" xfId="13" applyFont="1" applyFill="1" applyBorder="1" applyAlignment="1">
      <alignment horizontal="center" vertical="center"/>
    </xf>
    <xf numFmtId="0" fontId="71" fillId="35" borderId="0" xfId="13" applyFont="1" applyFill="1" applyBorder="1">
      <alignment vertical="center"/>
    </xf>
    <xf numFmtId="0" fontId="62" fillId="35" borderId="69" xfId="13" applyFont="1" applyFill="1" applyBorder="1">
      <alignment vertical="center"/>
    </xf>
    <xf numFmtId="0" fontId="200" fillId="0" borderId="51" xfId="13" applyFont="1" applyFill="1" applyBorder="1">
      <alignment vertical="center"/>
    </xf>
    <xf numFmtId="232"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1"/>
    </xf>
    <xf numFmtId="195" fontId="95" fillId="31" borderId="63" xfId="13" applyNumberFormat="1" applyFont="1" applyFill="1" applyBorder="1" applyAlignment="1">
      <alignment horizontal="center" vertical="center"/>
    </xf>
    <xf numFmtId="41" fontId="94" fillId="0" borderId="56" xfId="13" applyNumberFormat="1" applyFont="1" applyFill="1" applyBorder="1">
      <alignment vertical="center"/>
    </xf>
    <xf numFmtId="0" fontId="68" fillId="0" borderId="0" xfId="13" applyFont="1" applyBorder="1">
      <alignment vertical="center"/>
    </xf>
    <xf numFmtId="0" fontId="64" fillId="0" borderId="0" xfId="13" applyFont="1" applyFill="1" applyBorder="1" applyAlignment="1">
      <alignment horizontal="left" vertical="center"/>
    </xf>
    <xf numFmtId="41" fontId="62" fillId="0" borderId="108" xfId="7" applyFont="1" applyFill="1" applyBorder="1">
      <alignment vertical="center"/>
    </xf>
    <xf numFmtId="41" fontId="62" fillId="0" borderId="55" xfId="7" applyFont="1" applyFill="1" applyBorder="1">
      <alignment vertical="center"/>
    </xf>
    <xf numFmtId="41" fontId="64" fillId="0" borderId="139" xfId="7" applyNumberFormat="1" applyFont="1" applyFill="1" applyBorder="1" applyAlignment="1">
      <alignment horizontal="center" vertical="center"/>
    </xf>
    <xf numFmtId="0" fontId="87" fillId="0" borderId="51" xfId="13" applyFont="1" applyFill="1" applyBorder="1">
      <alignment vertical="center"/>
    </xf>
    <xf numFmtId="41" fontId="64" fillId="0" borderId="51" xfId="7" applyFont="1" applyFill="1" applyBorder="1" applyAlignment="1">
      <alignment horizontal="left" vertical="center"/>
    </xf>
    <xf numFmtId="41" fontId="64" fillId="0" borderId="0" xfId="7" applyFont="1" applyFill="1" applyBorder="1" applyAlignment="1">
      <alignment horizontal="left" vertical="center"/>
    </xf>
    <xf numFmtId="228" fontId="64" fillId="0" borderId="49" xfId="13" applyNumberFormat="1" applyFont="1" applyFill="1" applyBorder="1" applyAlignment="1">
      <alignment horizontal="left" vertical="center"/>
    </xf>
    <xf numFmtId="41" fontId="116" fillId="0" borderId="112" xfId="7" applyNumberFormat="1" applyFont="1" applyFill="1" applyBorder="1" applyAlignment="1">
      <alignment horizontal="center" vertical="center"/>
    </xf>
    <xf numFmtId="236" fontId="64" fillId="0" borderId="112" xfId="7" applyNumberFormat="1" applyFont="1" applyFill="1" applyBorder="1" applyAlignment="1">
      <alignment vertical="center"/>
    </xf>
    <xf numFmtId="0" fontId="68" fillId="0" borderId="0" xfId="13" applyFont="1" applyFill="1" applyBorder="1">
      <alignment vertical="center"/>
    </xf>
    <xf numFmtId="197" fontId="112" fillId="0" borderId="0" xfId="14" applyNumberFormat="1" applyFont="1" applyFill="1" applyBorder="1" applyAlignment="1">
      <alignment horizontal="center" vertical="center"/>
    </xf>
    <xf numFmtId="0" fontId="64" fillId="0" borderId="52" xfId="13" applyFont="1" applyFill="1" applyBorder="1">
      <alignment vertical="center"/>
    </xf>
    <xf numFmtId="0" fontId="64" fillId="0" borderId="108" xfId="13" applyFont="1" applyFill="1" applyBorder="1">
      <alignment vertical="center"/>
    </xf>
    <xf numFmtId="41" fontId="65" fillId="50" borderId="139" xfId="19" applyNumberFormat="1" applyFont="1" applyFill="1" applyBorder="1">
      <alignment vertical="center"/>
    </xf>
    <xf numFmtId="41" fontId="64" fillId="0" borderId="51" xfId="7" applyFont="1" applyFill="1" applyBorder="1" applyAlignment="1">
      <alignment horizontal="left" vertical="center" indent="2"/>
    </xf>
    <xf numFmtId="41" fontId="64" fillId="0" borderId="0" xfId="7" applyFont="1" applyFill="1" applyBorder="1" applyAlignment="1">
      <alignment horizontal="left" vertical="center" indent="2"/>
    </xf>
    <xf numFmtId="231" fontId="130" fillId="0" borderId="63" xfId="13" applyNumberFormat="1" applyFont="1" applyFill="1" applyBorder="1" applyAlignment="1">
      <alignment horizontal="left" vertical="center"/>
    </xf>
    <xf numFmtId="220" fontId="95" fillId="0" borderId="107" xfId="13" applyNumberFormat="1" applyFont="1" applyFill="1" applyBorder="1" applyAlignment="1">
      <alignment horizontal="center" vertical="center"/>
    </xf>
    <xf numFmtId="236" fontId="64" fillId="0" borderId="107" xfId="7" applyNumberFormat="1" applyFont="1" applyFill="1" applyBorder="1" applyAlignment="1">
      <alignment horizontal="left" vertical="center" indent="1"/>
    </xf>
    <xf numFmtId="41" fontId="64" fillId="0" borderId="51" xfId="7" applyFont="1" applyFill="1" applyBorder="1">
      <alignment vertical="center"/>
    </xf>
    <xf numFmtId="196" fontId="197" fillId="0" borderId="63" xfId="14" applyNumberFormat="1" applyFont="1" applyFill="1" applyBorder="1" applyAlignment="1">
      <alignment horizontal="center" vertical="center"/>
    </xf>
    <xf numFmtId="0" fontId="200" fillId="0" borderId="0" xfId="13" applyFont="1" applyFill="1" applyBorder="1">
      <alignment vertical="center"/>
    </xf>
    <xf numFmtId="41" fontId="232" fillId="0" borderId="0" xfId="13" applyNumberFormat="1" applyFont="1" applyFill="1" applyBorder="1" applyAlignment="1">
      <alignment horizontal="center" vertical="center"/>
    </xf>
    <xf numFmtId="41" fontId="64" fillId="0" borderId="52" xfId="7" applyFont="1" applyFill="1" applyBorder="1">
      <alignment vertical="center"/>
    </xf>
    <xf numFmtId="220" fontId="95" fillId="0" borderId="134" xfId="13" applyNumberFormat="1" applyFont="1" applyFill="1" applyBorder="1" applyAlignment="1">
      <alignment horizontal="center" vertical="center"/>
    </xf>
    <xf numFmtId="196" fontId="197" fillId="0" borderId="134" xfId="14" applyNumberFormat="1" applyFont="1" applyFill="1" applyBorder="1" applyAlignment="1">
      <alignment horizontal="center" vertical="center"/>
    </xf>
    <xf numFmtId="236" fontId="64" fillId="0" borderId="134" xfId="7" applyNumberFormat="1" applyFont="1" applyFill="1" applyBorder="1" applyAlignment="1">
      <alignment horizontal="left" vertical="center" indent="1"/>
    </xf>
    <xf numFmtId="0" fontId="62" fillId="0" borderId="0" xfId="13" applyFont="1" applyFill="1" applyBorder="1" applyAlignment="1">
      <alignment horizontal="left" vertical="center"/>
    </xf>
    <xf numFmtId="195" fontId="62" fillId="0" borderId="0" xfId="14" applyNumberFormat="1" applyFont="1" applyFill="1" applyBorder="1" applyAlignment="1">
      <alignment vertical="center"/>
    </xf>
    <xf numFmtId="182" fontId="62" fillId="0" borderId="0" xfId="7" applyNumberFormat="1" applyFont="1" applyFill="1" applyBorder="1" applyAlignment="1">
      <alignment horizontal="right" vertical="center"/>
    </xf>
    <xf numFmtId="0" fontId="196" fillId="29" borderId="79" xfId="13" applyFont="1" applyFill="1" applyBorder="1">
      <alignment vertical="center"/>
    </xf>
    <xf numFmtId="0" fontId="71" fillId="29" borderId="102" xfId="13" applyFont="1" applyFill="1" applyBorder="1">
      <alignment vertical="center"/>
    </xf>
    <xf numFmtId="0" fontId="62" fillId="29" borderId="80" xfId="13" applyFont="1" applyFill="1" applyBorder="1">
      <alignment vertical="center"/>
    </xf>
    <xf numFmtId="195" fontId="62" fillId="0" borderId="0" xfId="14" applyNumberFormat="1" applyFont="1" applyFill="1" applyBorder="1" applyAlignment="1">
      <alignment horizontal="center" vertical="center"/>
    </xf>
    <xf numFmtId="41" fontId="64" fillId="0" borderId="0" xfId="7" applyNumberFormat="1" applyFont="1" applyFill="1" applyBorder="1" applyAlignment="1">
      <alignment horizontal="center" vertical="center"/>
    </xf>
    <xf numFmtId="41" fontId="64" fillId="0" borderId="0" xfId="7" applyNumberFormat="1" applyFont="1" applyFill="1" applyBorder="1">
      <alignment vertical="center"/>
    </xf>
    <xf numFmtId="0" fontId="197" fillId="0" borderId="0" xfId="13" applyFont="1" applyFill="1" applyBorder="1" applyAlignment="1">
      <alignment horizontal="center" vertical="center"/>
    </xf>
    <xf numFmtId="0" fontId="62" fillId="0" borderId="108" xfId="13" applyFont="1" applyFill="1" applyBorder="1">
      <alignment vertical="center"/>
    </xf>
    <xf numFmtId="0" fontId="62" fillId="0" borderId="55" xfId="13" applyFont="1" applyFill="1" applyBorder="1">
      <alignment vertical="center"/>
    </xf>
    <xf numFmtId="186" fontId="64" fillId="0" borderId="49" xfId="13" applyNumberFormat="1" applyFont="1" applyFill="1" applyBorder="1" applyAlignment="1">
      <alignment horizontal="center" vertical="center"/>
    </xf>
    <xf numFmtId="195" fontId="229" fillId="31" borderId="49" xfId="14" applyNumberFormat="1" applyFont="1" applyFill="1" applyBorder="1" applyAlignment="1">
      <alignment horizontal="center" vertical="center"/>
    </xf>
    <xf numFmtId="195" fontId="229" fillId="0" borderId="49" xfId="14" applyNumberFormat="1" applyFont="1" applyFill="1" applyBorder="1" applyAlignment="1">
      <alignment horizontal="center" vertical="center"/>
    </xf>
    <xf numFmtId="0" fontId="62" fillId="0" borderId="48" xfId="13" applyFont="1" applyFill="1" applyBorder="1">
      <alignment vertical="center"/>
    </xf>
    <xf numFmtId="197" fontId="65" fillId="0" borderId="49"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xf>
    <xf numFmtId="41" fontId="62" fillId="0" borderId="49" xfId="7" applyNumberFormat="1" applyFont="1" applyFill="1" applyBorder="1">
      <alignment vertical="center"/>
    </xf>
    <xf numFmtId="41" fontId="65" fillId="0" borderId="62" xfId="7" applyFont="1" applyFill="1" applyBorder="1">
      <alignment vertical="center"/>
    </xf>
    <xf numFmtId="0" fontId="68" fillId="0" borderId="51" xfId="13" applyFont="1" applyFill="1" applyBorder="1" applyAlignment="1">
      <alignment horizontal="left" vertical="center"/>
    </xf>
    <xf numFmtId="0" fontId="68" fillId="0" borderId="0" xfId="13" applyFont="1" applyFill="1" applyBorder="1" applyAlignment="1">
      <alignment horizontal="left" vertical="center"/>
    </xf>
    <xf numFmtId="216" fontId="64" fillId="0" borderId="112" xfId="9" applyNumberFormat="1" applyFont="1" applyFill="1" applyBorder="1" applyAlignment="1">
      <alignment horizontal="center" vertical="center"/>
    </xf>
    <xf numFmtId="41" fontId="94" fillId="0" borderId="56" xfId="10" applyFont="1" applyFill="1" applyBorder="1">
      <alignment vertical="center"/>
    </xf>
    <xf numFmtId="0" fontId="198" fillId="0" borderId="42" xfId="13" applyFont="1" applyFill="1" applyBorder="1" applyAlignment="1">
      <alignment horizontal="center" vertical="center"/>
    </xf>
    <xf numFmtId="188" fontId="64" fillId="0" borderId="53" xfId="13" applyNumberFormat="1" applyFont="1" applyFill="1" applyBorder="1" applyAlignment="1">
      <alignment horizontal="center" vertical="center"/>
    </xf>
    <xf numFmtId="0" fontId="62" fillId="0" borderId="53" xfId="13" applyFont="1" applyBorder="1">
      <alignment vertical="center"/>
    </xf>
    <xf numFmtId="197" fontId="229" fillId="51" borderId="53" xfId="14" applyNumberFormat="1" applyFont="1" applyFill="1" applyBorder="1" applyAlignment="1">
      <alignment horizontal="center" vertical="center"/>
    </xf>
    <xf numFmtId="197" fontId="229" fillId="31" borderId="53"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wrapText="1"/>
    </xf>
    <xf numFmtId="41" fontId="65" fillId="0" borderId="62" xfId="7" applyNumberFormat="1" applyFont="1" applyFill="1" applyBorder="1">
      <alignment vertical="center"/>
    </xf>
    <xf numFmtId="0" fontId="62" fillId="0" borderId="52" xfId="13" applyFont="1" applyFill="1" applyBorder="1" applyAlignment="1">
      <alignment horizontal="left" vertical="center"/>
    </xf>
    <xf numFmtId="0" fontId="62" fillId="0" borderId="53" xfId="13" applyFont="1" applyFill="1" applyBorder="1" applyAlignment="1">
      <alignment horizontal="left" vertical="center"/>
    </xf>
    <xf numFmtId="216" fontId="64" fillId="0" borderId="134" xfId="9" applyNumberFormat="1" applyFont="1" applyFill="1" applyBorder="1" applyAlignment="1">
      <alignment horizontal="center" vertical="center"/>
    </xf>
    <xf numFmtId="236" fontId="95" fillId="0" borderId="134" xfId="7" applyNumberFormat="1" applyFont="1" applyFill="1" applyBorder="1" applyAlignment="1">
      <alignment horizontal="center" vertical="center"/>
    </xf>
    <xf numFmtId="186" fontId="87" fillId="0" borderId="49" xfId="13" applyNumberFormat="1" applyFont="1" applyFill="1" applyBorder="1" applyAlignment="1">
      <alignment horizontal="center" vertical="center"/>
    </xf>
    <xf numFmtId="188" fontId="233" fillId="0" borderId="49" xfId="13" applyNumberFormat="1" applyFont="1" applyFill="1" applyBorder="1" applyAlignment="1">
      <alignment horizontal="right" vertical="center"/>
    </xf>
    <xf numFmtId="197" fontId="229" fillId="0" borderId="49" xfId="14" applyNumberFormat="1" applyFont="1" applyFill="1" applyBorder="1" applyAlignment="1">
      <alignment horizontal="center" vertical="center"/>
    </xf>
    <xf numFmtId="197" fontId="65" fillId="0" borderId="62" xfId="14" applyNumberFormat="1" applyFont="1" applyFill="1" applyBorder="1" applyAlignment="1">
      <alignment horizontal="center" vertical="center"/>
    </xf>
    <xf numFmtId="188" fontId="233" fillId="0" borderId="51" xfId="13" applyNumberFormat="1" applyFont="1" applyFill="1" applyBorder="1" applyAlignment="1">
      <alignment horizontal="right" vertical="center"/>
    </xf>
    <xf numFmtId="0" fontId="63" fillId="0" borderId="42" xfId="13" applyFont="1" applyFill="1" applyBorder="1">
      <alignment vertical="center"/>
    </xf>
    <xf numFmtId="0" fontId="86" fillId="0" borderId="51" xfId="13" applyFont="1" applyFill="1" applyBorder="1">
      <alignment vertical="center"/>
    </xf>
    <xf numFmtId="41" fontId="62" fillId="0" borderId="0" xfId="7" applyNumberFormat="1" applyFont="1" applyFill="1" applyBorder="1" applyAlignment="1">
      <alignment horizontal="center" vertical="center"/>
    </xf>
    <xf numFmtId="41" fontId="229" fillId="0" borderId="63" xfId="7" applyNumberFormat="1" applyFont="1" applyFill="1" applyBorder="1">
      <alignment vertical="center"/>
    </xf>
    <xf numFmtId="0" fontId="62" fillId="0" borderId="0" xfId="13" applyFont="1" applyFill="1" applyBorder="1" applyAlignment="1">
      <alignment horizontal="right" vertical="center"/>
    </xf>
    <xf numFmtId="182" fontId="226" fillId="0" borderId="0" xfId="14" applyNumberFormat="1" applyFont="1" applyFill="1" applyBorder="1">
      <alignment vertical="center"/>
    </xf>
    <xf numFmtId="237" fontId="64" fillId="0" borderId="0" xfId="13" applyNumberFormat="1" applyFont="1" applyFill="1" applyBorder="1" applyAlignment="1">
      <alignment horizontal="right" vertical="center"/>
    </xf>
    <xf numFmtId="0" fontId="64" fillId="0" borderId="53" xfId="13" applyFont="1" applyFill="1" applyBorder="1" applyAlignment="1">
      <alignment horizontal="center" vertical="center"/>
    </xf>
    <xf numFmtId="0" fontId="62" fillId="0" borderId="66" xfId="13" applyFont="1" applyBorder="1">
      <alignment vertical="center"/>
    </xf>
    <xf numFmtId="0" fontId="64" fillId="0" borderId="51" xfId="13" applyFont="1" applyFill="1" applyBorder="1" applyAlignment="1">
      <alignment horizontal="center" vertical="center"/>
    </xf>
    <xf numFmtId="41" fontId="62" fillId="0" borderId="53" xfId="7" applyNumberFormat="1" applyFont="1" applyFill="1" applyBorder="1" applyAlignment="1">
      <alignment horizontal="center" vertical="center" wrapText="1"/>
    </xf>
    <xf numFmtId="41" fontId="62" fillId="0" borderId="53" xfId="7" applyNumberFormat="1" applyFont="1" applyFill="1" applyBorder="1" applyAlignment="1">
      <alignment horizontal="center" vertical="center"/>
    </xf>
    <xf numFmtId="182" fontId="129" fillId="0" borderId="0" xfId="14" applyNumberFormat="1" applyFont="1" applyFill="1" applyBorder="1">
      <alignment vertical="center"/>
    </xf>
    <xf numFmtId="0" fontId="62" fillId="0" borderId="63" xfId="13" applyFont="1" applyFill="1" applyBorder="1">
      <alignment vertical="center"/>
    </xf>
    <xf numFmtId="0" fontId="64" fillId="0" borderId="55" xfId="13" applyFont="1" applyFill="1" applyBorder="1">
      <alignment vertical="center"/>
    </xf>
    <xf numFmtId="238" fontId="116" fillId="0" borderId="109" xfId="7" applyNumberFormat="1" applyFont="1" applyFill="1" applyBorder="1">
      <alignment vertical="center"/>
    </xf>
    <xf numFmtId="0" fontId="230" fillId="0" borderId="56" xfId="13" applyFont="1" applyFill="1" applyBorder="1">
      <alignment vertical="center"/>
    </xf>
    <xf numFmtId="0" fontId="62" fillId="0" borderId="143" xfId="13" applyFont="1" applyBorder="1">
      <alignment vertical="center"/>
    </xf>
    <xf numFmtId="0" fontId="62" fillId="0" borderId="144" xfId="13" applyFont="1" applyFill="1" applyBorder="1">
      <alignment vertical="center"/>
    </xf>
    <xf numFmtId="0" fontId="62" fillId="0" borderId="145" xfId="13" applyFont="1" applyBorder="1">
      <alignment vertical="center"/>
    </xf>
    <xf numFmtId="0" fontId="62" fillId="0" borderId="49" xfId="13" applyFont="1" applyFill="1" applyBorder="1" applyAlignment="1">
      <alignment horizontal="left" vertical="center"/>
    </xf>
    <xf numFmtId="239" fontId="64" fillId="0" borderId="0" xfId="7" applyNumberFormat="1" applyFont="1" applyFill="1" applyBorder="1" applyAlignment="1">
      <alignment horizontal="center" vertical="center"/>
    </xf>
    <xf numFmtId="0" fontId="62" fillId="0" borderId="146" xfId="13" applyFont="1" applyFill="1" applyBorder="1">
      <alignment vertical="center"/>
    </xf>
    <xf numFmtId="0" fontId="61" fillId="0" borderId="147" xfId="13" applyFont="1" applyFill="1" applyBorder="1">
      <alignment vertical="center"/>
    </xf>
    <xf numFmtId="0" fontId="62" fillId="0" borderId="147" xfId="13" applyFont="1" applyFill="1" applyBorder="1">
      <alignment vertical="center"/>
    </xf>
    <xf numFmtId="0" fontId="62" fillId="0" borderId="148" xfId="13" applyFont="1" applyFill="1" applyBorder="1">
      <alignment vertical="center"/>
    </xf>
    <xf numFmtId="0" fontId="86" fillId="0" borderId="0" xfId="13" applyFont="1" applyFill="1">
      <alignment vertical="center"/>
    </xf>
    <xf numFmtId="0" fontId="234" fillId="9" borderId="0" xfId="13" applyFont="1" applyFill="1" applyBorder="1" applyAlignment="1">
      <alignment horizontal="left" vertical="center"/>
    </xf>
    <xf numFmtId="0" fontId="83" fillId="9" borderId="0" xfId="13" applyFont="1" applyFill="1" applyBorder="1" applyAlignment="1">
      <alignment horizontal="center" vertical="center"/>
    </xf>
    <xf numFmtId="0" fontId="235" fillId="9" borderId="0" xfId="13" applyFont="1" applyFill="1" applyBorder="1" applyAlignment="1">
      <alignment horizontal="center" vertical="center"/>
    </xf>
    <xf numFmtId="0" fontId="83" fillId="9" borderId="63" xfId="13" applyFont="1" applyFill="1" applyBorder="1" applyAlignment="1">
      <alignment horizontal="center" vertical="center"/>
    </xf>
    <xf numFmtId="0" fontId="62" fillId="0" borderId="149" xfId="13" applyFont="1" applyFill="1" applyBorder="1">
      <alignment vertical="center"/>
    </xf>
    <xf numFmtId="41" fontId="94" fillId="0" borderId="0" xfId="13" applyNumberFormat="1" applyFont="1" applyFill="1" applyBorder="1">
      <alignment vertical="center"/>
    </xf>
    <xf numFmtId="0" fontId="133" fillId="0" borderId="0" xfId="13" applyFont="1" applyFill="1" applyBorder="1" applyAlignment="1">
      <alignment horizontal="center" vertical="center"/>
    </xf>
    <xf numFmtId="0" fontId="62" fillId="0" borderId="150" xfId="13" applyFont="1" applyFill="1" applyBorder="1">
      <alignment vertical="center"/>
    </xf>
    <xf numFmtId="41" fontId="78" fillId="9" borderId="0" xfId="7" applyNumberFormat="1" applyFont="1" applyFill="1" applyBorder="1" applyAlignment="1">
      <alignment horizontal="center" vertical="center" wrapText="1"/>
    </xf>
    <xf numFmtId="41" fontId="236" fillId="9" borderId="0" xfId="7" applyNumberFormat="1" applyFont="1" applyFill="1" applyBorder="1" applyAlignment="1">
      <alignment horizontal="center" vertical="center"/>
    </xf>
    <xf numFmtId="41" fontId="78" fillId="9" borderId="63" xfId="7" applyNumberFormat="1" applyFont="1" applyFill="1" applyBorder="1">
      <alignment vertical="center"/>
    </xf>
    <xf numFmtId="0" fontId="80" fillId="0" borderId="0" xfId="13" applyFont="1" applyFill="1" applyBorder="1" applyAlignment="1">
      <alignment horizontal="right" vertical="center"/>
    </xf>
    <xf numFmtId="0" fontId="237" fillId="0" borderId="0" xfId="13" applyFont="1" applyFill="1" applyBorder="1" applyAlignment="1">
      <alignment horizontal="center" vertical="center"/>
    </xf>
    <xf numFmtId="0" fontId="86" fillId="0" borderId="0" xfId="13" applyFont="1" applyFill="1" applyBorder="1">
      <alignment vertical="center"/>
    </xf>
    <xf numFmtId="0" fontId="229" fillId="2" borderId="0" xfId="13" applyFont="1" applyFill="1" applyBorder="1" applyAlignment="1">
      <alignment horizontal="center" vertical="center"/>
    </xf>
    <xf numFmtId="41" fontId="78" fillId="9" borderId="0" xfId="7" applyNumberFormat="1" applyFont="1" applyFill="1" applyBorder="1" applyAlignment="1">
      <alignment horizontal="center" vertical="center"/>
    </xf>
    <xf numFmtId="227" fontId="95" fillId="0" borderId="107" xfId="7" applyNumberFormat="1" applyFont="1" applyFill="1" applyBorder="1" applyAlignment="1">
      <alignment horizontal="center" vertical="center"/>
    </xf>
    <xf numFmtId="0" fontId="229" fillId="31" borderId="0" xfId="13" applyFont="1" applyFill="1" applyBorder="1" applyAlignment="1">
      <alignment horizontal="center" vertical="center"/>
    </xf>
    <xf numFmtId="0" fontId="79" fillId="9" borderId="0" xfId="13" applyFont="1" applyFill="1" applyBorder="1" applyAlignment="1">
      <alignment horizontal="right" vertical="center" indent="1"/>
    </xf>
    <xf numFmtId="41" fontId="78" fillId="9" borderId="49" xfId="7" applyNumberFormat="1" applyFont="1" applyFill="1" applyBorder="1" applyAlignment="1">
      <alignment horizontal="center" vertical="center" wrapText="1"/>
    </xf>
    <xf numFmtId="41" fontId="78" fillId="9" borderId="49" xfId="7" applyNumberFormat="1" applyFont="1" applyFill="1" applyBorder="1" applyAlignment="1">
      <alignment horizontal="center" vertical="center"/>
    </xf>
    <xf numFmtId="41" fontId="78" fillId="9" borderId="109" xfId="7" applyNumberFormat="1" applyFont="1" applyFill="1" applyBorder="1" applyAlignment="1">
      <alignment horizontal="center" vertical="center"/>
    </xf>
    <xf numFmtId="0" fontId="96" fillId="0" borderId="0" xfId="13" applyFont="1" applyFill="1" applyBorder="1" applyAlignment="1">
      <alignment horizontal="left" vertical="center"/>
    </xf>
    <xf numFmtId="0" fontId="237" fillId="0" borderId="0" xfId="13" applyFont="1" applyFill="1" applyBorder="1" applyAlignment="1">
      <alignment horizontal="right" vertical="center" indent="1"/>
    </xf>
    <xf numFmtId="0" fontId="62" fillId="0" borderId="151" xfId="13" applyFont="1" applyBorder="1">
      <alignment vertical="center"/>
    </xf>
    <xf numFmtId="0" fontId="62" fillId="0" borderId="144" xfId="13" applyFont="1" applyBorder="1">
      <alignment vertical="center"/>
    </xf>
    <xf numFmtId="0" fontId="87" fillId="0" borderId="144" xfId="13" applyFont="1" applyFill="1" applyBorder="1">
      <alignment vertical="center"/>
    </xf>
    <xf numFmtId="0" fontId="86" fillId="0" borderId="144" xfId="13" applyFont="1" applyFill="1" applyBorder="1">
      <alignment vertical="center"/>
    </xf>
    <xf numFmtId="0" fontId="62" fillId="0" borderId="152" xfId="13" applyFont="1" applyBorder="1">
      <alignment vertical="center"/>
    </xf>
    <xf numFmtId="41" fontId="65" fillId="0" borderId="49" xfId="13" applyNumberFormat="1" applyFont="1" applyFill="1" applyBorder="1">
      <alignment vertical="center"/>
    </xf>
    <xf numFmtId="9" fontId="232" fillId="0" borderId="49" xfId="13" applyNumberFormat="1" applyFont="1" applyFill="1" applyBorder="1" applyAlignment="1">
      <alignment horizontal="center" vertical="center"/>
    </xf>
    <xf numFmtId="182" fontId="65" fillId="0" borderId="49" xfId="14" applyNumberFormat="1" applyFont="1" applyFill="1" applyBorder="1">
      <alignment vertical="center"/>
    </xf>
    <xf numFmtId="0" fontId="68" fillId="0" borderId="48" xfId="13" applyFont="1" applyFill="1" applyBorder="1">
      <alignment vertical="center"/>
    </xf>
    <xf numFmtId="41" fontId="89" fillId="0" borderId="62" xfId="7" applyNumberFormat="1" applyFont="1" applyFill="1" applyBorder="1">
      <alignment vertical="center"/>
    </xf>
    <xf numFmtId="0" fontId="22" fillId="0" borderId="0" xfId="13" applyFont="1" applyFill="1" applyBorder="1">
      <alignment vertical="center"/>
    </xf>
    <xf numFmtId="41" fontId="156" fillId="0" borderId="0" xfId="13" applyNumberFormat="1" applyFont="1" applyFill="1" applyBorder="1" applyAlignment="1">
      <alignment horizontal="center" vertical="center"/>
    </xf>
    <xf numFmtId="41" fontId="89" fillId="0" borderId="63" xfId="7" applyNumberFormat="1" applyFont="1" applyFill="1" applyBorder="1">
      <alignment vertical="center"/>
    </xf>
    <xf numFmtId="0" fontId="68" fillId="0" borderId="52" xfId="13" applyFont="1" applyFill="1" applyBorder="1" applyAlignment="1">
      <alignment horizontal="right" vertical="center"/>
    </xf>
    <xf numFmtId="41" fontId="156" fillId="0" borderId="53" xfId="13" applyNumberFormat="1" applyFont="1" applyFill="1" applyBorder="1" applyAlignment="1">
      <alignment horizontal="center" vertical="center"/>
    </xf>
    <xf numFmtId="41" fontId="89" fillId="0" borderId="66" xfId="7" applyNumberFormat="1" applyFont="1" applyFill="1" applyBorder="1">
      <alignment vertical="center"/>
    </xf>
    <xf numFmtId="241" fontId="238" fillId="0" borderId="0" xfId="13" applyNumberFormat="1" applyFont="1" applyFill="1" applyBorder="1" applyAlignment="1">
      <alignment horizontal="center" vertical="center"/>
    </xf>
    <xf numFmtId="181" fontId="94" fillId="0" borderId="56" xfId="13" applyNumberFormat="1" applyFont="1" applyFill="1" applyBorder="1">
      <alignment vertical="center"/>
    </xf>
    <xf numFmtId="0" fontId="62" fillId="0" borderId="51" xfId="13" applyFont="1" applyFill="1" applyBorder="1" applyAlignment="1">
      <alignment vertical="center"/>
    </xf>
    <xf numFmtId="0" fontId="64" fillId="0" borderId="62" xfId="13" applyFont="1" applyFill="1" applyBorder="1" applyAlignment="1">
      <alignment horizontal="left" vertical="center"/>
    </xf>
    <xf numFmtId="241" fontId="238" fillId="0" borderId="48" xfId="13" applyNumberFormat="1" applyFont="1" applyFill="1" applyBorder="1" applyAlignment="1">
      <alignment horizontal="center" vertical="center"/>
    </xf>
    <xf numFmtId="236" fontId="238" fillId="0" borderId="62" xfId="7" applyNumberFormat="1" applyFont="1" applyFill="1" applyBorder="1" applyAlignment="1">
      <alignment horizontal="center" vertical="center"/>
    </xf>
    <xf numFmtId="0" fontId="68" fillId="0" borderId="146" xfId="13" applyFont="1" applyBorder="1">
      <alignment vertical="center"/>
    </xf>
    <xf numFmtId="0" fontId="68" fillId="0" borderId="147" xfId="13" applyFont="1" applyBorder="1">
      <alignment vertical="center"/>
    </xf>
    <xf numFmtId="0" fontId="66" fillId="0" borderId="147" xfId="13" applyFont="1" applyBorder="1">
      <alignment vertical="center"/>
    </xf>
    <xf numFmtId="0" fontId="68" fillId="0" borderId="148" xfId="13" applyFont="1" applyBorder="1">
      <alignment vertical="center"/>
    </xf>
    <xf numFmtId="0" fontId="64" fillId="0" borderId="51" xfId="13" applyFont="1" applyFill="1" applyBorder="1" applyAlignment="1">
      <alignment horizontal="left" vertical="center"/>
    </xf>
    <xf numFmtId="246" fontId="68" fillId="0" borderId="52" xfId="13" applyNumberFormat="1" applyFont="1" applyFill="1" applyBorder="1" applyAlignment="1">
      <alignment horizontal="center" vertical="center"/>
    </xf>
    <xf numFmtId="0" fontId="68" fillId="0" borderId="66" xfId="13" applyFont="1" applyFill="1" applyBorder="1">
      <alignment vertical="center"/>
    </xf>
    <xf numFmtId="0" fontId="68" fillId="0" borderId="149" xfId="13" applyFont="1" applyBorder="1">
      <alignment vertical="center"/>
    </xf>
    <xf numFmtId="247" fontId="95" fillId="0" borderId="21" xfId="18" applyNumberFormat="1" applyFont="1" applyFill="1" applyBorder="1" applyAlignment="1">
      <alignment horizontal="center" vertical="center"/>
    </xf>
    <xf numFmtId="0" fontId="68" fillId="0" borderId="21" xfId="13" applyFont="1" applyFill="1" applyBorder="1">
      <alignment vertical="center"/>
    </xf>
    <xf numFmtId="182" fontId="89" fillId="0" borderId="21" xfId="14" applyNumberFormat="1" applyFont="1" applyFill="1" applyBorder="1">
      <alignment vertical="center"/>
    </xf>
    <xf numFmtId="0" fontId="68" fillId="0" borderId="150" xfId="13" applyFont="1" applyBorder="1">
      <alignment vertical="center"/>
    </xf>
    <xf numFmtId="0" fontId="68" fillId="0" borderId="51" xfId="13" applyFont="1" applyFill="1" applyBorder="1" applyAlignment="1">
      <alignment vertical="center"/>
    </xf>
    <xf numFmtId="0" fontId="68" fillId="0" borderId="51" xfId="13" applyFont="1" applyFill="1" applyBorder="1" applyAlignment="1">
      <alignment horizontal="left" vertical="center" indent="1"/>
    </xf>
    <xf numFmtId="209" fontId="64" fillId="0" borderId="63" xfId="7" applyNumberFormat="1" applyFont="1" applyFill="1" applyBorder="1" applyAlignment="1">
      <alignment horizontal="center" vertical="center"/>
    </xf>
    <xf numFmtId="216" fontId="64" fillId="0" borderId="107" xfId="9" applyNumberFormat="1" applyFont="1" applyFill="1" applyBorder="1" applyAlignment="1">
      <alignment horizontal="center" vertical="center"/>
    </xf>
    <xf numFmtId="41" fontId="116" fillId="0" borderId="0" xfId="7" applyNumberFormat="1" applyFont="1" applyFill="1" applyBorder="1" applyAlignment="1">
      <alignment horizontal="center" vertical="center"/>
    </xf>
    <xf numFmtId="236" fontId="116" fillId="0" borderId="107" xfId="7" applyNumberFormat="1" applyFont="1" applyFill="1" applyBorder="1" applyAlignment="1">
      <alignment horizontal="center" vertical="center"/>
    </xf>
    <xf numFmtId="241" fontId="239" fillId="0" borderId="0" xfId="13" applyNumberFormat="1" applyFont="1" applyFill="1" applyBorder="1" applyAlignment="1">
      <alignment horizontal="center" vertical="center"/>
    </xf>
    <xf numFmtId="182" fontId="120" fillId="0" borderId="0" xfId="14" applyNumberFormat="1" applyFont="1" applyFill="1" applyBorder="1">
      <alignment vertical="center"/>
    </xf>
    <xf numFmtId="209" fontId="211" fillId="0" borderId="63" xfId="7" applyNumberFormat="1" applyFont="1" applyFill="1" applyBorder="1" applyAlignment="1">
      <alignment horizontal="center" vertical="center"/>
    </xf>
    <xf numFmtId="236" fontId="211" fillId="0" borderId="107" xfId="7" applyNumberFormat="1" applyFont="1" applyFill="1" applyBorder="1" applyAlignment="1">
      <alignment horizontal="center" vertical="center"/>
    </xf>
    <xf numFmtId="246" fontId="130" fillId="0" borderId="0" xfId="13" applyNumberFormat="1" applyFont="1" applyFill="1" applyBorder="1" applyAlignment="1">
      <alignment horizontal="center" vertical="center"/>
    </xf>
    <xf numFmtId="182" fontId="129" fillId="0" borderId="42" xfId="14" applyNumberFormat="1" applyFont="1" applyFill="1" applyBorder="1">
      <alignment vertical="center"/>
    </xf>
    <xf numFmtId="182" fontId="129" fillId="0" borderId="51" xfId="14" applyNumberFormat="1" applyFont="1" applyFill="1" applyBorder="1">
      <alignment vertical="center"/>
    </xf>
    <xf numFmtId="182" fontId="129" fillId="0" borderId="56" xfId="14" applyNumberFormat="1" applyFont="1" applyFill="1" applyBorder="1">
      <alignment vertical="center"/>
    </xf>
    <xf numFmtId="0" fontId="68" fillId="0" borderId="52" xfId="13" applyFont="1" applyFill="1" applyBorder="1" applyAlignment="1">
      <alignment horizontal="left" vertical="center" indent="1"/>
    </xf>
    <xf numFmtId="0" fontId="68" fillId="0" borderId="53" xfId="13" applyFont="1" applyFill="1" applyBorder="1" applyAlignment="1">
      <alignment horizontal="left" vertical="center" indent="1"/>
    </xf>
    <xf numFmtId="0" fontId="64" fillId="0" borderId="53" xfId="13" applyFont="1" applyFill="1" applyBorder="1" applyAlignment="1">
      <alignment horizontal="left" vertical="center" indent="1"/>
    </xf>
    <xf numFmtId="209" fontId="64" fillId="0" borderId="66" xfId="7" applyNumberFormat="1" applyFont="1" applyFill="1" applyBorder="1" applyAlignment="1">
      <alignment horizontal="center" vertical="center"/>
    </xf>
    <xf numFmtId="236" fontId="116" fillId="0" borderId="134" xfId="7" applyNumberFormat="1" applyFont="1" applyFill="1" applyBorder="1" applyAlignment="1">
      <alignment horizontal="center" vertical="center"/>
    </xf>
    <xf numFmtId="0" fontId="68" fillId="0" borderId="151" xfId="13" applyFont="1" applyBorder="1">
      <alignment vertical="center"/>
    </xf>
    <xf numFmtId="0" fontId="68" fillId="0" borderId="144" xfId="13" applyFont="1" applyBorder="1">
      <alignment vertical="center"/>
    </xf>
    <xf numFmtId="0" fontId="68" fillId="0" borderId="152" xfId="13" applyFont="1" applyBorder="1">
      <alignment vertical="center"/>
    </xf>
    <xf numFmtId="41" fontId="64" fillId="0" borderId="0" xfId="7" applyFont="1" applyFill="1" applyBorder="1" applyAlignment="1">
      <alignment horizontal="right" vertical="center"/>
    </xf>
    <xf numFmtId="197" fontId="95" fillId="0" borderId="0" xfId="14" applyNumberFormat="1" applyFont="1" applyFill="1" applyBorder="1" applyAlignment="1">
      <alignment horizontal="center" vertical="center"/>
    </xf>
    <xf numFmtId="182" fontId="129" fillId="0" borderId="49" xfId="7" applyNumberFormat="1" applyFont="1" applyFill="1" applyBorder="1" applyAlignment="1">
      <alignment horizontal="center" vertical="center"/>
    </xf>
    <xf numFmtId="9" fontId="120" fillId="0" borderId="0" xfId="14" applyNumberFormat="1" applyFont="1" applyFill="1" applyBorder="1" applyAlignment="1">
      <alignment horizontal="right" vertical="center"/>
    </xf>
    <xf numFmtId="181" fontId="94" fillId="0" borderId="56" xfId="10" applyNumberFormat="1" applyFont="1" applyFill="1" applyBorder="1">
      <alignment vertical="center"/>
    </xf>
    <xf numFmtId="0" fontId="68" fillId="0" borderId="51" xfId="13" applyFont="1" applyFill="1" applyBorder="1">
      <alignment vertical="center"/>
    </xf>
    <xf numFmtId="0" fontId="65" fillId="0" borderId="42" xfId="13" applyFont="1" applyFill="1" applyBorder="1">
      <alignment vertical="center"/>
    </xf>
    <xf numFmtId="234" fontId="218" fillId="0" borderId="53" xfId="13" applyNumberFormat="1" applyFont="1" applyFill="1" applyBorder="1" applyAlignment="1">
      <alignment vertical="center"/>
    </xf>
    <xf numFmtId="41" fontId="116" fillId="0" borderId="0" xfId="13" applyNumberFormat="1" applyFont="1">
      <alignment vertical="center"/>
    </xf>
    <xf numFmtId="0" fontId="65" fillId="0" borderId="56" xfId="13" applyFont="1" applyFill="1" applyBorder="1">
      <alignment vertical="center"/>
    </xf>
    <xf numFmtId="0" fontId="221" fillId="0" borderId="48" xfId="13" applyFont="1" applyFill="1" applyBorder="1">
      <alignment vertical="center"/>
    </xf>
    <xf numFmtId="0" fontId="240" fillId="0" borderId="49" xfId="13" applyFont="1" applyFill="1" applyBorder="1">
      <alignment vertical="center"/>
    </xf>
    <xf numFmtId="0" fontId="221" fillId="0" borderId="49" xfId="13" applyFont="1" applyFill="1" applyBorder="1">
      <alignment vertical="center"/>
    </xf>
    <xf numFmtId="0" fontId="241" fillId="0" borderId="49" xfId="13" applyFont="1" applyFill="1" applyBorder="1">
      <alignment vertical="center"/>
    </xf>
    <xf numFmtId="0" fontId="241" fillId="0" borderId="62" xfId="13" applyFont="1" applyFill="1" applyBorder="1">
      <alignment vertical="center"/>
    </xf>
    <xf numFmtId="182" fontId="226" fillId="0" borderId="49" xfId="13" applyNumberFormat="1" applyFont="1" applyFill="1" applyBorder="1">
      <alignment vertical="center"/>
    </xf>
    <xf numFmtId="41" fontId="93" fillId="0" borderId="62" xfId="13" applyNumberFormat="1" applyFont="1" applyFill="1" applyBorder="1">
      <alignment vertical="center"/>
    </xf>
    <xf numFmtId="0" fontId="221" fillId="0" borderId="51" xfId="13" applyFont="1" applyFill="1" applyBorder="1">
      <alignment vertical="center"/>
    </xf>
    <xf numFmtId="0" fontId="221" fillId="0" borderId="0" xfId="13" applyFont="1" applyFill="1" applyBorder="1">
      <alignment vertical="center"/>
    </xf>
    <xf numFmtId="0" fontId="242" fillId="0" borderId="0" xfId="13" applyFont="1" applyFill="1" applyBorder="1">
      <alignment vertical="center"/>
    </xf>
    <xf numFmtId="0" fontId="207" fillId="0" borderId="0" xfId="13" applyFont="1" applyFill="1" applyBorder="1">
      <alignment vertical="center"/>
    </xf>
    <xf numFmtId="0" fontId="241" fillId="0" borderId="0" xfId="13" applyFont="1" applyBorder="1">
      <alignment vertical="center"/>
    </xf>
    <xf numFmtId="41" fontId="207" fillId="0" borderId="0" xfId="13" applyNumberFormat="1" applyFont="1" applyFill="1" applyBorder="1">
      <alignment vertical="center"/>
    </xf>
    <xf numFmtId="0" fontId="241" fillId="0" borderId="63" xfId="13" applyFont="1" applyFill="1" applyBorder="1">
      <alignment vertical="center"/>
    </xf>
    <xf numFmtId="9" fontId="226" fillId="0" borderId="0" xfId="13" applyNumberFormat="1" applyFont="1" applyFill="1" applyBorder="1">
      <alignment vertical="center"/>
    </xf>
    <xf numFmtId="41" fontId="93" fillId="0" borderId="63" xfId="13" applyNumberFormat="1" applyFont="1" applyFill="1" applyBorder="1">
      <alignment vertical="center"/>
    </xf>
    <xf numFmtId="41" fontId="207" fillId="0" borderId="49" xfId="13" applyNumberFormat="1" applyFont="1" applyFill="1" applyBorder="1">
      <alignment vertical="center"/>
    </xf>
    <xf numFmtId="41" fontId="94" fillId="0" borderId="53" xfId="13" applyNumberFormat="1" applyFont="1" applyFill="1" applyBorder="1">
      <alignment vertical="center"/>
    </xf>
    <xf numFmtId="248" fontId="218" fillId="0" borderId="53" xfId="13" applyNumberFormat="1" applyFont="1" applyFill="1" applyBorder="1" applyAlignment="1">
      <alignment horizontal="right" vertical="center"/>
    </xf>
    <xf numFmtId="199" fontId="64" fillId="0" borderId="53" xfId="7" applyNumberFormat="1" applyFont="1" applyFill="1" applyBorder="1" applyAlignment="1">
      <alignment horizontal="center" vertical="center"/>
    </xf>
    <xf numFmtId="41" fontId="95" fillId="0" borderId="66" xfId="7" applyFont="1" applyFill="1" applyBorder="1">
      <alignment vertical="center"/>
    </xf>
    <xf numFmtId="195" fontId="95" fillId="0" borderId="0" xfId="14" applyNumberFormat="1" applyFont="1" applyFill="1" applyBorder="1" applyAlignment="1">
      <alignment horizontal="center" vertical="center"/>
    </xf>
    <xf numFmtId="195" fontId="95" fillId="31" borderId="0" xfId="14" applyNumberFormat="1" applyFont="1" applyFill="1" applyBorder="1" applyAlignment="1">
      <alignment horizontal="center" vertical="center"/>
    </xf>
    <xf numFmtId="0" fontId="62" fillId="0" borderId="45" xfId="13" applyFont="1" applyFill="1" applyBorder="1">
      <alignment vertical="center"/>
    </xf>
    <xf numFmtId="0" fontId="62" fillId="0" borderId="61" xfId="13" applyFont="1" applyFill="1" applyBorder="1">
      <alignment vertical="center"/>
    </xf>
    <xf numFmtId="0" fontId="68" fillId="0" borderId="24" xfId="13" applyFont="1" applyFill="1" applyBorder="1">
      <alignment vertical="center"/>
    </xf>
    <xf numFmtId="41" fontId="64" fillId="0" borderId="24" xfId="7" applyFont="1" applyFill="1" applyBorder="1" applyAlignment="1">
      <alignment horizontal="left" vertical="center"/>
    </xf>
    <xf numFmtId="197" fontId="95" fillId="31" borderId="24" xfId="14" applyNumberFormat="1" applyFont="1" applyFill="1" applyBorder="1" applyAlignment="1">
      <alignment horizontal="center" vertical="center"/>
    </xf>
    <xf numFmtId="0" fontId="241" fillId="0" borderId="52" xfId="13" applyFont="1" applyFill="1" applyBorder="1">
      <alignment vertical="center"/>
    </xf>
    <xf numFmtId="0" fontId="241" fillId="0" borderId="53" xfId="13" applyFont="1" applyFill="1" applyBorder="1">
      <alignment vertical="center"/>
    </xf>
    <xf numFmtId="0" fontId="241" fillId="0" borderId="66" xfId="13" applyFont="1" applyFill="1" applyBorder="1">
      <alignment vertical="center"/>
    </xf>
    <xf numFmtId="0" fontId="62" fillId="0" borderId="1" xfId="13" applyFont="1" applyBorder="1">
      <alignment vertical="center"/>
    </xf>
    <xf numFmtId="0" fontId="62" fillId="0" borderId="153" xfId="13" applyFont="1" applyBorder="1">
      <alignment vertical="center"/>
    </xf>
    <xf numFmtId="0" fontId="68" fillId="30" borderId="0" xfId="13" applyFont="1" applyFill="1" applyBorder="1">
      <alignment vertical="center"/>
    </xf>
    <xf numFmtId="0" fontId="62" fillId="30" borderId="0" xfId="13" applyFont="1" applyFill="1">
      <alignment vertical="center"/>
    </xf>
    <xf numFmtId="0" fontId="66" fillId="30" borderId="0" xfId="13" applyFont="1" applyFill="1" applyBorder="1">
      <alignment vertical="center"/>
    </xf>
    <xf numFmtId="0" fontId="114" fillId="30" borderId="0" xfId="13" applyFont="1" applyFill="1" applyAlignment="1">
      <alignment horizontal="left" vertical="center" indent="5"/>
    </xf>
    <xf numFmtId="0" fontId="62" fillId="9" borderId="0" xfId="13" applyFont="1" applyFill="1" applyBorder="1">
      <alignment vertical="center"/>
    </xf>
    <xf numFmtId="209" fontId="95" fillId="30" borderId="0" xfId="7" applyNumberFormat="1" applyFont="1" applyFill="1" applyBorder="1" applyAlignment="1">
      <alignment vertical="center"/>
    </xf>
    <xf numFmtId="249" fontId="64" fillId="30" borderId="0" xfId="7" applyNumberFormat="1" applyFont="1" applyFill="1" applyBorder="1" applyAlignment="1">
      <alignment vertical="center"/>
    </xf>
    <xf numFmtId="209" fontId="64" fillId="30" borderId="142" xfId="7" applyNumberFormat="1" applyFont="1" applyFill="1" applyBorder="1" applyAlignment="1">
      <alignment vertical="center"/>
    </xf>
    <xf numFmtId="249" fontId="68" fillId="30" borderId="142" xfId="13" applyNumberFormat="1" applyFont="1" applyFill="1" applyBorder="1">
      <alignment vertical="center"/>
    </xf>
    <xf numFmtId="0" fontId="64" fillId="30" borderId="0" xfId="13" applyFont="1" applyFill="1" applyAlignment="1">
      <alignment horizontal="right" vertical="center"/>
    </xf>
    <xf numFmtId="249" fontId="68" fillId="30" borderId="0" xfId="13" applyNumberFormat="1" applyFont="1" applyFill="1" applyBorder="1">
      <alignment vertical="center"/>
    </xf>
    <xf numFmtId="249" fontId="62" fillId="30" borderId="0" xfId="13" applyNumberFormat="1" applyFont="1" applyFill="1">
      <alignment vertical="center"/>
    </xf>
    <xf numFmtId="209" fontId="95" fillId="0" borderId="0" xfId="7" applyNumberFormat="1" applyFont="1" applyFill="1" applyBorder="1" applyAlignment="1">
      <alignment vertical="center"/>
    </xf>
    <xf numFmtId="249" fontId="64" fillId="0" borderId="0" xfId="7" applyNumberFormat="1" applyFont="1" applyFill="1" applyBorder="1" applyAlignment="1">
      <alignment vertical="center"/>
    </xf>
    <xf numFmtId="0" fontId="85" fillId="42" borderId="103" xfId="13" applyFont="1" applyFill="1" applyBorder="1">
      <alignment vertical="center"/>
    </xf>
    <xf numFmtId="0" fontId="244" fillId="42" borderId="104" xfId="13" applyFont="1" applyFill="1" applyBorder="1" applyAlignment="1">
      <alignment horizontal="left" vertical="center"/>
    </xf>
    <xf numFmtId="189" fontId="95" fillId="42" borderId="104" xfId="20" applyNumberFormat="1" applyFont="1" applyFill="1" applyBorder="1" applyAlignment="1" applyProtection="1">
      <alignment horizontal="center" vertical="center"/>
      <protection hidden="1"/>
    </xf>
    <xf numFmtId="41" fontId="85" fillId="42" borderId="104" xfId="7" applyNumberFormat="1" applyFont="1" applyFill="1" applyBorder="1" applyAlignment="1">
      <alignment horizontal="center" vertical="center" wrapText="1"/>
    </xf>
    <xf numFmtId="41" fontId="85" fillId="42" borderId="104" xfId="7" applyNumberFormat="1" applyFont="1" applyFill="1" applyBorder="1" applyAlignment="1">
      <alignment horizontal="center" vertical="center"/>
    </xf>
    <xf numFmtId="41" fontId="85" fillId="42" borderId="105" xfId="7" applyNumberFormat="1" applyFont="1" applyFill="1" applyBorder="1">
      <alignment vertical="center"/>
    </xf>
    <xf numFmtId="0" fontId="85" fillId="42" borderId="136" xfId="13" applyFont="1" applyFill="1" applyBorder="1">
      <alignment vertical="center"/>
    </xf>
    <xf numFmtId="197" fontId="229" fillId="42" borderId="122" xfId="14" applyNumberFormat="1" applyFont="1" applyFill="1" applyBorder="1" applyAlignment="1">
      <alignment horizontal="center" vertical="center"/>
    </xf>
    <xf numFmtId="41" fontId="85" fillId="42" borderId="122" xfId="7" applyNumberFormat="1" applyFont="1" applyFill="1" applyBorder="1" applyAlignment="1">
      <alignment horizontal="center" vertical="center" wrapText="1"/>
    </xf>
    <xf numFmtId="41" fontId="85" fillId="42" borderId="122" xfId="7" applyNumberFormat="1" applyFont="1" applyFill="1" applyBorder="1" applyAlignment="1">
      <alignment horizontal="center" vertical="center"/>
    </xf>
    <xf numFmtId="41" fontId="229" fillId="42" borderId="138" xfId="7" applyNumberFormat="1" applyFont="1" applyFill="1" applyBorder="1">
      <alignment vertical="center"/>
    </xf>
    <xf numFmtId="0" fontId="85" fillId="42" borderId="110" xfId="13" applyFont="1" applyFill="1" applyBorder="1">
      <alignment vertical="center"/>
    </xf>
    <xf numFmtId="0" fontId="244" fillId="42" borderId="0" xfId="13" applyFont="1" applyFill="1" applyBorder="1" applyAlignment="1">
      <alignment horizontal="left" vertical="center"/>
    </xf>
    <xf numFmtId="189" fontId="116" fillId="42" borderId="0" xfId="20" applyNumberFormat="1" applyFont="1" applyFill="1" applyBorder="1" applyAlignment="1" applyProtection="1">
      <alignment horizontal="center" vertical="center"/>
      <protection hidden="1"/>
    </xf>
    <xf numFmtId="41" fontId="85" fillId="42" borderId="0" xfId="7" applyNumberFormat="1" applyFont="1" applyFill="1" applyBorder="1" applyAlignment="1">
      <alignment horizontal="center" vertical="center" wrapText="1"/>
    </xf>
    <xf numFmtId="41" fontId="85" fillId="42" borderId="0" xfId="7" applyNumberFormat="1" applyFont="1" applyFill="1" applyBorder="1" applyAlignment="1">
      <alignment horizontal="center" vertical="center"/>
    </xf>
    <xf numFmtId="41" fontId="229" fillId="42" borderId="111" xfId="7" applyNumberFormat="1" applyFont="1" applyFill="1" applyBorder="1">
      <alignment vertical="center"/>
    </xf>
    <xf numFmtId="197" fontId="90" fillId="42" borderId="0" xfId="14" applyNumberFormat="1" applyFont="1" applyFill="1" applyBorder="1" applyAlignment="1">
      <alignment horizontal="center" vertical="center"/>
    </xf>
    <xf numFmtId="0" fontId="246" fillId="42" borderId="0" xfId="13" applyFont="1" applyFill="1" applyBorder="1" applyAlignment="1">
      <alignment horizontal="center" vertical="center"/>
    </xf>
    <xf numFmtId="0" fontId="246" fillId="42" borderId="111" xfId="13" applyFont="1" applyFill="1" applyBorder="1" applyAlignment="1">
      <alignment horizontal="center" vertical="center"/>
    </xf>
    <xf numFmtId="41" fontId="84" fillId="42" borderId="0" xfId="7" applyNumberFormat="1" applyFont="1" applyFill="1" applyBorder="1" applyAlignment="1">
      <alignment vertical="center"/>
    </xf>
    <xf numFmtId="0" fontId="62" fillId="42" borderId="0" xfId="13" applyFont="1" applyFill="1" applyBorder="1">
      <alignment vertical="center"/>
    </xf>
    <xf numFmtId="41" fontId="94" fillId="42" borderId="0" xfId="7" applyNumberFormat="1" applyFont="1" applyFill="1" applyBorder="1">
      <alignment vertical="center"/>
    </xf>
    <xf numFmtId="41" fontId="94" fillId="42" borderId="111" xfId="7" applyNumberFormat="1" applyFont="1" applyFill="1" applyBorder="1">
      <alignment vertical="center"/>
    </xf>
    <xf numFmtId="41" fontId="93" fillId="0" borderId="0" xfId="13" applyNumberFormat="1" applyFont="1" applyFill="1" applyBorder="1">
      <alignment vertical="center"/>
    </xf>
    <xf numFmtId="195" fontId="120" fillId="42" borderId="0" xfId="7" applyNumberFormat="1" applyFont="1" applyFill="1" applyBorder="1" applyAlignment="1">
      <alignment horizontal="right" vertical="center" wrapText="1"/>
    </xf>
    <xf numFmtId="195" fontId="120" fillId="42" borderId="111" xfId="7" applyNumberFormat="1" applyFont="1" applyFill="1" applyBorder="1" applyAlignment="1">
      <alignment horizontal="right" vertical="center" wrapText="1"/>
    </xf>
    <xf numFmtId="41" fontId="120" fillId="42" borderId="0" xfId="7" applyNumberFormat="1" applyFont="1" applyFill="1" applyBorder="1">
      <alignment vertical="center"/>
    </xf>
    <xf numFmtId="41" fontId="120" fillId="42" borderId="111" xfId="7" applyNumberFormat="1" applyFont="1" applyFill="1" applyBorder="1">
      <alignment vertical="center"/>
    </xf>
    <xf numFmtId="195" fontId="85" fillId="42" borderId="0" xfId="7" applyNumberFormat="1" applyFont="1" applyFill="1" applyBorder="1" applyAlignment="1">
      <alignment horizontal="right" vertical="center" wrapText="1"/>
    </xf>
    <xf numFmtId="41" fontId="62" fillId="42" borderId="49" xfId="7" applyNumberFormat="1" applyFont="1" applyFill="1" applyBorder="1">
      <alignment vertical="center"/>
    </xf>
    <xf numFmtId="41" fontId="62" fillId="42" borderId="154" xfId="7" applyNumberFormat="1" applyFont="1" applyFill="1" applyBorder="1">
      <alignment vertical="center"/>
    </xf>
    <xf numFmtId="41" fontId="62" fillId="42" borderId="0" xfId="7" applyNumberFormat="1" applyFont="1" applyFill="1" applyBorder="1">
      <alignment vertical="center"/>
    </xf>
    <xf numFmtId="41" fontId="62" fillId="42" borderId="111" xfId="7" applyNumberFormat="1" applyFont="1" applyFill="1" applyBorder="1">
      <alignment vertical="center"/>
    </xf>
    <xf numFmtId="41" fontId="90" fillId="42" borderId="55" xfId="7" applyNumberFormat="1" applyFont="1" applyFill="1" applyBorder="1">
      <alignment vertical="center"/>
    </xf>
    <xf numFmtId="41" fontId="90" fillId="42" borderId="155" xfId="7" applyNumberFormat="1" applyFont="1" applyFill="1" applyBorder="1">
      <alignment vertical="center"/>
    </xf>
    <xf numFmtId="0" fontId="62" fillId="42" borderId="122" xfId="13" applyFont="1" applyFill="1" applyBorder="1">
      <alignment vertical="center"/>
    </xf>
    <xf numFmtId="41" fontId="62" fillId="42" borderId="122" xfId="7" applyNumberFormat="1" applyFont="1" applyFill="1" applyBorder="1">
      <alignment vertical="center"/>
    </xf>
    <xf numFmtId="41" fontId="62" fillId="42" borderId="138" xfId="7" applyNumberFormat="1" applyFont="1" applyFill="1" applyBorder="1">
      <alignment vertical="center"/>
    </xf>
    <xf numFmtId="0" fontId="198" fillId="0" borderId="48" xfId="13" applyFont="1" applyBorder="1">
      <alignment vertical="center"/>
    </xf>
    <xf numFmtId="0" fontId="62" fillId="0" borderId="62" xfId="13" applyFont="1" applyBorder="1">
      <alignment vertical="center"/>
    </xf>
    <xf numFmtId="0" fontId="62" fillId="0" borderId="63" xfId="13" applyFont="1" applyBorder="1">
      <alignment vertical="center"/>
    </xf>
    <xf numFmtId="0" fontId="63" fillId="0" borderId="63" xfId="13" applyFont="1" applyBorder="1">
      <alignment vertical="center"/>
    </xf>
    <xf numFmtId="0" fontId="64" fillId="0" borderId="62" xfId="13" applyFont="1" applyBorder="1">
      <alignment vertical="center"/>
    </xf>
    <xf numFmtId="0" fontId="64" fillId="0" borderId="63" xfId="13" applyFont="1" applyBorder="1">
      <alignment vertical="center"/>
    </xf>
    <xf numFmtId="0" fontId="97" fillId="0" borderId="0" xfId="13" applyFont="1" applyBorder="1">
      <alignment vertical="center"/>
    </xf>
    <xf numFmtId="0" fontId="64" fillId="0" borderId="66" xfId="13" applyFont="1" applyBorder="1">
      <alignment vertical="center"/>
    </xf>
    <xf numFmtId="41" fontId="64" fillId="0" borderId="0" xfId="7" applyFont="1" applyFill="1" applyBorder="1" applyAlignment="1">
      <alignment horizontal="center" vertical="center"/>
    </xf>
    <xf numFmtId="0" fontId="64" fillId="0" borderId="0" xfId="13" applyFont="1" applyBorder="1">
      <alignment vertical="center"/>
    </xf>
    <xf numFmtId="0" fontId="125" fillId="0" borderId="0" xfId="13" applyFont="1">
      <alignment vertical="center"/>
    </xf>
    <xf numFmtId="41" fontId="62" fillId="0" borderId="51" xfId="13" applyNumberFormat="1" applyFont="1" applyBorder="1">
      <alignment vertical="center"/>
    </xf>
    <xf numFmtId="9" fontId="209" fillId="0" borderId="52" xfId="14" applyFont="1" applyBorder="1">
      <alignment vertical="center"/>
    </xf>
    <xf numFmtId="0" fontId="209" fillId="0" borderId="53" xfId="13" applyFont="1" applyFill="1" applyBorder="1">
      <alignment vertical="center"/>
    </xf>
    <xf numFmtId="0" fontId="209" fillId="0" borderId="66" xfId="13" applyFont="1" applyFill="1" applyBorder="1">
      <alignment vertical="center"/>
    </xf>
    <xf numFmtId="0" fontId="209" fillId="0" borderId="0" xfId="13" applyFont="1">
      <alignment vertical="center"/>
    </xf>
    <xf numFmtId="0" fontId="209" fillId="0" borderId="0" xfId="13" applyFont="1" applyFill="1">
      <alignment vertical="center"/>
    </xf>
    <xf numFmtId="0" fontId="247" fillId="10" borderId="23" xfId="29" applyFont="1" applyFill="1" applyBorder="1">
      <alignment vertical="center"/>
    </xf>
    <xf numFmtId="0" fontId="248" fillId="10" borderId="27" xfId="29" applyFont="1" applyFill="1" applyBorder="1">
      <alignment vertical="center"/>
    </xf>
    <xf numFmtId="9" fontId="190" fillId="11" borderId="7" xfId="0" applyNumberFormat="1" applyFont="1" applyFill="1" applyBorder="1" applyAlignment="1">
      <alignment horizontal="center" vertical="center" wrapText="1"/>
    </xf>
    <xf numFmtId="14" fontId="142" fillId="8" borderId="5" xfId="0" applyNumberFormat="1" applyFont="1" applyFill="1" applyBorder="1" applyAlignment="1">
      <alignment horizontal="center" vertical="center" wrapText="1"/>
    </xf>
    <xf numFmtId="14" fontId="142" fillId="8" borderId="2" xfId="0" applyNumberFormat="1" applyFont="1" applyFill="1" applyBorder="1" applyAlignment="1">
      <alignment horizontal="center" vertical="center" wrapText="1"/>
    </xf>
    <xf numFmtId="202" fontId="184" fillId="0" borderId="2" xfId="0" applyNumberFormat="1" applyFont="1" applyBorder="1" applyAlignment="1">
      <alignment horizontal="center" vertical="center" wrapText="1"/>
    </xf>
    <xf numFmtId="10" fontId="184" fillId="0" borderId="2" xfId="0" applyNumberFormat="1" applyFont="1" applyBorder="1" applyAlignment="1">
      <alignment horizontal="center" vertical="center" wrapText="1"/>
    </xf>
    <xf numFmtId="198" fontId="184" fillId="0" borderId="2" xfId="0" applyNumberFormat="1" applyFont="1" applyBorder="1" applyAlignment="1">
      <alignment horizontal="center" vertical="center" wrapText="1"/>
    </xf>
    <xf numFmtId="10" fontId="184" fillId="11" borderId="2" xfId="0" applyNumberFormat="1" applyFont="1" applyFill="1" applyBorder="1" applyAlignment="1">
      <alignment horizontal="center" vertical="center" wrapText="1"/>
    </xf>
    <xf numFmtId="202" fontId="193" fillId="0" borderId="7" xfId="0" applyNumberFormat="1" applyFont="1" applyBorder="1" applyAlignment="1">
      <alignment horizontal="center" vertical="center" wrapText="1"/>
    </xf>
    <xf numFmtId="0" fontId="130" fillId="2" borderId="0" xfId="5" applyFont="1" applyFill="1" applyAlignment="1"/>
    <xf numFmtId="0" fontId="130" fillId="2" borderId="0" xfId="5" applyFont="1" applyFill="1" applyAlignment="1">
      <alignment horizontal="center"/>
    </xf>
    <xf numFmtId="0" fontId="131" fillId="2" borderId="0" xfId="5" applyFont="1" applyFill="1" applyAlignment="1"/>
    <xf numFmtId="10" fontId="131" fillId="2" borderId="0" xfId="5" applyNumberFormat="1" applyFont="1" applyFill="1" applyAlignment="1"/>
    <xf numFmtId="0" fontId="134" fillId="2" borderId="0" xfId="5" applyFont="1" applyFill="1" applyAlignment="1"/>
    <xf numFmtId="200" fontId="134" fillId="2" borderId="0" xfId="5" applyNumberFormat="1" applyFont="1" applyFill="1" applyAlignment="1"/>
    <xf numFmtId="0" fontId="135" fillId="2" borderId="0" xfId="5" applyFont="1" applyFill="1" applyAlignment="1"/>
    <xf numFmtId="10" fontId="135" fillId="2" borderId="0" xfId="5" applyNumberFormat="1" applyFont="1" applyFill="1" applyAlignment="1"/>
    <xf numFmtId="198" fontId="135" fillId="2" borderId="0" xfId="5" applyNumberFormat="1" applyFont="1" applyFill="1" applyAlignment="1"/>
    <xf numFmtId="10" fontId="131" fillId="0" borderId="0" xfId="14" applyNumberFormat="1" applyFont="1">
      <alignment vertical="center"/>
    </xf>
    <xf numFmtId="0" fontId="249" fillId="0" borderId="0" xfId="5" applyFont="1">
      <alignment vertical="center"/>
    </xf>
    <xf numFmtId="10" fontId="197" fillId="0" borderId="0" xfId="5" applyNumberFormat="1" applyFont="1">
      <alignment vertical="center"/>
    </xf>
    <xf numFmtId="10" fontId="34" fillId="0" borderId="3" xfId="0" applyNumberFormat="1" applyFont="1" applyBorder="1" applyAlignment="1">
      <alignment horizontal="center" vertical="center" wrapText="1"/>
    </xf>
    <xf numFmtId="200" fontId="34" fillId="0" borderId="3" xfId="1" applyNumberFormat="1" applyFont="1" applyBorder="1" applyAlignment="1">
      <alignment horizontal="center" vertical="center" wrapText="1"/>
    </xf>
    <xf numFmtId="0" fontId="21" fillId="0" borderId="0" xfId="5" applyFont="1" applyAlignment="1">
      <alignment horizontal="center" vertical="center"/>
    </xf>
    <xf numFmtId="14" fontId="21" fillId="0" borderId="0" xfId="5" applyNumberFormat="1" applyFont="1" applyAlignment="1">
      <alignment horizontal="center" vertical="center"/>
    </xf>
    <xf numFmtId="14" fontId="165" fillId="0" borderId="0" xfId="5" applyNumberFormat="1" applyFont="1" applyAlignment="1">
      <alignment horizontal="center" vertical="center"/>
    </xf>
    <xf numFmtId="0" fontId="165" fillId="0" borderId="0" xfId="5" applyFont="1" applyAlignment="1">
      <alignment horizontal="center" vertical="center"/>
    </xf>
    <xf numFmtId="0" fontId="250" fillId="6" borderId="0" xfId="3" applyFont="1" applyFill="1">
      <alignment vertical="center"/>
    </xf>
    <xf numFmtId="3" fontId="26" fillId="53" borderId="7" xfId="3" applyNumberFormat="1" applyFont="1" applyFill="1" applyBorder="1" applyAlignment="1">
      <alignment horizontal="right" vertical="center" wrapText="1"/>
    </xf>
    <xf numFmtId="180" fontId="62" fillId="53" borderId="49" xfId="0" applyNumberFormat="1" applyFont="1" applyFill="1" applyBorder="1">
      <alignment vertical="center"/>
    </xf>
    <xf numFmtId="3" fontId="26" fillId="41" borderId="7" xfId="3" applyNumberFormat="1" applyFont="1" applyFill="1" applyBorder="1" applyAlignment="1">
      <alignment horizontal="right" vertical="center" wrapText="1"/>
    </xf>
    <xf numFmtId="14" fontId="13" fillId="9" borderId="11" xfId="3" applyNumberFormat="1" applyFont="1" applyFill="1" applyBorder="1" applyAlignment="1">
      <alignment horizontal="center" vertical="center" wrapText="1"/>
    </xf>
    <xf numFmtId="14" fontId="12" fillId="0" borderId="11" xfId="3" applyNumberFormat="1" applyFont="1" applyFill="1" applyBorder="1" applyAlignment="1">
      <alignment horizontal="center" vertical="center" wrapText="1"/>
    </xf>
    <xf numFmtId="3" fontId="13" fillId="0" borderId="3" xfId="3" applyNumberFormat="1" applyFont="1" applyFill="1" applyBorder="1" applyAlignment="1">
      <alignment horizontal="right" vertical="center" wrapText="1"/>
    </xf>
    <xf numFmtId="3" fontId="13" fillId="0" borderId="3" xfId="3" applyNumberFormat="1" applyFont="1" applyBorder="1" applyAlignment="1">
      <alignment horizontal="right" vertical="center" wrapText="1"/>
    </xf>
    <xf numFmtId="3" fontId="13" fillId="10" borderId="3" xfId="3" applyNumberFormat="1" applyFont="1" applyFill="1" applyBorder="1" applyAlignment="1">
      <alignment horizontal="right" vertical="center" wrapText="1"/>
    </xf>
    <xf numFmtId="41" fontId="13" fillId="0" borderId="3" xfId="3" applyNumberFormat="1" applyFont="1" applyBorder="1" applyAlignment="1">
      <alignment horizontal="right" vertical="center" wrapText="1"/>
    </xf>
    <xf numFmtId="41" fontId="13" fillId="12" borderId="3" xfId="3" applyNumberFormat="1" applyFont="1" applyFill="1" applyBorder="1" applyAlignment="1">
      <alignment horizontal="right" vertical="center" wrapText="1"/>
    </xf>
    <xf numFmtId="14" fontId="12" fillId="0" borderId="2" xfId="3" applyNumberFormat="1" applyFont="1" applyFill="1" applyBorder="1" applyAlignment="1">
      <alignment horizontal="center" vertical="center" wrapText="1"/>
    </xf>
    <xf numFmtId="3" fontId="15" fillId="0" borderId="2" xfId="3" applyNumberFormat="1" applyFont="1" applyFill="1" applyBorder="1" applyAlignment="1">
      <alignment horizontal="right" vertical="center" wrapText="1"/>
    </xf>
    <xf numFmtId="3" fontId="15" fillId="0" borderId="2" xfId="3" applyNumberFormat="1" applyFont="1" applyBorder="1" applyAlignment="1">
      <alignment horizontal="right" vertical="center" wrapText="1"/>
    </xf>
    <xf numFmtId="3" fontId="13" fillId="10" borderId="2" xfId="3" applyNumberFormat="1" applyFont="1" applyFill="1" applyBorder="1" applyAlignment="1">
      <alignment horizontal="right" vertical="center" wrapText="1"/>
    </xf>
    <xf numFmtId="3" fontId="13" fillId="0" borderId="2" xfId="3" applyNumberFormat="1" applyFont="1" applyBorder="1" applyAlignment="1">
      <alignment horizontal="right" vertical="center" wrapText="1"/>
    </xf>
    <xf numFmtId="3" fontId="13" fillId="5" borderId="2" xfId="3" applyNumberFormat="1" applyFont="1" applyFill="1" applyBorder="1" applyAlignment="1">
      <alignment horizontal="right" vertical="center" wrapText="1"/>
    </xf>
    <xf numFmtId="41" fontId="13" fillId="12" borderId="2" xfId="3" applyNumberFormat="1" applyFont="1" applyFill="1" applyBorder="1" applyAlignment="1">
      <alignment horizontal="right" vertical="center" wrapText="1"/>
    </xf>
    <xf numFmtId="3" fontId="251" fillId="0" borderId="7" xfId="5" applyNumberFormat="1" applyFont="1" applyBorder="1" applyAlignment="1">
      <alignment horizontal="center" vertical="center" wrapText="1"/>
    </xf>
    <xf numFmtId="3" fontId="251" fillId="0" borderId="3" xfId="5" applyNumberFormat="1" applyFont="1" applyBorder="1" applyAlignment="1">
      <alignment horizontal="center" vertical="center" wrapText="1"/>
    </xf>
    <xf numFmtId="3" fontId="252" fillId="0" borderId="7" xfId="5" applyNumberFormat="1" applyFont="1" applyBorder="1" applyAlignment="1">
      <alignment horizontal="center" vertical="center" wrapText="1"/>
    </xf>
    <xf numFmtId="0" fontId="18" fillId="0" borderId="0" xfId="5" applyBorder="1">
      <alignment vertical="center"/>
    </xf>
    <xf numFmtId="14" fontId="34" fillId="17" borderId="5" xfId="0" applyNumberFormat="1" applyFont="1" applyFill="1" applyBorder="1" applyAlignment="1">
      <alignment horizontal="center" vertical="center" wrapText="1"/>
    </xf>
    <xf numFmtId="3" fontId="34" fillId="17" borderId="7" xfId="0" applyNumberFormat="1" applyFont="1" applyFill="1" applyBorder="1" applyAlignment="1">
      <alignment horizontal="center" vertical="center" wrapText="1"/>
    </xf>
    <xf numFmtId="0" fontId="34" fillId="17" borderId="7" xfId="0" applyFont="1" applyFill="1" applyBorder="1" applyAlignment="1">
      <alignment horizontal="center" vertical="center" wrapText="1"/>
    </xf>
    <xf numFmtId="0" fontId="34" fillId="17" borderId="5" xfId="0" applyFont="1" applyFill="1" applyBorder="1" applyAlignment="1">
      <alignment horizontal="center" vertical="center" wrapText="1"/>
    </xf>
    <xf numFmtId="14" fontId="34" fillId="17" borderId="7" xfId="0" applyNumberFormat="1" applyFont="1" applyFill="1" applyBorder="1" applyAlignment="1">
      <alignment horizontal="center" vertical="center" wrapText="1"/>
    </xf>
    <xf numFmtId="0" fontId="27" fillId="17" borderId="37" xfId="0" applyFont="1" applyFill="1" applyBorder="1" applyAlignment="1">
      <alignment horizontal="center" vertical="center" wrapText="1"/>
    </xf>
    <xf numFmtId="14" fontId="27" fillId="17" borderId="7" xfId="0" applyNumberFormat="1" applyFont="1" applyFill="1" applyBorder="1" applyAlignment="1">
      <alignment horizontal="center" vertical="center" wrapText="1"/>
    </xf>
    <xf numFmtId="0" fontId="27" fillId="17" borderId="7" xfId="0" applyFont="1" applyFill="1" applyBorder="1" applyAlignment="1">
      <alignment horizontal="center" vertical="center" wrapText="1"/>
    </xf>
    <xf numFmtId="2" fontId="27" fillId="17" borderId="7" xfId="0" applyNumberFormat="1" applyFont="1" applyFill="1" applyBorder="1" applyAlignment="1">
      <alignment horizontal="center" vertical="center" wrapText="1"/>
    </xf>
    <xf numFmtId="10" fontId="27" fillId="17" borderId="7" xfId="0" applyNumberFormat="1"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34" fillId="17" borderId="37" xfId="0" applyFont="1" applyFill="1" applyBorder="1" applyAlignment="1">
      <alignment horizontal="center" vertical="center" wrapText="1"/>
    </xf>
    <xf numFmtId="2" fontId="34" fillId="17" borderId="7" xfId="0" applyNumberFormat="1" applyFont="1" applyFill="1" applyBorder="1" applyAlignment="1">
      <alignment horizontal="center" vertical="center" wrapText="1"/>
    </xf>
    <xf numFmtId="10" fontId="34" fillId="17" borderId="7" xfId="0" applyNumberFormat="1" applyFont="1" applyFill="1" applyBorder="1" applyAlignment="1">
      <alignment horizontal="center" vertical="center" wrapText="1"/>
    </xf>
    <xf numFmtId="3" fontId="34" fillId="17" borderId="38" xfId="0" applyNumberFormat="1" applyFont="1" applyFill="1" applyBorder="1" applyAlignment="1">
      <alignment horizontal="center" vertical="center" wrapText="1"/>
    </xf>
    <xf numFmtId="0" fontId="27" fillId="0" borderId="0" xfId="3" applyFont="1" applyBorder="1" applyAlignment="1">
      <alignment vertical="center" wrapText="1"/>
    </xf>
    <xf numFmtId="0" fontId="253" fillId="0" borderId="0" xfId="3" applyFont="1" applyBorder="1" applyAlignment="1">
      <alignment horizontal="left" vertical="center" wrapText="1"/>
    </xf>
    <xf numFmtId="41" fontId="65" fillId="23" borderId="43" xfId="7" applyFont="1" applyFill="1" applyBorder="1" applyAlignment="1">
      <alignment horizontal="center" vertical="center"/>
    </xf>
    <xf numFmtId="0" fontId="0" fillId="0" borderId="0" xfId="3" applyFont="1" applyFill="1" applyBorder="1" applyAlignment="1">
      <alignment horizontal="left" vertical="center"/>
    </xf>
    <xf numFmtId="0" fontId="0" fillId="0" borderId="0" xfId="3" applyFont="1" applyAlignment="1">
      <alignment horizontal="right" vertical="center"/>
    </xf>
    <xf numFmtId="0" fontId="28" fillId="0" borderId="0" xfId="3" applyFont="1">
      <alignment vertical="center"/>
    </xf>
    <xf numFmtId="180" fontId="62" fillId="23" borderId="43" xfId="0" applyNumberFormat="1" applyFont="1" applyFill="1" applyBorder="1">
      <alignment vertical="center"/>
    </xf>
    <xf numFmtId="1" fontId="34" fillId="28" borderId="7" xfId="0" applyNumberFormat="1" applyFont="1" applyFill="1" applyBorder="1" applyAlignment="1">
      <alignment horizontal="center" vertical="center" wrapText="1"/>
    </xf>
    <xf numFmtId="41" fontId="54" fillId="11" borderId="11" xfId="1" applyFont="1" applyFill="1" applyBorder="1" applyAlignment="1">
      <alignment horizontal="center" vertical="center"/>
    </xf>
    <xf numFmtId="0" fontId="0" fillId="10" borderId="35" xfId="3" applyFont="1" applyFill="1" applyBorder="1" applyAlignment="1">
      <alignment horizontal="center" vertical="center"/>
    </xf>
    <xf numFmtId="198" fontId="190" fillId="0" borderId="15" xfId="0" applyNumberFormat="1" applyFont="1" applyBorder="1" applyAlignment="1">
      <alignment horizontal="center" vertical="center" wrapText="1"/>
    </xf>
    <xf numFmtId="10" fontId="256" fillId="11" borderId="5" xfId="0" applyNumberFormat="1" applyFont="1" applyFill="1" applyBorder="1" applyAlignment="1">
      <alignment horizontal="center" vertical="center" wrapText="1"/>
    </xf>
    <xf numFmtId="202" fontId="256" fillId="0" borderId="7" xfId="0" applyNumberFormat="1" applyFont="1" applyBorder="1" applyAlignment="1">
      <alignment horizontal="center" vertical="center" wrapText="1"/>
    </xf>
    <xf numFmtId="0" fontId="0" fillId="0" borderId="0" xfId="0" applyBorder="1">
      <alignment vertical="center"/>
    </xf>
    <xf numFmtId="0" fontId="143" fillId="10" borderId="23" xfId="29" applyFill="1" applyBorder="1" applyAlignment="1">
      <alignment vertical="center" shrinkToFit="1"/>
    </xf>
    <xf numFmtId="0" fontId="185" fillId="10" borderId="27" xfId="29" applyFont="1" applyFill="1" applyBorder="1" applyAlignment="1">
      <alignment vertical="center" shrinkToFit="1"/>
    </xf>
    <xf numFmtId="0" fontId="142" fillId="0" borderId="157" xfId="0" applyFont="1" applyBorder="1" applyAlignment="1">
      <alignment horizontal="center" vertical="center"/>
    </xf>
    <xf numFmtId="14" fontId="142" fillId="0" borderId="158" xfId="0" applyNumberFormat="1" applyFont="1" applyBorder="1" applyAlignment="1">
      <alignment horizontal="center" vertical="center"/>
    </xf>
    <xf numFmtId="0" fontId="142" fillId="0" borderId="159" xfId="0" applyFont="1" applyBorder="1" applyAlignment="1">
      <alignment horizontal="center" vertical="center"/>
    </xf>
    <xf numFmtId="14" fontId="142" fillId="0" borderId="160" xfId="0" applyNumberFormat="1" applyFont="1" applyBorder="1" applyAlignment="1">
      <alignment horizontal="center" vertical="center"/>
    </xf>
    <xf numFmtId="0" fontId="142" fillId="32" borderId="161" xfId="0" applyFont="1" applyFill="1" applyBorder="1" applyAlignment="1">
      <alignment horizontal="center" vertical="center" wrapText="1"/>
    </xf>
    <xf numFmtId="0" fontId="142" fillId="32" borderId="162" xfId="0" applyFont="1" applyFill="1" applyBorder="1" applyAlignment="1">
      <alignment horizontal="center" vertical="center" wrapText="1"/>
    </xf>
    <xf numFmtId="0" fontId="257" fillId="32" borderId="162" xfId="0" applyFont="1" applyFill="1" applyBorder="1" applyAlignment="1">
      <alignment horizontal="center" vertical="center" wrapText="1"/>
    </xf>
    <xf numFmtId="0" fontId="137" fillId="0" borderId="163" xfId="0" applyFont="1" applyBorder="1" applyAlignment="1">
      <alignment horizontal="center" vertical="center" wrapText="1"/>
    </xf>
    <xf numFmtId="9" fontId="142" fillId="0" borderId="76" xfId="0"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shrinkToFit="1"/>
    </xf>
    <xf numFmtId="2" fontId="137" fillId="0" borderId="76" xfId="0" applyNumberFormat="1" applyFont="1" applyFill="1" applyBorder="1" applyAlignment="1">
      <alignment horizontal="left" vertical="center" wrapText="1" indent="2"/>
    </xf>
    <xf numFmtId="0" fontId="187" fillId="0" borderId="0" xfId="0" applyFont="1" applyAlignment="1">
      <alignment horizontal="center" vertical="center"/>
    </xf>
    <xf numFmtId="0" fontId="137" fillId="31" borderId="163" xfId="0" applyFont="1" applyFill="1" applyBorder="1" applyAlignment="1">
      <alignment horizontal="center" vertical="center" wrapText="1"/>
    </xf>
    <xf numFmtId="0" fontId="137" fillId="31" borderId="76" xfId="0" applyFont="1" applyFill="1" applyBorder="1" applyAlignment="1">
      <alignment horizontal="center" vertical="center" wrapText="1"/>
    </xf>
    <xf numFmtId="14" fontId="137" fillId="31" borderId="76" xfId="0" applyNumberFormat="1" applyFont="1" applyFill="1" applyBorder="1" applyAlignment="1">
      <alignment horizontal="center" vertical="center" wrapText="1"/>
    </xf>
    <xf numFmtId="204" fontId="142" fillId="31" borderId="76" xfId="0" applyNumberFormat="1" applyFont="1" applyFill="1" applyBorder="1" applyAlignment="1">
      <alignment horizontal="center" vertical="center" wrapText="1"/>
    </xf>
    <xf numFmtId="9" fontId="142" fillId="31" borderId="76" xfId="0" applyNumberFormat="1" applyFont="1" applyFill="1" applyBorder="1" applyAlignment="1">
      <alignment horizontal="center" vertical="center" wrapText="1"/>
    </xf>
    <xf numFmtId="182" fontId="142" fillId="31" borderId="76" xfId="0" applyNumberFormat="1" applyFont="1" applyFill="1" applyBorder="1" applyAlignment="1">
      <alignment horizontal="center" vertical="center" wrapText="1"/>
    </xf>
    <xf numFmtId="204" fontId="142" fillId="31" borderId="76" xfId="1"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shrinkToFit="1"/>
    </xf>
    <xf numFmtId="2" fontId="137" fillId="31" borderId="76" xfId="0" applyNumberFormat="1" applyFont="1" applyFill="1" applyBorder="1" applyAlignment="1">
      <alignment horizontal="left" vertical="center" wrapText="1" indent="2"/>
    </xf>
    <xf numFmtId="0" fontId="187" fillId="0" borderId="0" xfId="0" applyFont="1">
      <alignment vertical="center"/>
    </xf>
    <xf numFmtId="2" fontId="137" fillId="0" borderId="76" xfId="0" applyNumberFormat="1" applyFont="1" applyFill="1" applyBorder="1" applyAlignment="1">
      <alignment horizontal="left" vertical="top" wrapText="1" indent="2"/>
    </xf>
    <xf numFmtId="0" fontId="137" fillId="0" borderId="0" xfId="0" applyFont="1" applyBorder="1" applyAlignment="1">
      <alignment horizontal="center" vertical="center" wrapText="1"/>
    </xf>
    <xf numFmtId="0" fontId="142" fillId="0" borderId="0" xfId="0" applyFont="1" applyBorder="1">
      <alignment vertical="center"/>
    </xf>
    <xf numFmtId="0" fontId="143" fillId="0" borderId="0" xfId="29" applyBorder="1">
      <alignment vertical="center"/>
    </xf>
    <xf numFmtId="0" fontId="184" fillId="0" borderId="7" xfId="0" applyFont="1" applyBorder="1" applyAlignment="1">
      <alignment horizontal="center" vertical="center"/>
    </xf>
    <xf numFmtId="0" fontId="184" fillId="0" borderId="15" xfId="0" applyFont="1" applyBorder="1" applyAlignment="1">
      <alignment horizontal="center" vertical="center"/>
    </xf>
    <xf numFmtId="14" fontId="187" fillId="0" borderId="0" xfId="0" applyNumberFormat="1" applyFont="1" applyAlignment="1">
      <alignment horizontal="center" vertical="center"/>
    </xf>
    <xf numFmtId="202" fontId="184" fillId="41" borderId="7" xfId="0" applyNumberFormat="1" applyFont="1" applyFill="1" applyBorder="1" applyAlignment="1">
      <alignment horizontal="center" vertical="center" wrapText="1"/>
    </xf>
    <xf numFmtId="208" fontId="18" fillId="0" borderId="23" xfId="5" applyNumberFormat="1" applyBorder="1">
      <alignment vertical="center"/>
    </xf>
    <xf numFmtId="41" fontId="27" fillId="17" borderId="7" xfId="1" applyFont="1" applyFill="1" applyBorder="1" applyAlignment="1">
      <alignment horizontal="center" vertical="center" wrapText="1"/>
    </xf>
    <xf numFmtId="41" fontId="27" fillId="17" borderId="38" xfId="1" applyFont="1" applyFill="1" applyBorder="1" applyAlignment="1">
      <alignment vertical="center" wrapText="1"/>
    </xf>
    <xf numFmtId="41" fontId="0" fillId="0" borderId="0" xfId="0" applyNumberFormat="1">
      <alignment vertical="center"/>
    </xf>
    <xf numFmtId="10" fontId="1" fillId="0" borderId="0" xfId="2" applyNumberFormat="1" applyAlignment="1">
      <alignment horizontal="center" vertical="center"/>
    </xf>
    <xf numFmtId="14" fontId="12" fillId="17" borderId="5" xfId="3" applyNumberFormat="1" applyFont="1" applyFill="1" applyBorder="1" applyAlignment="1">
      <alignment horizontal="center" vertical="center" wrapText="1"/>
    </xf>
    <xf numFmtId="41" fontId="13" fillId="17" borderId="7" xfId="3" applyNumberFormat="1" applyFont="1" applyFill="1" applyBorder="1" applyAlignment="1">
      <alignment horizontal="right" vertical="center" wrapText="1"/>
    </xf>
    <xf numFmtId="3" fontId="16" fillId="17" borderId="7" xfId="3" applyNumberFormat="1" applyFont="1" applyFill="1" applyBorder="1" applyAlignment="1">
      <alignment horizontal="right" vertical="center" wrapText="1"/>
    </xf>
    <xf numFmtId="41" fontId="13" fillId="17" borderId="0" xfId="3" applyNumberFormat="1" applyFont="1" applyFill="1" applyBorder="1" applyAlignment="1">
      <alignment horizontal="right" vertical="center" wrapText="1"/>
    </xf>
    <xf numFmtId="41" fontId="0" fillId="54" borderId="0" xfId="1" applyFont="1" applyFill="1">
      <alignment vertical="center"/>
    </xf>
    <xf numFmtId="0" fontId="0" fillId="54" borderId="0" xfId="0" applyFill="1">
      <alignment vertical="center"/>
    </xf>
    <xf numFmtId="10" fontId="142" fillId="10" borderId="35" xfId="0" applyNumberFormat="1" applyFont="1" applyFill="1" applyBorder="1" applyAlignment="1">
      <alignment horizontal="center" vertical="center" wrapText="1"/>
    </xf>
    <xf numFmtId="202" fontId="184" fillId="13" borderId="7" xfId="0" applyNumberFormat="1" applyFont="1" applyFill="1" applyBorder="1" applyAlignment="1">
      <alignment horizontal="center" vertical="center" wrapText="1"/>
    </xf>
    <xf numFmtId="10" fontId="165" fillId="0" borderId="0" xfId="2" applyNumberFormat="1" applyFont="1">
      <alignment vertical="center"/>
    </xf>
    <xf numFmtId="3" fontId="42" fillId="26" borderId="6" xfId="0" applyNumberFormat="1" applyFont="1" applyFill="1" applyBorder="1" applyAlignment="1">
      <alignment horizontal="center" vertical="center" wrapText="1"/>
    </xf>
    <xf numFmtId="3" fontId="42" fillId="26" borderId="3" xfId="0" applyNumberFormat="1" applyFont="1" applyFill="1" applyBorder="1" applyAlignment="1">
      <alignment horizontal="center" vertical="center" wrapText="1"/>
    </xf>
    <xf numFmtId="3" fontId="42" fillId="0" borderId="7" xfId="0" applyNumberFormat="1" applyFont="1" applyBorder="1" applyAlignment="1">
      <alignment horizontal="center" vertical="center" wrapText="1"/>
    </xf>
    <xf numFmtId="3" fontId="42" fillId="0" borderId="3" xfId="0" applyNumberFormat="1" applyFont="1" applyBorder="1" applyAlignment="1">
      <alignment horizontal="center" vertical="center" wrapText="1"/>
    </xf>
    <xf numFmtId="41" fontId="95" fillId="0" borderId="51" xfId="7" applyFont="1" applyBorder="1">
      <alignment vertical="center"/>
    </xf>
    <xf numFmtId="194" fontId="64" fillId="55" borderId="63" xfId="9" applyNumberFormat="1" applyFont="1" applyFill="1" applyBorder="1">
      <alignment vertical="center"/>
    </xf>
    <xf numFmtId="194" fontId="64" fillId="0" borderId="64" xfId="0" applyNumberFormat="1" applyFont="1" applyBorder="1">
      <alignment vertical="center"/>
    </xf>
    <xf numFmtId="41" fontId="64" fillId="55" borderId="0" xfId="7" applyFont="1" applyFill="1" applyBorder="1">
      <alignment vertical="center"/>
    </xf>
    <xf numFmtId="41" fontId="64" fillId="9" borderId="53" xfId="7" applyFont="1" applyFill="1" applyBorder="1">
      <alignment vertical="center"/>
    </xf>
    <xf numFmtId="0" fontId="120" fillId="0" borderId="0" xfId="0" applyFont="1" applyFill="1">
      <alignment vertical="center"/>
    </xf>
    <xf numFmtId="194" fontId="64" fillId="10" borderId="67" xfId="7" applyNumberFormat="1" applyFont="1" applyFill="1" applyBorder="1">
      <alignment vertical="center"/>
    </xf>
    <xf numFmtId="194" fontId="64" fillId="10" borderId="102" xfId="7" applyNumberFormat="1" applyFont="1" applyFill="1" applyBorder="1">
      <alignment vertical="center"/>
    </xf>
    <xf numFmtId="41" fontId="61" fillId="0" borderId="0" xfId="0" applyNumberFormat="1" applyFont="1" applyFill="1" applyBorder="1">
      <alignment vertical="center"/>
    </xf>
    <xf numFmtId="194" fontId="61" fillId="0" borderId="0" xfId="7" applyNumberFormat="1" applyFont="1" applyFill="1" applyBorder="1">
      <alignment vertical="center"/>
    </xf>
    <xf numFmtId="0" fontId="195" fillId="48" borderId="0" xfId="0" applyFont="1" applyFill="1" applyAlignment="1">
      <alignment horizontal="centerContinuous" vertical="center"/>
    </xf>
    <xf numFmtId="0" fontId="58" fillId="48" borderId="0" xfId="0" applyFont="1" applyFill="1" applyAlignment="1">
      <alignment horizontal="centerContinuous" vertical="center"/>
    </xf>
    <xf numFmtId="0" fontId="60" fillId="48" borderId="0" xfId="0" applyFont="1" applyFill="1" applyAlignment="1">
      <alignment horizontal="centerContinuous" vertical="center"/>
    </xf>
    <xf numFmtId="0" fontId="58" fillId="48" borderId="0" xfId="0" applyFont="1" applyFill="1" applyBorder="1" applyAlignment="1">
      <alignment horizontal="centerContinuous" vertical="center"/>
    </xf>
    <xf numFmtId="0" fontId="0" fillId="0" borderId="63" xfId="0" applyBorder="1" applyAlignment="1">
      <alignment horizontal="left" vertical="center"/>
    </xf>
    <xf numFmtId="0" fontId="0" fillId="0" borderId="63" xfId="0" applyBorder="1" applyAlignment="1">
      <alignment horizontal="center" vertical="center"/>
    </xf>
    <xf numFmtId="179" fontId="120" fillId="0" borderId="0" xfId="0" applyNumberFormat="1" applyFont="1" applyFill="1" applyBorder="1" applyAlignment="1">
      <alignment horizontal="center" vertical="center"/>
    </xf>
    <xf numFmtId="178" fontId="64" fillId="9" borderId="48" xfId="13" applyNumberFormat="1" applyFont="1" applyFill="1" applyBorder="1" applyAlignment="1">
      <alignment horizontal="right" vertical="center"/>
    </xf>
    <xf numFmtId="179" fontId="62" fillId="9" borderId="49" xfId="0" applyNumberFormat="1" applyFont="1" applyFill="1" applyBorder="1" applyAlignment="1">
      <alignment horizontal="center" vertical="center"/>
    </xf>
    <xf numFmtId="179" fontId="206" fillId="9" borderId="49" xfId="0" applyNumberFormat="1" applyFont="1" applyFill="1" applyBorder="1" applyAlignment="1">
      <alignment horizontal="center" vertical="center"/>
    </xf>
    <xf numFmtId="217" fontId="91" fillId="9" borderId="62" xfId="7" applyNumberFormat="1" applyFont="1" applyFill="1" applyBorder="1" applyAlignment="1">
      <alignment horizontal="center" vertical="center"/>
    </xf>
    <xf numFmtId="180" fontId="207" fillId="9" borderId="48" xfId="0" applyNumberFormat="1" applyFont="1" applyFill="1" applyBorder="1">
      <alignment vertical="center"/>
    </xf>
    <xf numFmtId="180" fontId="94" fillId="55" borderId="62" xfId="0" applyNumberFormat="1" applyFont="1" applyFill="1" applyBorder="1">
      <alignment vertical="center"/>
    </xf>
    <xf numFmtId="180" fontId="112" fillId="9" borderId="49" xfId="0" applyNumberFormat="1" applyFont="1" applyFill="1" applyBorder="1">
      <alignment vertical="center"/>
    </xf>
    <xf numFmtId="187" fontId="62" fillId="9" borderId="62" xfId="14" applyNumberFormat="1" applyFont="1" applyFill="1" applyBorder="1" applyAlignment="1">
      <alignment horizontal="right" vertical="center"/>
    </xf>
    <xf numFmtId="180" fontId="94" fillId="9" borderId="48" xfId="0" applyNumberFormat="1" applyFont="1" applyFill="1" applyBorder="1">
      <alignment vertical="center"/>
    </xf>
    <xf numFmtId="180" fontId="62" fillId="9" borderId="48" xfId="0" applyNumberFormat="1" applyFont="1" applyFill="1" applyBorder="1">
      <alignment vertical="center"/>
    </xf>
    <xf numFmtId="218" fontId="62" fillId="9" borderId="0" xfId="14" applyNumberFormat="1" applyFont="1" applyFill="1" applyBorder="1" applyAlignment="1">
      <alignment horizontal="right" vertical="center"/>
    </xf>
    <xf numFmtId="218" fontId="62" fillId="9" borderId="43" xfId="14" applyNumberFormat="1" applyFont="1" applyFill="1" applyBorder="1" applyAlignment="1">
      <alignment horizontal="right" vertical="center"/>
    </xf>
    <xf numFmtId="218" fontId="62" fillId="9" borderId="42" xfId="14" applyNumberFormat="1" applyFont="1" applyFill="1" applyBorder="1" applyAlignment="1">
      <alignment horizontal="right" vertical="center"/>
    </xf>
    <xf numFmtId="219" fontId="64" fillId="9" borderId="48" xfId="7" applyNumberFormat="1" applyFont="1" applyFill="1" applyBorder="1" applyAlignment="1">
      <alignment horizontal="center" vertical="center"/>
    </xf>
    <xf numFmtId="179" fontId="62" fillId="9" borderId="62" xfId="0" applyNumberFormat="1" applyFont="1" applyFill="1" applyBorder="1" applyAlignment="1">
      <alignment horizontal="center" vertical="center"/>
    </xf>
    <xf numFmtId="180" fontId="120" fillId="9" borderId="112" xfId="0" applyNumberFormat="1" applyFont="1" applyFill="1" applyBorder="1">
      <alignment vertical="center"/>
    </xf>
    <xf numFmtId="180" fontId="62" fillId="9" borderId="112" xfId="0" applyNumberFormat="1" applyFont="1" applyFill="1" applyBorder="1">
      <alignment vertical="center"/>
    </xf>
    <xf numFmtId="218" fontId="62" fillId="9" borderId="56" xfId="14" applyNumberFormat="1" applyFont="1" applyFill="1" applyBorder="1" applyAlignment="1">
      <alignment horizontal="right" vertical="center"/>
    </xf>
    <xf numFmtId="180" fontId="62" fillId="9" borderId="0" xfId="13" applyNumberFormat="1" applyFont="1" applyFill="1" applyBorder="1">
      <alignment vertical="center"/>
    </xf>
    <xf numFmtId="180" fontId="62" fillId="9" borderId="113" xfId="0" applyNumberFormat="1" applyFont="1" applyFill="1" applyBorder="1">
      <alignment vertical="center"/>
    </xf>
    <xf numFmtId="180" fontId="62" fillId="9" borderId="114" xfId="0" applyNumberFormat="1" applyFont="1" applyFill="1" applyBorder="1">
      <alignment vertical="center"/>
    </xf>
    <xf numFmtId="178" fontId="64" fillId="9" borderId="51" xfId="13" applyNumberFormat="1" applyFont="1" applyFill="1" applyBorder="1" applyAlignment="1">
      <alignment horizontal="right" vertical="center"/>
    </xf>
    <xf numFmtId="179" fontId="62" fillId="9" borderId="0" xfId="0" applyNumberFormat="1" applyFont="1" applyFill="1" applyBorder="1" applyAlignment="1">
      <alignment horizontal="center" vertical="center"/>
    </xf>
    <xf numFmtId="179" fontId="206" fillId="9" borderId="0" xfId="0" applyNumberFormat="1" applyFont="1" applyFill="1" applyBorder="1" applyAlignment="1">
      <alignment horizontal="center" vertical="center"/>
    </xf>
    <xf numFmtId="217" fontId="91" fillId="9" borderId="63" xfId="7" applyNumberFormat="1" applyFont="1" applyFill="1" applyBorder="1" applyAlignment="1">
      <alignment horizontal="center" vertical="center"/>
    </xf>
    <xf numFmtId="180" fontId="207" fillId="9" borderId="51" xfId="0" applyNumberFormat="1" applyFont="1" applyFill="1" applyBorder="1">
      <alignment vertical="center"/>
    </xf>
    <xf numFmtId="180" fontId="94" fillId="9" borderId="63" xfId="0" applyNumberFormat="1" applyFont="1" applyFill="1" applyBorder="1">
      <alignment vertical="center"/>
    </xf>
    <xf numFmtId="180" fontId="112" fillId="9" borderId="0" xfId="0" applyNumberFormat="1" applyFont="1" applyFill="1" applyBorder="1">
      <alignment vertical="center"/>
    </xf>
    <xf numFmtId="187" fontId="62" fillId="9" borderId="63" xfId="14" applyNumberFormat="1" applyFont="1" applyFill="1" applyBorder="1" applyAlignment="1">
      <alignment horizontal="right" vertical="center"/>
    </xf>
    <xf numFmtId="180" fontId="94" fillId="9" borderId="51" xfId="0" applyNumberFormat="1" applyFont="1" applyFill="1" applyBorder="1">
      <alignment vertical="center"/>
    </xf>
    <xf numFmtId="180" fontId="62" fillId="9" borderId="51" xfId="0" applyNumberFormat="1" applyFont="1" applyFill="1" applyBorder="1">
      <alignment vertical="center"/>
    </xf>
    <xf numFmtId="180" fontId="94" fillId="9" borderId="0" xfId="0" applyNumberFormat="1" applyFont="1" applyFill="1" applyBorder="1">
      <alignment vertical="center"/>
    </xf>
    <xf numFmtId="219" fontId="64" fillId="9" borderId="51" xfId="7" applyNumberFormat="1" applyFont="1" applyFill="1" applyBorder="1" applyAlignment="1">
      <alignment horizontal="center" vertical="center"/>
    </xf>
    <xf numFmtId="179" fontId="62" fillId="9" borderId="63" xfId="0" applyNumberFormat="1" applyFont="1" applyFill="1" applyBorder="1" applyAlignment="1">
      <alignment horizontal="center" vertical="center"/>
    </xf>
    <xf numFmtId="180" fontId="120" fillId="9" borderId="107" xfId="0" applyNumberFormat="1" applyFont="1" applyFill="1" applyBorder="1">
      <alignment vertical="center"/>
    </xf>
    <xf numFmtId="180" fontId="62" fillId="9" borderId="107" xfId="0" applyNumberFormat="1" applyFont="1" applyFill="1" applyBorder="1">
      <alignment vertical="center"/>
    </xf>
    <xf numFmtId="180" fontId="62" fillId="9" borderId="106" xfId="0" applyNumberFormat="1" applyFont="1" applyFill="1" applyBorder="1">
      <alignment vertical="center"/>
    </xf>
    <xf numFmtId="180" fontId="62" fillId="9" borderId="115" xfId="0" applyNumberFormat="1" applyFont="1" applyFill="1" applyBorder="1">
      <alignment vertical="center"/>
    </xf>
    <xf numFmtId="14" fontId="129" fillId="0" borderId="0" xfId="13" applyNumberFormat="1" applyFont="1" applyFill="1" applyBorder="1" applyAlignment="1">
      <alignment horizontal="right" vertical="center"/>
    </xf>
    <xf numFmtId="179" fontId="62" fillId="0" borderId="0" xfId="0" applyNumberFormat="1" applyFont="1" applyFill="1" applyBorder="1" applyAlignment="1">
      <alignment horizontal="center" vertical="center"/>
    </xf>
    <xf numFmtId="179" fontId="206" fillId="0" borderId="0" xfId="0" applyNumberFormat="1" applyFont="1" applyFill="1" applyBorder="1" applyAlignment="1">
      <alignment horizontal="center" vertical="center"/>
    </xf>
    <xf numFmtId="180" fontId="207" fillId="0" borderId="51" xfId="0" applyNumberFormat="1" applyFont="1" applyFill="1" applyBorder="1">
      <alignment vertical="center"/>
    </xf>
    <xf numFmtId="180" fontId="120" fillId="0" borderId="63" xfId="0" applyNumberFormat="1" applyFont="1" applyFill="1" applyBorder="1">
      <alignment vertical="center"/>
    </xf>
    <xf numFmtId="180" fontId="62" fillId="0" borderId="51" xfId="0" applyNumberFormat="1" applyFont="1" applyFill="1" applyBorder="1">
      <alignment vertical="center"/>
    </xf>
    <xf numFmtId="179" fontId="62" fillId="0" borderId="63" xfId="0" applyNumberFormat="1" applyFont="1" applyFill="1" applyBorder="1" applyAlignment="1">
      <alignment horizontal="center" vertical="center"/>
    </xf>
    <xf numFmtId="180" fontId="120" fillId="31" borderId="107" xfId="0" applyNumberFormat="1" applyFont="1" applyFill="1" applyBorder="1">
      <alignment vertical="center"/>
    </xf>
    <xf numFmtId="180" fontId="62" fillId="5" borderId="107" xfId="0" applyNumberFormat="1" applyFont="1" applyFill="1" applyBorder="1">
      <alignment vertical="center"/>
    </xf>
    <xf numFmtId="180" fontId="62" fillId="0" borderId="106" xfId="0" applyNumberFormat="1" applyFont="1" applyFill="1" applyBorder="1">
      <alignment vertical="center"/>
    </xf>
    <xf numFmtId="180" fontId="62" fillId="0" borderId="107" xfId="0" applyNumberFormat="1" applyFont="1" applyFill="1" applyBorder="1">
      <alignment vertical="center"/>
    </xf>
    <xf numFmtId="180" fontId="62" fillId="0" borderId="115" xfId="0" applyNumberFormat="1" applyFont="1" applyFill="1" applyBorder="1">
      <alignment vertical="center"/>
    </xf>
    <xf numFmtId="0" fontId="258" fillId="0" borderId="0" xfId="0" applyFont="1">
      <alignment vertical="center"/>
    </xf>
    <xf numFmtId="0" fontId="258" fillId="0" borderId="0" xfId="13" applyFont="1" applyBorder="1">
      <alignment vertical="center"/>
    </xf>
    <xf numFmtId="14" fontId="62" fillId="0" borderId="0" xfId="0" applyNumberFormat="1" applyFont="1" applyFill="1">
      <alignment vertical="center"/>
    </xf>
    <xf numFmtId="0" fontId="259" fillId="0" borderId="108" xfId="13" applyFont="1" applyFill="1" applyBorder="1" applyAlignment="1">
      <alignment horizontal="center" vertical="center"/>
    </xf>
    <xf numFmtId="210" fontId="95" fillId="0" borderId="109" xfId="13" applyNumberFormat="1" applyFont="1" applyFill="1" applyBorder="1" applyAlignment="1">
      <alignment horizontal="right" vertical="center"/>
    </xf>
    <xf numFmtId="177" fontId="213" fillId="0" borderId="124" xfId="0" applyNumberFormat="1" applyFont="1" applyFill="1" applyBorder="1" applyAlignment="1">
      <alignment horizontal="center" vertical="center"/>
    </xf>
    <xf numFmtId="180" fontId="62" fillId="5" borderId="51" xfId="0" applyNumberFormat="1" applyFont="1" applyFill="1" applyBorder="1">
      <alignment vertical="center"/>
    </xf>
    <xf numFmtId="180" fontId="62" fillId="5" borderId="0" xfId="0" applyNumberFormat="1" applyFont="1" applyFill="1" applyBorder="1">
      <alignment vertical="center"/>
    </xf>
    <xf numFmtId="0" fontId="80" fillId="0" borderId="125" xfId="0" applyFont="1" applyFill="1" applyBorder="1" applyAlignment="1">
      <alignment horizontal="right" vertical="center"/>
    </xf>
    <xf numFmtId="221" fontId="213" fillId="0" borderId="126" xfId="18" applyNumberFormat="1" applyFont="1" applyFill="1" applyBorder="1" applyAlignment="1">
      <alignment horizontal="center" vertical="center"/>
    </xf>
    <xf numFmtId="216" fontId="95" fillId="0" borderId="0" xfId="9" applyNumberFormat="1" applyFont="1" applyFill="1" applyBorder="1" applyAlignment="1">
      <alignment horizontal="center" vertical="center"/>
    </xf>
    <xf numFmtId="14" fontId="209" fillId="0" borderId="0" xfId="0" applyNumberFormat="1" applyFont="1" applyFill="1">
      <alignment vertical="center"/>
    </xf>
    <xf numFmtId="199" fontId="64" fillId="0" borderId="0" xfId="7" applyNumberFormat="1" applyFont="1" applyFill="1" applyBorder="1" applyAlignment="1">
      <alignment horizontal="center" vertical="center"/>
    </xf>
    <xf numFmtId="222" fontId="93" fillId="0" borderId="0" xfId="13" applyNumberFormat="1" applyFont="1" applyFill="1" applyBorder="1" applyAlignment="1">
      <alignment horizontal="right" vertical="center"/>
    </xf>
    <xf numFmtId="177" fontId="213" fillId="0" borderId="128" xfId="0" applyNumberFormat="1" applyFont="1" applyFill="1" applyBorder="1" applyAlignment="1">
      <alignment vertical="center"/>
    </xf>
    <xf numFmtId="0" fontId="23" fillId="0" borderId="0" xfId="13" applyFont="1" applyBorder="1">
      <alignment vertical="center"/>
    </xf>
    <xf numFmtId="199" fontId="95" fillId="31" borderId="0" xfId="7" applyNumberFormat="1" applyFont="1" applyFill="1" applyBorder="1" applyAlignment="1">
      <alignment horizontal="center" vertical="center"/>
    </xf>
    <xf numFmtId="217" fontId="95" fillId="31" borderId="0" xfId="7" applyNumberFormat="1" applyFont="1" applyFill="1" applyBorder="1" applyAlignment="1">
      <alignment horizontal="center" vertical="center"/>
    </xf>
    <xf numFmtId="0" fontId="64" fillId="0" borderId="0" xfId="0" applyFont="1" applyAlignment="1">
      <alignment horizontal="right" vertical="center"/>
    </xf>
    <xf numFmtId="226" fontId="64" fillId="0" borderId="0" xfId="0" applyNumberFormat="1" applyFont="1" applyFill="1" applyBorder="1">
      <alignment vertical="center"/>
    </xf>
    <xf numFmtId="209" fontId="86" fillId="0" borderId="42" xfId="13" applyNumberFormat="1" applyFont="1" applyFill="1" applyBorder="1">
      <alignment vertical="center"/>
    </xf>
    <xf numFmtId="195" fontId="93" fillId="0" borderId="0" xfId="11" applyNumberFormat="1" applyFont="1" applyFill="1" applyBorder="1" applyAlignment="1">
      <alignment vertical="center"/>
    </xf>
    <xf numFmtId="179" fontId="62" fillId="0" borderId="53" xfId="0" applyNumberFormat="1" applyFont="1" applyFill="1" applyBorder="1" applyAlignment="1">
      <alignment horizontal="center" vertical="center"/>
    </xf>
    <xf numFmtId="179" fontId="206" fillId="0" borderId="53" xfId="0" applyNumberFormat="1" applyFont="1" applyFill="1" applyBorder="1" applyAlignment="1">
      <alignment horizontal="center" vertical="center"/>
    </xf>
    <xf numFmtId="180" fontId="207" fillId="0" borderId="52" xfId="0" applyNumberFormat="1" applyFont="1" applyFill="1" applyBorder="1">
      <alignment vertical="center"/>
    </xf>
    <xf numFmtId="180" fontId="62" fillId="0" borderId="53" xfId="0" applyNumberFormat="1" applyFont="1" applyFill="1" applyBorder="1">
      <alignment vertical="center"/>
    </xf>
    <xf numFmtId="180" fontId="62" fillId="0" borderId="52" xfId="0" applyNumberFormat="1" applyFont="1" applyFill="1" applyBorder="1">
      <alignment vertical="center"/>
    </xf>
    <xf numFmtId="179" fontId="62" fillId="0" borderId="66" xfId="0" applyNumberFormat="1" applyFont="1" applyFill="1" applyBorder="1" applyAlignment="1">
      <alignment horizontal="center" vertical="center"/>
    </xf>
    <xf numFmtId="180" fontId="120" fillId="0" borderId="134" xfId="0" applyNumberFormat="1" applyFont="1" applyFill="1" applyBorder="1">
      <alignment vertical="center"/>
    </xf>
    <xf numFmtId="180" fontId="62" fillId="0" borderId="134" xfId="0" applyNumberFormat="1" applyFont="1" applyFill="1" applyBorder="1">
      <alignment vertical="center"/>
    </xf>
    <xf numFmtId="180" fontId="62" fillId="0" borderId="135" xfId="0" applyNumberFormat="1" applyFont="1" applyFill="1" applyBorder="1">
      <alignment vertical="center"/>
    </xf>
    <xf numFmtId="180" fontId="62" fillId="2" borderId="48" xfId="0" applyNumberFormat="1" applyFont="1" applyFill="1" applyBorder="1">
      <alignment vertical="center"/>
    </xf>
    <xf numFmtId="180" fontId="62" fillId="2" borderId="62" xfId="0" applyNumberFormat="1" applyFont="1" applyFill="1" applyBorder="1">
      <alignment vertical="center"/>
    </xf>
    <xf numFmtId="180" fontId="62" fillId="2" borderId="49" xfId="0" applyNumberFormat="1" applyFont="1" applyFill="1" applyBorder="1">
      <alignment vertical="center"/>
    </xf>
    <xf numFmtId="180" fontId="62" fillId="0" borderId="139" xfId="0" applyNumberFormat="1" applyFont="1" applyFill="1" applyBorder="1">
      <alignment vertical="center"/>
    </xf>
    <xf numFmtId="180" fontId="62" fillId="0" borderId="140" xfId="0" applyNumberFormat="1" applyFont="1" applyFill="1" applyBorder="1">
      <alignment vertical="center"/>
    </xf>
    <xf numFmtId="180" fontId="62" fillId="0" borderId="141" xfId="0" applyNumberFormat="1" applyFont="1" applyFill="1" applyBorder="1">
      <alignment vertical="center"/>
    </xf>
    <xf numFmtId="180" fontId="62" fillId="5" borderId="52" xfId="0" applyNumberFormat="1" applyFont="1" applyFill="1" applyBorder="1">
      <alignment vertical="center"/>
    </xf>
    <xf numFmtId="180" fontId="62" fillId="5" borderId="66" xfId="0" applyNumberFormat="1" applyFont="1" applyFill="1" applyBorder="1">
      <alignment vertical="center"/>
    </xf>
    <xf numFmtId="180" fontId="62" fillId="5" borderId="53" xfId="0" applyNumberFormat="1" applyFont="1" applyFill="1" applyBorder="1">
      <alignment vertical="center"/>
    </xf>
    <xf numFmtId="182" fontId="62" fillId="0" borderId="53" xfId="0" applyNumberFormat="1" applyFont="1" applyFill="1" applyBorder="1">
      <alignment vertical="center"/>
    </xf>
    <xf numFmtId="180" fontId="65" fillId="22" borderId="108" xfId="0" applyNumberFormat="1" applyFont="1" applyFill="1" applyBorder="1">
      <alignment vertical="center"/>
    </xf>
    <xf numFmtId="180" fontId="65" fillId="22" borderId="109" xfId="0" applyNumberFormat="1" applyFont="1" applyFill="1" applyBorder="1">
      <alignment vertical="center"/>
    </xf>
    <xf numFmtId="180" fontId="65" fillId="22" borderId="55" xfId="0" applyNumberFormat="1" applyFont="1" applyFill="1" applyBorder="1">
      <alignment vertical="center"/>
    </xf>
    <xf numFmtId="182" fontId="129" fillId="0" borderId="0" xfId="0" applyNumberFormat="1" applyFont="1" applyFill="1">
      <alignment vertical="center"/>
    </xf>
    <xf numFmtId="230" fontId="222" fillId="0" borderId="0" xfId="0" applyNumberFormat="1" applyFont="1" applyFill="1" applyBorder="1" applyAlignment="1">
      <alignment horizontal="left" vertical="center" indent="1"/>
    </xf>
    <xf numFmtId="41" fontId="120" fillId="9" borderId="0" xfId="7" applyFont="1" applyFill="1" applyBorder="1" applyAlignment="1">
      <alignment horizontal="center" vertical="center"/>
    </xf>
    <xf numFmtId="230" fontId="225" fillId="0" borderId="0" xfId="0" applyNumberFormat="1" applyFont="1" applyFill="1" applyBorder="1" applyAlignment="1">
      <alignment horizontal="left" vertical="center" indent="1"/>
    </xf>
    <xf numFmtId="10" fontId="120" fillId="0" borderId="0" xfId="7" applyNumberFormat="1" applyFont="1" applyFill="1" applyBorder="1" applyAlignment="1">
      <alignment horizontal="right" vertical="center"/>
    </xf>
    <xf numFmtId="10" fontId="64" fillId="0" borderId="0" xfId="7" applyNumberFormat="1" applyFont="1" applyFill="1" applyBorder="1" applyAlignment="1">
      <alignment horizontal="right" vertical="center"/>
    </xf>
    <xf numFmtId="0" fontId="227" fillId="0" borderId="48" xfId="0" applyFont="1" applyFill="1" applyBorder="1" applyAlignment="1">
      <alignment horizontal="left" vertical="center"/>
    </xf>
    <xf numFmtId="179" fontId="94" fillId="0" borderId="0" xfId="0" applyNumberFormat="1" applyFont="1" applyFill="1" applyBorder="1" applyAlignment="1" applyProtection="1">
      <alignment horizontal="center" vertical="center"/>
    </xf>
    <xf numFmtId="0" fontId="64" fillId="0" borderId="0" xfId="0" applyFont="1" applyFill="1" applyBorder="1" applyAlignment="1">
      <alignment horizontal="right" vertical="center"/>
    </xf>
    <xf numFmtId="0" fontId="64" fillId="0" borderId="51" xfId="0" applyFont="1" applyFill="1" applyBorder="1" applyAlignment="1">
      <alignment horizontal="left" vertical="center" indent="1"/>
    </xf>
    <xf numFmtId="0" fontId="200" fillId="0" borderId="0" xfId="13" applyFont="1" applyFill="1" applyBorder="1" applyAlignment="1">
      <alignment horizontal="center" vertical="center"/>
    </xf>
    <xf numFmtId="0" fontId="260" fillId="0" borderId="0" xfId="13" applyFont="1" applyFill="1" applyBorder="1" applyAlignment="1">
      <alignment horizontal="center" vertical="center"/>
    </xf>
    <xf numFmtId="235" fontId="95" fillId="0" borderId="51" xfId="0" applyNumberFormat="1" applyFont="1" applyFill="1" applyBorder="1" applyAlignment="1">
      <alignment horizontal="right" vertical="center" indent="2"/>
    </xf>
    <xf numFmtId="179" fontId="89" fillId="0" borderId="0" xfId="0" applyNumberFormat="1" applyFont="1" applyFill="1" applyBorder="1" applyAlignment="1" applyProtection="1">
      <alignment horizontal="right" vertical="center"/>
    </xf>
    <xf numFmtId="0" fontId="87" fillId="0" borderId="0" xfId="13" applyFont="1" applyBorder="1">
      <alignment vertical="center"/>
    </xf>
    <xf numFmtId="180" fontId="62" fillId="0" borderId="0" xfId="13" applyNumberFormat="1" applyFont="1" applyFill="1">
      <alignment vertical="center"/>
    </xf>
    <xf numFmtId="41" fontId="94" fillId="0" borderId="49" xfId="7" applyNumberFormat="1" applyFont="1" applyFill="1" applyBorder="1" applyAlignment="1">
      <alignment horizontal="center" vertical="center" wrapText="1"/>
    </xf>
    <xf numFmtId="0" fontId="64" fillId="0" borderId="53" xfId="0" applyFont="1" applyFill="1" applyBorder="1" applyAlignment="1">
      <alignment horizontal="left" vertical="center" indent="1"/>
    </xf>
    <xf numFmtId="197" fontId="64" fillId="0" borderId="53" xfId="0" applyNumberFormat="1" applyFont="1" applyFill="1" applyBorder="1" applyAlignment="1">
      <alignment horizontal="center" vertical="center"/>
    </xf>
    <xf numFmtId="179" fontId="110" fillId="0" borderId="49" xfId="0" applyNumberFormat="1" applyFont="1" applyFill="1" applyBorder="1" applyAlignment="1">
      <alignment horizontal="center" vertical="center"/>
    </xf>
    <xf numFmtId="180" fontId="65" fillId="0" borderId="49" xfId="0" applyNumberFormat="1" applyFont="1" applyFill="1" applyBorder="1">
      <alignment vertical="center"/>
    </xf>
    <xf numFmtId="233" fontId="228" fillId="0" borderId="0" xfId="13" applyNumberFormat="1" applyFont="1" applyFill="1" applyBorder="1" applyAlignment="1">
      <alignment vertical="center"/>
    </xf>
    <xf numFmtId="41" fontId="94" fillId="0" borderId="0" xfId="7" applyNumberFormat="1" applyFont="1" applyFill="1" applyBorder="1" applyAlignment="1">
      <alignment horizontal="center" vertical="center"/>
    </xf>
    <xf numFmtId="41" fontId="62" fillId="0" borderId="0" xfId="7" applyNumberFormat="1" applyFont="1" applyFill="1" applyBorder="1" applyAlignment="1">
      <alignment horizontal="center" vertical="center" wrapText="1"/>
    </xf>
    <xf numFmtId="0" fontId="61" fillId="52" borderId="48" xfId="13" applyFont="1" applyFill="1" applyBorder="1">
      <alignment vertical="center"/>
    </xf>
    <xf numFmtId="0" fontId="114" fillId="0" borderId="49" xfId="13" applyFont="1" applyFill="1" applyBorder="1" applyAlignment="1">
      <alignment horizontal="left" vertical="center" indent="3"/>
    </xf>
    <xf numFmtId="0" fontId="114" fillId="0" borderId="49" xfId="13" applyFont="1" applyFill="1" applyBorder="1" applyAlignment="1">
      <alignment horizontal="center" vertical="center"/>
    </xf>
    <xf numFmtId="0" fontId="114" fillId="9" borderId="49" xfId="13" applyFont="1" applyFill="1" applyBorder="1" applyAlignment="1">
      <alignment horizontal="left" vertical="center" indent="3"/>
    </xf>
    <xf numFmtId="0" fontId="114" fillId="9" borderId="49" xfId="13" applyFont="1" applyFill="1" applyBorder="1" applyAlignment="1">
      <alignment horizontal="center" vertical="center"/>
    </xf>
    <xf numFmtId="0" fontId="114" fillId="9" borderId="62" xfId="13" applyFont="1" applyFill="1" applyBorder="1" applyAlignment="1">
      <alignment horizontal="center" vertical="center"/>
    </xf>
    <xf numFmtId="180" fontId="67" fillId="35" borderId="0" xfId="0" applyNumberFormat="1" applyFont="1" applyFill="1" applyBorder="1">
      <alignment vertical="center"/>
    </xf>
    <xf numFmtId="0" fontId="74" fillId="35" borderId="78" xfId="0" applyFont="1" applyFill="1" applyBorder="1" applyAlignment="1">
      <alignment horizontal="center" vertical="center"/>
    </xf>
    <xf numFmtId="0" fontId="261" fillId="52" borderId="51" xfId="13" applyFont="1" applyFill="1" applyBorder="1" applyAlignment="1">
      <alignment horizontal="right" vertical="center"/>
    </xf>
    <xf numFmtId="179" fontId="120" fillId="0" borderId="0" xfId="0" applyNumberFormat="1" applyFont="1" applyFill="1" applyBorder="1" applyAlignment="1" applyProtection="1">
      <alignment horizontal="right" vertical="center" indent="1"/>
    </xf>
    <xf numFmtId="178" fontId="93" fillId="0" borderId="0" xfId="13" applyNumberFormat="1" applyFont="1" applyFill="1" applyBorder="1" applyAlignment="1">
      <alignment horizontal="left" vertical="center"/>
    </xf>
    <xf numFmtId="41" fontId="229" fillId="0" borderId="0" xfId="7" applyNumberFormat="1" applyFont="1" applyFill="1" applyBorder="1">
      <alignment vertical="center"/>
    </xf>
    <xf numFmtId="179" fontId="120" fillId="9" borderId="0" xfId="0" applyNumberFormat="1" applyFont="1" applyFill="1" applyBorder="1" applyAlignment="1" applyProtection="1">
      <alignment horizontal="right" vertical="center" indent="1"/>
    </xf>
    <xf numFmtId="178" fontId="93" fillId="9" borderId="0" xfId="13" applyNumberFormat="1" applyFont="1" applyFill="1" applyBorder="1" applyAlignment="1">
      <alignment horizontal="left" vertical="center"/>
    </xf>
    <xf numFmtId="41" fontId="229" fillId="9" borderId="63" xfId="7" applyNumberFormat="1" applyFont="1" applyFill="1" applyBorder="1">
      <alignment vertical="center"/>
    </xf>
    <xf numFmtId="0" fontId="64" fillId="0" borderId="42" xfId="13" applyFont="1" applyBorder="1">
      <alignment vertical="center"/>
    </xf>
    <xf numFmtId="43" fontId="64" fillId="52" borderId="51" xfId="13" applyNumberFormat="1" applyFont="1" applyFill="1" applyBorder="1" applyAlignment="1">
      <alignment horizontal="right" vertical="center" indent="1"/>
    </xf>
    <xf numFmtId="235" fontId="95" fillId="52" borderId="51" xfId="0" applyNumberFormat="1" applyFont="1" applyFill="1" applyBorder="1" applyAlignment="1">
      <alignment horizontal="right" vertical="center" indent="2"/>
    </xf>
    <xf numFmtId="0" fontId="62" fillId="52" borderId="52" xfId="13" applyFont="1" applyFill="1" applyBorder="1">
      <alignment vertical="center"/>
    </xf>
    <xf numFmtId="41" fontId="229" fillId="0" borderId="53" xfId="7" applyNumberFormat="1" applyFont="1" applyFill="1" applyBorder="1">
      <alignment vertical="center"/>
    </xf>
    <xf numFmtId="197" fontId="64" fillId="9" borderId="55" xfId="13" applyNumberFormat="1" applyFont="1" applyFill="1" applyBorder="1" applyAlignment="1">
      <alignment horizontal="right" vertical="center"/>
    </xf>
    <xf numFmtId="0" fontId="62" fillId="9" borderId="55" xfId="13" applyFont="1" applyFill="1" applyBorder="1">
      <alignment vertical="center"/>
    </xf>
    <xf numFmtId="41" fontId="62" fillId="9" borderId="109" xfId="13" applyNumberFormat="1" applyFont="1" applyFill="1" applyBorder="1">
      <alignment vertical="center"/>
    </xf>
    <xf numFmtId="180" fontId="243" fillId="0" borderId="0" xfId="0" applyNumberFormat="1" applyFont="1" applyFill="1" applyBorder="1">
      <alignment vertical="center"/>
    </xf>
    <xf numFmtId="41" fontId="95" fillId="0" borderId="49" xfId="10" applyFont="1" applyFill="1" applyBorder="1">
      <alignment vertical="center"/>
    </xf>
    <xf numFmtId="180" fontId="65" fillId="0" borderId="0" xfId="0" applyNumberFormat="1" applyFont="1" applyFill="1" applyBorder="1">
      <alignment vertical="center"/>
    </xf>
    <xf numFmtId="41" fontId="95" fillId="0" borderId="0" xfId="10" applyFont="1" applyFill="1" applyBorder="1">
      <alignment vertical="center"/>
    </xf>
    <xf numFmtId="49" fontId="64" fillId="0" borderId="49" xfId="0" applyNumberFormat="1" applyFont="1" applyBorder="1" applyAlignment="1">
      <alignment horizontal="left" vertical="center"/>
    </xf>
    <xf numFmtId="0" fontId="65" fillId="0" borderId="49" xfId="13" applyFont="1" applyFill="1" applyBorder="1">
      <alignment vertical="center"/>
    </xf>
    <xf numFmtId="41" fontId="231" fillId="0" borderId="49" xfId="13" applyNumberFormat="1" applyFont="1" applyFill="1" applyBorder="1" applyAlignment="1">
      <alignment horizontal="center" vertical="center"/>
    </xf>
    <xf numFmtId="41" fontId="65" fillId="0" borderId="62" xfId="13" applyNumberFormat="1" applyFont="1" applyFill="1" applyBorder="1" applyAlignment="1">
      <alignment horizontal="center" vertical="center"/>
    </xf>
    <xf numFmtId="49" fontId="64" fillId="0" borderId="0" xfId="0" applyNumberFormat="1" applyFont="1" applyBorder="1" applyAlignment="1">
      <alignment horizontal="left" vertical="center"/>
    </xf>
    <xf numFmtId="41" fontId="231" fillId="0" borderId="0" xfId="13" applyNumberFormat="1" applyFont="1" applyFill="1" applyBorder="1" applyAlignment="1">
      <alignment horizontal="center" vertical="center"/>
    </xf>
    <xf numFmtId="41" fontId="65" fillId="0" borderId="63" xfId="13" applyNumberFormat="1" applyFont="1" applyFill="1" applyBorder="1" applyAlignment="1">
      <alignment horizontal="center" vertical="center"/>
    </xf>
    <xf numFmtId="0" fontId="95" fillId="0" borderId="0" xfId="13" applyFont="1" applyFill="1" applyAlignment="1">
      <alignment horizontal="right" vertical="center"/>
    </xf>
    <xf numFmtId="41" fontId="95" fillId="0" borderId="0" xfId="13" applyNumberFormat="1" applyFont="1" applyFill="1" applyBorder="1">
      <alignment vertical="center"/>
    </xf>
    <xf numFmtId="0" fontId="62" fillId="0" borderId="52" xfId="13" applyFont="1" applyBorder="1">
      <alignment vertical="center"/>
    </xf>
    <xf numFmtId="49" fontId="61" fillId="0" borderId="53" xfId="0" applyNumberFormat="1" applyFont="1" applyBorder="1" applyAlignment="1">
      <alignment horizontal="left" vertical="center"/>
    </xf>
    <xf numFmtId="0" fontId="65" fillId="0" borderId="53" xfId="13" applyFont="1" applyBorder="1">
      <alignment vertical="center"/>
    </xf>
    <xf numFmtId="41" fontId="65" fillId="0" borderId="55" xfId="13" applyNumberFormat="1" applyFont="1" applyBorder="1">
      <alignment vertical="center"/>
    </xf>
    <xf numFmtId="41" fontId="65" fillId="0" borderId="109" xfId="13" applyNumberFormat="1" applyFont="1" applyBorder="1">
      <alignment vertical="center"/>
    </xf>
    <xf numFmtId="41" fontId="93" fillId="0" borderId="109" xfId="7" applyFont="1" applyFill="1" applyBorder="1" applyAlignment="1">
      <alignment horizontal="right" vertical="center"/>
    </xf>
    <xf numFmtId="41" fontId="67" fillId="29" borderId="102" xfId="0" applyNumberFormat="1" applyFont="1" applyFill="1" applyBorder="1">
      <alignment vertical="center"/>
    </xf>
    <xf numFmtId="0" fontId="74" fillId="29" borderId="102" xfId="0" applyFont="1" applyFill="1" applyBorder="1" applyAlignment="1">
      <alignment horizontal="center" vertical="center"/>
    </xf>
    <xf numFmtId="0" fontId="64" fillId="0" borderId="49" xfId="0" applyFont="1" applyBorder="1" applyAlignment="1">
      <alignment horizontal="left" vertical="center"/>
    </xf>
    <xf numFmtId="41" fontId="89" fillId="0" borderId="49" xfId="13" applyNumberFormat="1" applyFont="1" applyFill="1" applyBorder="1" applyAlignment="1">
      <alignment horizontal="center" vertical="center"/>
    </xf>
    <xf numFmtId="41" fontId="112" fillId="0" borderId="49" xfId="13" applyNumberFormat="1" applyFont="1" applyFill="1" applyBorder="1" applyAlignment="1">
      <alignment horizontal="center" vertical="center"/>
    </xf>
    <xf numFmtId="41" fontId="62" fillId="0" borderId="62" xfId="13" applyNumberFormat="1" applyFont="1" applyFill="1" applyBorder="1" applyAlignment="1">
      <alignment horizontal="center" vertical="center"/>
    </xf>
    <xf numFmtId="41" fontId="93" fillId="0" borderId="0" xfId="7" applyFont="1" applyFill="1" applyBorder="1" applyAlignment="1">
      <alignment horizontal="right" vertical="center"/>
    </xf>
    <xf numFmtId="196" fontId="95" fillId="0" borderId="63" xfId="14" applyNumberFormat="1" applyFont="1" applyFill="1" applyBorder="1" applyAlignment="1">
      <alignment horizontal="center" vertical="center"/>
    </xf>
    <xf numFmtId="0" fontId="97" fillId="0" borderId="0" xfId="0" applyFont="1" applyBorder="1" applyAlignment="1">
      <alignment horizontal="left" vertical="center"/>
    </xf>
    <xf numFmtId="41" fontId="112" fillId="0" borderId="0" xfId="13" applyNumberFormat="1" applyFont="1" applyFill="1" applyBorder="1" applyAlignment="1">
      <alignment horizontal="center" vertical="center"/>
    </xf>
    <xf numFmtId="41" fontId="62" fillId="0" borderId="63" xfId="13" applyNumberFormat="1" applyFont="1" applyFill="1" applyBorder="1" applyAlignment="1">
      <alignment horizontal="center" vertical="center"/>
    </xf>
    <xf numFmtId="41" fontId="116" fillId="0" borderId="107" xfId="7" applyNumberFormat="1" applyFont="1" applyFill="1" applyBorder="1" applyAlignment="1">
      <alignment horizontal="center" vertical="center"/>
    </xf>
    <xf numFmtId="0" fontId="64" fillId="0" borderId="0" xfId="0" applyFont="1" applyBorder="1" applyAlignment="1">
      <alignment horizontal="left" vertical="center"/>
    </xf>
    <xf numFmtId="41" fontId="89" fillId="0" borderId="0" xfId="13" applyNumberFormat="1" applyFont="1" applyFill="1" applyBorder="1" applyAlignment="1">
      <alignment horizontal="center" vertical="center"/>
    </xf>
    <xf numFmtId="41" fontId="95" fillId="0" borderId="107" xfId="7" applyNumberFormat="1" applyFont="1" applyFill="1" applyBorder="1" applyAlignment="1">
      <alignment horizontal="center" vertical="center"/>
    </xf>
    <xf numFmtId="0" fontId="199" fillId="0" borderId="52" xfId="13" applyFont="1" applyFill="1" applyBorder="1">
      <alignment vertical="center"/>
    </xf>
    <xf numFmtId="0" fontId="65" fillId="0" borderId="53" xfId="13" applyFont="1" applyFill="1" applyBorder="1">
      <alignment vertical="center"/>
    </xf>
    <xf numFmtId="41" fontId="65" fillId="0" borderId="55" xfId="13" applyNumberFormat="1" applyFont="1" applyFill="1" applyBorder="1" applyAlignment="1">
      <alignment horizontal="center" vertical="center"/>
    </xf>
    <xf numFmtId="41" fontId="65" fillId="0" borderId="109" xfId="13" applyNumberFormat="1" applyFont="1" applyFill="1" applyBorder="1" applyAlignment="1">
      <alignment horizontal="center" vertical="center"/>
    </xf>
    <xf numFmtId="41" fontId="95" fillId="0" borderId="134" xfId="7" applyNumberFormat="1" applyFont="1" applyFill="1" applyBorder="1" applyAlignment="1">
      <alignment horizontal="center" vertical="center"/>
    </xf>
    <xf numFmtId="197" fontId="229" fillId="31" borderId="49" xfId="14" applyNumberFormat="1" applyFont="1" applyFill="1" applyBorder="1" applyAlignment="1">
      <alignment horizontal="center" vertical="center"/>
    </xf>
    <xf numFmtId="0" fontId="62" fillId="0" borderId="164" xfId="13" applyFont="1" applyFill="1" applyBorder="1">
      <alignment vertical="center"/>
    </xf>
    <xf numFmtId="0" fontId="200" fillId="0" borderId="21" xfId="13" applyFont="1" applyFill="1" applyBorder="1">
      <alignment vertical="center"/>
    </xf>
    <xf numFmtId="0" fontId="65" fillId="0" borderId="21" xfId="13" applyFont="1" applyFill="1" applyBorder="1">
      <alignment vertical="center"/>
    </xf>
    <xf numFmtId="41" fontId="232" fillId="0" borderId="21" xfId="13" applyNumberFormat="1" applyFont="1" applyFill="1" applyBorder="1" applyAlignment="1">
      <alignment horizontal="center" vertical="center"/>
    </xf>
    <xf numFmtId="41" fontId="65" fillId="0" borderId="21" xfId="7" applyFont="1" applyFill="1" applyBorder="1">
      <alignment vertical="center"/>
    </xf>
    <xf numFmtId="0" fontId="62" fillId="0" borderId="165" xfId="13" applyFont="1" applyFill="1" applyBorder="1">
      <alignment vertical="center"/>
    </xf>
    <xf numFmtId="41" fontId="95" fillId="0" borderId="52" xfId="7" applyFont="1" applyFill="1" applyBorder="1">
      <alignment vertical="center"/>
    </xf>
    <xf numFmtId="220" fontId="95" fillId="0" borderId="0" xfId="13" applyNumberFormat="1" applyFont="1" applyFill="1" applyBorder="1" applyAlignment="1">
      <alignment horizontal="center" vertical="center"/>
    </xf>
    <xf numFmtId="196" fontId="95" fillId="0" borderId="0" xfId="14" applyNumberFormat="1" applyFont="1" applyFill="1" applyBorder="1" applyAlignment="1">
      <alignment horizontal="center" vertical="center"/>
    </xf>
    <xf numFmtId="236" fontId="64" fillId="0" borderId="0" xfId="7" applyNumberFormat="1" applyFont="1" applyFill="1" applyBorder="1" applyAlignment="1">
      <alignment horizontal="left" vertical="center" indent="1"/>
    </xf>
    <xf numFmtId="0" fontId="87" fillId="0" borderId="0" xfId="0" applyFont="1" applyFill="1" applyBorder="1" applyAlignment="1">
      <alignment horizontal="left" vertical="center"/>
    </xf>
    <xf numFmtId="41" fontId="95" fillId="0" borderId="0" xfId="7" applyNumberFormat="1" applyFont="1" applyFill="1" applyBorder="1" applyAlignment="1">
      <alignment horizontal="center" vertical="center"/>
    </xf>
    <xf numFmtId="236" fontId="95" fillId="0" borderId="112" xfId="7" applyNumberFormat="1" applyFont="1" applyFill="1" applyBorder="1" applyAlignment="1">
      <alignment horizontal="center" vertical="center"/>
    </xf>
    <xf numFmtId="41" fontId="95" fillId="0" borderId="53" xfId="7" applyFont="1" applyFill="1" applyBorder="1" applyAlignment="1">
      <alignment horizontal="center" vertical="center"/>
    </xf>
    <xf numFmtId="10" fontId="62" fillId="0" borderId="0" xfId="13" applyNumberFormat="1" applyFont="1" applyFill="1" applyBorder="1">
      <alignment vertical="center"/>
    </xf>
    <xf numFmtId="197" fontId="229" fillId="0" borderId="48" xfId="14" applyNumberFormat="1" applyFont="1" applyFill="1" applyBorder="1" applyAlignment="1">
      <alignment horizontal="center" vertical="center"/>
    </xf>
    <xf numFmtId="41" fontId="229" fillId="0" borderId="62" xfId="7" applyNumberFormat="1" applyFont="1" applyFill="1" applyBorder="1">
      <alignment vertical="center"/>
    </xf>
    <xf numFmtId="41" fontId="95" fillId="0" borderId="0" xfId="7" applyFont="1" applyFill="1" applyBorder="1" applyAlignment="1">
      <alignment horizontal="center" vertical="center"/>
    </xf>
    <xf numFmtId="236" fontId="95" fillId="0" borderId="0" xfId="7" applyNumberFormat="1" applyFont="1" applyFill="1" applyBorder="1" applyAlignment="1">
      <alignment horizontal="center" vertical="center"/>
    </xf>
    <xf numFmtId="197" fontId="229" fillId="0" borderId="51" xfId="14" applyNumberFormat="1" applyFont="1" applyFill="1" applyBorder="1" applyAlignment="1">
      <alignment horizontal="center" vertical="center"/>
    </xf>
    <xf numFmtId="216" fontId="197" fillId="0" borderId="53" xfId="9" applyNumberFormat="1" applyFont="1" applyFill="1" applyBorder="1" applyAlignment="1">
      <alignment horizontal="center" vertical="center"/>
    </xf>
    <xf numFmtId="0" fontId="239" fillId="9" borderId="0" xfId="13" applyFont="1" applyFill="1" applyAlignment="1">
      <alignment horizontal="center" vertical="center"/>
    </xf>
    <xf numFmtId="197" fontId="229" fillId="0" borderId="52" xfId="14" applyNumberFormat="1" applyFont="1" applyFill="1" applyBorder="1" applyAlignment="1">
      <alignment horizontal="center" vertical="center"/>
    </xf>
    <xf numFmtId="41" fontId="229" fillId="0" borderId="66" xfId="7" applyNumberFormat="1" applyFont="1" applyFill="1" applyBorder="1">
      <alignment vertical="center"/>
    </xf>
    <xf numFmtId="0" fontId="262" fillId="9" borderId="0" xfId="13" applyFont="1" applyFill="1">
      <alignment vertical="center"/>
    </xf>
    <xf numFmtId="0" fontId="93" fillId="0" borderId="0" xfId="13" quotePrefix="1" applyFont="1" applyFill="1" applyAlignment="1">
      <alignment horizontal="right" vertical="center" indent="1"/>
    </xf>
    <xf numFmtId="189" fontId="95" fillId="0" borderId="0" xfId="7" applyNumberFormat="1" applyFont="1" applyFill="1" applyBorder="1" applyAlignment="1" applyProtection="1">
      <alignment horizontal="center" vertical="center"/>
      <protection hidden="1"/>
    </xf>
    <xf numFmtId="179" fontId="81" fillId="0" borderId="0" xfId="0" applyNumberFormat="1" applyFont="1" applyFill="1" applyBorder="1" applyAlignment="1">
      <alignment horizontal="left" vertical="center"/>
    </xf>
    <xf numFmtId="41" fontId="263" fillId="0" borderId="49" xfId="10" applyFont="1" applyFill="1" applyBorder="1">
      <alignment vertical="center"/>
    </xf>
    <xf numFmtId="216" fontId="187" fillId="0" borderId="107" xfId="9" applyNumberFormat="1" applyFont="1" applyFill="1" applyBorder="1" applyAlignment="1">
      <alignment horizontal="center" vertical="center"/>
    </xf>
    <xf numFmtId="41" fontId="239" fillId="9" borderId="107" xfId="10" applyFont="1" applyFill="1" applyBorder="1" applyAlignment="1">
      <alignment horizontal="center" vertical="center"/>
    </xf>
    <xf numFmtId="41" fontId="263" fillId="0" borderId="0" xfId="10" applyFont="1" applyFill="1" applyBorder="1">
      <alignment vertical="center"/>
    </xf>
    <xf numFmtId="216" fontId="239" fillId="0" borderId="107" xfId="9" applyNumberFormat="1" applyFont="1" applyFill="1" applyBorder="1" applyAlignment="1">
      <alignment horizontal="center" vertical="center"/>
    </xf>
    <xf numFmtId="0" fontId="80" fillId="9" borderId="0" xfId="0" applyFont="1" applyFill="1" applyBorder="1" applyAlignment="1">
      <alignment horizontal="right" vertical="center" indent="1"/>
    </xf>
    <xf numFmtId="41" fontId="236" fillId="31" borderId="0" xfId="7" applyNumberFormat="1" applyFont="1" applyFill="1" applyBorder="1" applyAlignment="1">
      <alignment horizontal="center" vertical="center" wrapText="1"/>
    </xf>
    <xf numFmtId="240" fontId="95" fillId="0" borderId="63" xfId="0" applyNumberFormat="1" applyFont="1" applyFill="1" applyBorder="1" applyAlignment="1">
      <alignment horizontal="right" vertical="center"/>
    </xf>
    <xf numFmtId="41" fontId="239" fillId="9" borderId="42" xfId="10" applyFont="1" applyFill="1" applyBorder="1" applyAlignment="1">
      <alignment horizontal="center" vertical="center"/>
    </xf>
    <xf numFmtId="0" fontId="259" fillId="0" borderId="0" xfId="0" applyFont="1" applyFill="1" applyBorder="1" applyAlignment="1">
      <alignment horizontal="left" vertical="center"/>
    </xf>
    <xf numFmtId="239" fontId="264" fillId="0" borderId="0" xfId="13" applyNumberFormat="1" applyFont="1" applyFill="1" applyBorder="1" applyAlignment="1">
      <alignment horizontal="center" vertical="center"/>
    </xf>
    <xf numFmtId="239" fontId="264" fillId="0" borderId="53" xfId="13" applyNumberFormat="1" applyFont="1" applyFill="1" applyBorder="1" applyAlignment="1">
      <alignment horizontal="center" vertical="center"/>
    </xf>
    <xf numFmtId="216" fontId="265" fillId="0" borderId="107" xfId="9" applyNumberFormat="1" applyFont="1" applyFill="1" applyBorder="1" applyAlignment="1">
      <alignment horizontal="center" vertical="center"/>
    </xf>
    <xf numFmtId="41" fontId="265" fillId="9" borderId="42" xfId="10" applyFont="1" applyFill="1" applyBorder="1" applyAlignment="1">
      <alignment horizontal="center" vertical="center"/>
    </xf>
    <xf numFmtId="0" fontId="197" fillId="0" borderId="49" xfId="13" applyFont="1" applyFill="1" applyBorder="1" applyAlignment="1">
      <alignment horizontal="left" vertical="center"/>
    </xf>
    <xf numFmtId="0" fontId="246" fillId="0" borderId="49" xfId="13" applyFont="1" applyFill="1" applyBorder="1" applyAlignment="1">
      <alignment horizontal="center" vertical="center"/>
    </xf>
    <xf numFmtId="0" fontId="246" fillId="0" borderId="62" xfId="13" applyFont="1" applyFill="1" applyBorder="1" applyAlignment="1">
      <alignment horizontal="center" vertical="center"/>
    </xf>
    <xf numFmtId="187" fontId="78" fillId="0" borderId="0" xfId="14" applyNumberFormat="1" applyFont="1" applyFill="1" applyBorder="1" applyAlignment="1">
      <alignment horizontal="right" vertical="center"/>
    </xf>
    <xf numFmtId="0" fontId="197" fillId="0" borderId="0" xfId="13" applyFont="1" applyFill="1" applyBorder="1" applyAlignment="1">
      <alignment horizontal="left" vertical="center"/>
    </xf>
    <xf numFmtId="250" fontId="266" fillId="0" borderId="0" xfId="14" applyNumberFormat="1" applyFont="1" applyFill="1" applyBorder="1" applyAlignment="1">
      <alignment horizontal="right" vertical="center"/>
    </xf>
    <xf numFmtId="179" fontId="267" fillId="0" borderId="0" xfId="0" applyNumberFormat="1" applyFont="1" applyFill="1" applyBorder="1" applyAlignment="1" applyProtection="1">
      <alignment horizontal="right" vertical="center" indent="1"/>
    </xf>
    <xf numFmtId="41" fontId="268" fillId="0" borderId="0" xfId="7" applyNumberFormat="1" applyFont="1" applyFill="1" applyBorder="1">
      <alignment vertical="center"/>
    </xf>
    <xf numFmtId="41" fontId="268" fillId="0" borderId="63" xfId="7" applyNumberFormat="1" applyFont="1" applyFill="1" applyBorder="1">
      <alignment vertical="center"/>
    </xf>
    <xf numFmtId="0" fontId="64" fillId="0" borderId="48" xfId="18" applyFont="1" applyFill="1" applyBorder="1" applyAlignment="1">
      <alignment horizontal="center" vertical="center"/>
    </xf>
    <xf numFmtId="0" fontId="122" fillId="31" borderId="62" xfId="13" applyFont="1" applyFill="1" applyBorder="1" applyAlignment="1">
      <alignment horizontal="center" vertical="center"/>
    </xf>
    <xf numFmtId="251" fontId="266" fillId="0" borderId="0" xfId="14" applyNumberFormat="1" applyFont="1" applyFill="1" applyBorder="1" applyAlignment="1">
      <alignment horizontal="right" vertical="center"/>
    </xf>
    <xf numFmtId="0" fontId="68" fillId="0" borderId="52" xfId="13" applyFont="1" applyFill="1" applyBorder="1" applyAlignment="1">
      <alignment horizontal="center" vertical="center"/>
    </xf>
    <xf numFmtId="0" fontId="122" fillId="31" borderId="66" xfId="13" applyFont="1" applyFill="1" applyBorder="1" applyAlignment="1">
      <alignment horizontal="center" vertical="center"/>
    </xf>
    <xf numFmtId="177" fontId="230" fillId="0" borderId="53" xfId="0" applyNumberFormat="1" applyFont="1" applyFill="1" applyBorder="1" applyAlignment="1">
      <alignment horizontal="center" vertical="center"/>
    </xf>
    <xf numFmtId="242" fontId="78" fillId="0" borderId="0" xfId="0" applyNumberFormat="1" applyFont="1" applyFill="1" applyBorder="1">
      <alignment vertical="center"/>
    </xf>
    <xf numFmtId="43" fontId="112" fillId="0" borderId="56" xfId="13" applyNumberFormat="1" applyFont="1" applyFill="1" applyBorder="1">
      <alignment vertical="center"/>
    </xf>
    <xf numFmtId="244" fontId="95" fillId="0" borderId="0" xfId="0" applyNumberFormat="1" applyFont="1" applyFill="1" applyBorder="1" applyAlignment="1" applyProtection="1">
      <alignment horizontal="center" vertical="center"/>
      <protection hidden="1"/>
    </xf>
    <xf numFmtId="0" fontId="246" fillId="0" borderId="0" xfId="13" applyFont="1" applyFill="1" applyBorder="1" applyAlignment="1">
      <alignment horizontal="center" vertical="center"/>
    </xf>
    <xf numFmtId="0" fontId="246" fillId="0" borderId="63" xfId="13" applyFont="1" applyFill="1" applyBorder="1" applyAlignment="1">
      <alignment horizontal="center" vertical="center"/>
    </xf>
    <xf numFmtId="41" fontId="112" fillId="0" borderId="56" xfId="10" applyFont="1" applyFill="1" applyBorder="1">
      <alignment vertical="center"/>
    </xf>
    <xf numFmtId="242" fontId="266" fillId="0" borderId="0" xfId="13" applyNumberFormat="1" applyFont="1" applyFill="1" applyBorder="1" applyAlignment="1">
      <alignment vertical="center"/>
    </xf>
    <xf numFmtId="243" fontId="269" fillId="0" borderId="0" xfId="0" applyNumberFormat="1" applyFont="1" applyFill="1" applyBorder="1" applyAlignment="1">
      <alignment horizontal="right" vertical="center" indent="1"/>
    </xf>
    <xf numFmtId="187" fontId="267" fillId="0" borderId="0" xfId="14" applyNumberFormat="1" applyFont="1" applyFill="1" applyBorder="1" applyAlignment="1">
      <alignment horizontal="right" vertical="center" indent="1"/>
    </xf>
    <xf numFmtId="187" fontId="267" fillId="0" borderId="63" xfId="14" applyNumberFormat="1" applyFont="1" applyFill="1" applyBorder="1" applyAlignment="1">
      <alignment horizontal="right" vertical="center" indent="1"/>
    </xf>
    <xf numFmtId="198" fontId="266" fillId="22" borderId="0" xfId="13" applyNumberFormat="1" applyFont="1" applyFill="1" applyBorder="1" applyAlignment="1">
      <alignment vertical="center"/>
    </xf>
    <xf numFmtId="245" fontId="62" fillId="0" borderId="51" xfId="0" applyNumberFormat="1" applyFont="1" applyFill="1" applyBorder="1" applyAlignment="1">
      <alignment horizontal="right" vertical="center"/>
    </xf>
    <xf numFmtId="243" fontId="89" fillId="0" borderId="0" xfId="0" applyNumberFormat="1" applyFont="1" applyFill="1" applyBorder="1" applyAlignment="1">
      <alignment horizontal="right" vertical="center" indent="1"/>
    </xf>
    <xf numFmtId="187" fontId="93" fillId="0" borderId="0" xfId="14" applyNumberFormat="1" applyFont="1" applyFill="1" applyBorder="1" applyAlignment="1">
      <alignment horizontal="right" vertical="center" indent="1"/>
    </xf>
    <xf numFmtId="187" fontId="120" fillId="52" borderId="63" xfId="14" applyNumberFormat="1" applyFont="1" applyFill="1" applyBorder="1" applyAlignment="1">
      <alignment horizontal="right" vertical="center" indent="1"/>
    </xf>
    <xf numFmtId="252" fontId="95" fillId="0" borderId="0" xfId="7" applyNumberFormat="1" applyFont="1" applyFill="1" applyBorder="1" applyAlignment="1">
      <alignment horizontal="center" vertical="center"/>
    </xf>
    <xf numFmtId="9" fontId="95" fillId="0" borderId="0" xfId="14" applyNumberFormat="1" applyFont="1" applyFill="1" applyBorder="1" applyAlignment="1">
      <alignment horizontal="center" vertical="center"/>
    </xf>
    <xf numFmtId="0" fontId="94" fillId="22" borderId="0" xfId="13" applyFont="1" applyFill="1" applyBorder="1" applyAlignment="1">
      <alignment horizontal="center" vertical="center"/>
    </xf>
    <xf numFmtId="187" fontId="120" fillId="0" borderId="0" xfId="14" applyNumberFormat="1" applyFont="1" applyFill="1" applyBorder="1" applyAlignment="1">
      <alignment horizontal="right" vertical="center" indent="1"/>
    </xf>
    <xf numFmtId="187" fontId="120" fillId="0" borderId="63" xfId="14" applyNumberFormat="1" applyFont="1" applyFill="1" applyBorder="1" applyAlignment="1">
      <alignment horizontal="right" vertical="center" indent="1"/>
    </xf>
    <xf numFmtId="252" fontId="64" fillId="0" borderId="0" xfId="7" applyNumberFormat="1" applyFont="1" applyFill="1" applyBorder="1" applyAlignment="1">
      <alignment horizontal="center" vertical="center"/>
    </xf>
    <xf numFmtId="253" fontId="197" fillId="0" borderId="0" xfId="13" applyNumberFormat="1" applyFont="1" applyFill="1" applyBorder="1" applyAlignment="1">
      <alignment horizontal="right" vertical="center"/>
    </xf>
    <xf numFmtId="210" fontId="93" fillId="0" borderId="0" xfId="13" applyNumberFormat="1" applyFont="1" applyFill="1" applyBorder="1" applyAlignment="1">
      <alignment horizontal="center" vertical="center"/>
    </xf>
    <xf numFmtId="182" fontId="129" fillId="0" borderId="0" xfId="7" applyNumberFormat="1" applyFont="1" applyFill="1" applyBorder="1" applyAlignment="1">
      <alignment horizontal="center" vertical="center"/>
    </xf>
    <xf numFmtId="0" fontId="246" fillId="0" borderId="0" xfId="13" applyFont="1" applyFill="1" applyBorder="1" applyAlignment="1">
      <alignment horizontal="right" vertical="center" indent="1"/>
    </xf>
    <xf numFmtId="243" fontId="112" fillId="0" borderId="0" xfId="0" applyNumberFormat="1" applyFont="1" applyFill="1" applyBorder="1" applyAlignment="1">
      <alignment horizontal="right" vertical="center" indent="1"/>
    </xf>
    <xf numFmtId="0" fontId="62" fillId="0" borderId="0" xfId="13" applyFont="1" applyFill="1" applyBorder="1" applyAlignment="1">
      <alignment horizontal="left" vertical="center" indent="2"/>
    </xf>
    <xf numFmtId="0" fontId="246" fillId="0" borderId="0" xfId="13" applyFont="1" applyFill="1" applyBorder="1" applyAlignment="1">
      <alignment vertical="center"/>
    </xf>
    <xf numFmtId="243" fontId="270" fillId="0" borderId="0" xfId="0" applyNumberFormat="1" applyFont="1" applyFill="1" applyBorder="1" applyAlignment="1">
      <alignment horizontal="right" vertical="center" indent="1"/>
    </xf>
    <xf numFmtId="182" fontId="86" fillId="0" borderId="0" xfId="14" applyNumberFormat="1" applyFont="1" applyFill="1">
      <alignment vertical="center"/>
    </xf>
    <xf numFmtId="198" fontId="86" fillId="0" borderId="0" xfId="14" applyNumberFormat="1" applyFont="1" applyFill="1">
      <alignment vertical="center"/>
    </xf>
    <xf numFmtId="43" fontId="86" fillId="0" borderId="0" xfId="13" applyNumberFormat="1" applyFont="1" applyFill="1">
      <alignment vertical="center"/>
    </xf>
    <xf numFmtId="179" fontId="89" fillId="0" borderId="0" xfId="0" applyNumberFormat="1" applyFont="1" applyFill="1" applyBorder="1" applyAlignment="1" applyProtection="1">
      <alignment horizontal="right" vertical="center" indent="1"/>
    </xf>
    <xf numFmtId="187" fontId="120" fillId="52" borderId="0" xfId="14" applyNumberFormat="1" applyFont="1" applyFill="1" applyBorder="1" applyAlignment="1">
      <alignment horizontal="right" vertical="center" indent="1"/>
    </xf>
    <xf numFmtId="198" fontId="86" fillId="0" borderId="0" xfId="13" applyNumberFormat="1" applyFont="1" applyFill="1">
      <alignment vertical="center"/>
    </xf>
    <xf numFmtId="182" fontId="95" fillId="31" borderId="49" xfId="13" applyNumberFormat="1" applyFont="1" applyFill="1" applyBorder="1">
      <alignment vertical="center"/>
    </xf>
    <xf numFmtId="179" fontId="89" fillId="0" borderId="53" xfId="0" applyNumberFormat="1" applyFont="1" applyFill="1" applyBorder="1" applyAlignment="1" applyProtection="1">
      <alignment horizontal="right" vertical="center" indent="1"/>
    </xf>
    <xf numFmtId="187" fontId="120" fillId="0" borderId="53" xfId="14" applyNumberFormat="1" applyFont="1" applyFill="1" applyBorder="1" applyAlignment="1">
      <alignment horizontal="right" vertical="center" indent="1"/>
    </xf>
    <xf numFmtId="187" fontId="120" fillId="0" borderId="66" xfId="14" applyNumberFormat="1" applyFont="1" applyFill="1" applyBorder="1" applyAlignment="1">
      <alignment horizontal="right" vertical="center" indent="1"/>
    </xf>
    <xf numFmtId="41" fontId="229" fillId="0" borderId="24" xfId="7" applyNumberFormat="1" applyFont="1" applyFill="1" applyBorder="1">
      <alignment vertical="center"/>
    </xf>
    <xf numFmtId="0" fontId="68" fillId="0" borderId="24" xfId="13" applyFont="1" applyFill="1" applyBorder="1" applyAlignment="1">
      <alignment horizontal="right" vertical="center"/>
    </xf>
    <xf numFmtId="179" fontId="89" fillId="0" borderId="24" xfId="0" applyNumberFormat="1" applyFont="1" applyFill="1" applyBorder="1" applyAlignment="1" applyProtection="1">
      <alignment horizontal="right" vertical="center" indent="1"/>
    </xf>
    <xf numFmtId="187" fontId="120" fillId="0" borderId="24" xfId="14" applyNumberFormat="1" applyFont="1" applyFill="1" applyBorder="1" applyAlignment="1">
      <alignment horizontal="right" vertical="center" indent="1"/>
    </xf>
    <xf numFmtId="0" fontId="62" fillId="0" borderId="153" xfId="13" applyFont="1" applyFill="1" applyBorder="1">
      <alignment vertical="center"/>
    </xf>
    <xf numFmtId="0" fontId="62" fillId="0" borderId="153" xfId="13" applyFont="1" applyFill="1" applyBorder="1" applyAlignment="1">
      <alignment horizontal="left" vertical="center"/>
    </xf>
    <xf numFmtId="0" fontId="62" fillId="0" borderId="153" xfId="13" applyFont="1" applyFill="1" applyBorder="1" applyAlignment="1">
      <alignment horizontal="center" vertical="center"/>
    </xf>
    <xf numFmtId="41" fontId="62" fillId="0" borderId="153" xfId="7" applyFont="1" applyBorder="1">
      <alignment vertical="center"/>
    </xf>
    <xf numFmtId="0" fontId="271" fillId="2" borderId="0" xfId="13" applyFont="1" applyFill="1" applyBorder="1">
      <alignment vertical="center"/>
    </xf>
    <xf numFmtId="0" fontId="246" fillId="2" borderId="0" xfId="13" applyFont="1" applyFill="1" applyBorder="1" applyAlignment="1">
      <alignment horizontal="center" vertical="center"/>
    </xf>
    <xf numFmtId="0" fontId="272" fillId="9" borderId="0" xfId="13" applyFont="1" applyFill="1" applyBorder="1" applyAlignment="1">
      <alignment horizontal="left" vertical="center" indent="1"/>
    </xf>
    <xf numFmtId="0" fontId="273" fillId="9" borderId="0" xfId="13" applyFont="1" applyFill="1" applyBorder="1" applyAlignment="1">
      <alignment horizontal="center" vertical="center"/>
    </xf>
    <xf numFmtId="245" fontId="243" fillId="2" borderId="0" xfId="0" applyNumberFormat="1" applyFont="1" applyFill="1" applyBorder="1" applyAlignment="1">
      <alignment horizontal="right" vertical="center"/>
    </xf>
    <xf numFmtId="243" fontId="120" fillId="2" borderId="0" xfId="0" applyNumberFormat="1" applyFont="1" applyFill="1" applyBorder="1" applyAlignment="1">
      <alignment horizontal="right" vertical="center" indent="1"/>
    </xf>
    <xf numFmtId="187" fontId="120" fillId="2" borderId="0" xfId="14" applyNumberFormat="1" applyFont="1" applyFill="1" applyBorder="1" applyAlignment="1">
      <alignment horizontal="right" vertical="center" indent="1"/>
    </xf>
    <xf numFmtId="187" fontId="120" fillId="31" borderId="0" xfId="14" applyNumberFormat="1" applyFont="1" applyFill="1" applyBorder="1" applyAlignment="1">
      <alignment horizontal="right" vertical="center" indent="1"/>
    </xf>
    <xf numFmtId="0" fontId="272" fillId="9" borderId="0" xfId="13" applyFont="1" applyFill="1" applyBorder="1" applyAlignment="1">
      <alignment horizontal="left" vertical="center" indent="3"/>
    </xf>
    <xf numFmtId="10" fontId="110" fillId="0" borderId="0" xfId="13" applyNumberFormat="1" applyFont="1" applyFill="1" applyBorder="1" applyAlignment="1">
      <alignment horizontal="center" vertical="center"/>
    </xf>
    <xf numFmtId="10" fontId="115" fillId="9" borderId="0" xfId="13" applyNumberFormat="1" applyFont="1" applyFill="1" applyBorder="1" applyAlignment="1">
      <alignment horizontal="center" vertical="center"/>
    </xf>
    <xf numFmtId="245" fontId="270" fillId="2" borderId="0" xfId="0" applyNumberFormat="1" applyFont="1" applyFill="1" applyBorder="1" applyAlignment="1">
      <alignment horizontal="right" vertical="center"/>
    </xf>
    <xf numFmtId="243" fontId="62" fillId="2" borderId="0" xfId="0" applyNumberFormat="1" applyFont="1" applyFill="1" applyBorder="1" applyAlignment="1">
      <alignment horizontal="right" vertical="center" indent="1"/>
    </xf>
    <xf numFmtId="187" fontId="62" fillId="2" borderId="0" xfId="13" applyNumberFormat="1" applyFont="1" applyFill="1" applyBorder="1" applyAlignment="1">
      <alignment horizontal="right" vertical="center" indent="1"/>
    </xf>
    <xf numFmtId="187" fontId="112" fillId="2" borderId="0" xfId="13" applyNumberFormat="1" applyFont="1" applyFill="1" applyBorder="1" applyAlignment="1">
      <alignment horizontal="right" vertical="center" indent="1"/>
    </xf>
    <xf numFmtId="0" fontId="272" fillId="0" borderId="0" xfId="13" applyFont="1" applyFill="1" applyBorder="1" applyAlignment="1">
      <alignment horizontal="left" vertical="center"/>
    </xf>
    <xf numFmtId="187" fontId="274" fillId="0" borderId="55" xfId="14" applyNumberFormat="1" applyFont="1" applyFill="1" applyBorder="1" applyAlignment="1">
      <alignment horizontal="right" vertical="center"/>
    </xf>
    <xf numFmtId="0" fontId="275" fillId="9" borderId="0" xfId="0" applyFont="1" applyFill="1">
      <alignment vertical="center"/>
    </xf>
    <xf numFmtId="0" fontId="64" fillId="32" borderId="48" xfId="13" applyFont="1" applyFill="1" applyBorder="1">
      <alignment vertical="center"/>
    </xf>
    <xf numFmtId="0" fontId="87" fillId="32" borderId="48" xfId="13" applyFont="1" applyFill="1" applyBorder="1" applyAlignment="1">
      <alignment vertical="center"/>
    </xf>
    <xf numFmtId="41" fontId="86" fillId="32" borderId="62" xfId="19" applyFont="1" applyFill="1" applyBorder="1">
      <alignment vertical="center"/>
    </xf>
    <xf numFmtId="41" fontId="243" fillId="32" borderId="62" xfId="7" applyNumberFormat="1" applyFont="1" applyFill="1" applyBorder="1">
      <alignment vertical="center"/>
    </xf>
    <xf numFmtId="0" fontId="64" fillId="32" borderId="51" xfId="13" applyFont="1" applyFill="1" applyBorder="1">
      <alignment vertical="center"/>
    </xf>
    <xf numFmtId="0" fontId="87" fillId="32" borderId="52" xfId="13" applyFont="1" applyFill="1" applyBorder="1" applyAlignment="1">
      <alignment vertical="center"/>
    </xf>
    <xf numFmtId="182" fontId="133" fillId="32" borderId="66" xfId="13" applyNumberFormat="1" applyFont="1" applyFill="1" applyBorder="1" applyAlignment="1">
      <alignment vertical="center"/>
    </xf>
    <xf numFmtId="41" fontId="64" fillId="32" borderId="63" xfId="7" applyNumberFormat="1" applyFont="1" applyFill="1" applyBorder="1">
      <alignment vertical="center"/>
    </xf>
    <xf numFmtId="0" fontId="68" fillId="32" borderId="51" xfId="13" applyFont="1" applyFill="1" applyBorder="1">
      <alignment vertical="center"/>
    </xf>
    <xf numFmtId="41" fontId="62" fillId="32" borderId="0" xfId="13" applyNumberFormat="1" applyFont="1" applyFill="1" applyBorder="1" applyAlignment="1">
      <alignment horizontal="center" vertical="center"/>
    </xf>
    <xf numFmtId="179" fontId="89" fillId="32" borderId="0" xfId="14" applyNumberFormat="1" applyFont="1" applyFill="1" applyBorder="1" applyAlignment="1">
      <alignment horizontal="center" vertical="center"/>
    </xf>
    <xf numFmtId="0" fontId="62" fillId="32" borderId="63" xfId="13" applyFont="1" applyFill="1" applyBorder="1">
      <alignment vertical="center"/>
    </xf>
    <xf numFmtId="0" fontId="62" fillId="32" borderId="51" xfId="13" applyFont="1" applyFill="1" applyBorder="1">
      <alignment vertical="center"/>
    </xf>
    <xf numFmtId="0" fontId="62" fillId="32" borderId="0" xfId="13" applyFont="1" applyFill="1" applyBorder="1">
      <alignment vertical="center"/>
    </xf>
    <xf numFmtId="195" fontId="120" fillId="32" borderId="0" xfId="14" applyNumberFormat="1" applyFont="1" applyFill="1" applyBorder="1" applyAlignment="1">
      <alignment horizontal="center" vertical="center"/>
    </xf>
    <xf numFmtId="244" fontId="95" fillId="32" borderId="63" xfId="13" applyNumberFormat="1" applyFont="1" applyFill="1" applyBorder="1" applyAlignment="1">
      <alignment horizontal="center" vertical="center"/>
    </xf>
    <xf numFmtId="0" fontId="68" fillId="32" borderId="52" xfId="13" applyFont="1" applyFill="1" applyBorder="1" applyAlignment="1">
      <alignment vertical="center"/>
    </xf>
    <xf numFmtId="244" fontId="64" fillId="32" borderId="53" xfId="0" applyNumberFormat="1" applyFont="1" applyFill="1" applyBorder="1" applyAlignment="1" applyProtection="1">
      <alignment horizontal="right" vertical="center"/>
      <protection hidden="1"/>
    </xf>
    <xf numFmtId="195" fontId="120" fillId="32" borderId="53" xfId="14" applyNumberFormat="1" applyFont="1" applyFill="1" applyBorder="1" applyAlignment="1">
      <alignment horizontal="center" vertical="center"/>
    </xf>
    <xf numFmtId="187" fontId="98" fillId="32" borderId="66" xfId="14" applyNumberFormat="1" applyFont="1" applyFill="1" applyBorder="1" applyAlignment="1">
      <alignment horizontal="center" vertical="center"/>
    </xf>
    <xf numFmtId="179" fontId="245" fillId="42" borderId="122" xfId="0" applyNumberFormat="1" applyFont="1" applyFill="1" applyBorder="1" applyAlignment="1">
      <alignment horizontal="center" vertical="center"/>
    </xf>
    <xf numFmtId="179" fontId="245" fillId="42" borderId="0" xfId="0" applyNumberFormat="1" applyFont="1" applyFill="1" applyBorder="1" applyAlignment="1">
      <alignment horizontal="center" vertical="center"/>
    </xf>
    <xf numFmtId="179" fontId="84" fillId="42" borderId="122" xfId="0" applyNumberFormat="1" applyFont="1" applyFill="1" applyBorder="1" applyAlignment="1">
      <alignment horizontal="left" vertical="center"/>
    </xf>
    <xf numFmtId="180" fontId="63" fillId="0" borderId="51" xfId="0" applyNumberFormat="1" applyFont="1" applyFill="1" applyBorder="1">
      <alignment vertical="center"/>
    </xf>
    <xf numFmtId="0" fontId="209" fillId="0" borderId="53" xfId="0" applyFont="1" applyBorder="1">
      <alignment vertical="center"/>
    </xf>
    <xf numFmtId="41" fontId="151" fillId="12" borderId="0" xfId="0" applyNumberFormat="1" applyFont="1" applyFill="1">
      <alignment vertical="center"/>
    </xf>
    <xf numFmtId="0" fontId="64" fillId="0" borderId="43" xfId="0" applyFont="1" applyFill="1" applyBorder="1" applyAlignment="1">
      <alignment horizontal="center" vertical="center"/>
    </xf>
    <xf numFmtId="0" fontId="69" fillId="0" borderId="0" xfId="0" applyFont="1" applyFill="1" applyBorder="1" applyAlignment="1">
      <alignment horizontal="left" vertical="center"/>
    </xf>
    <xf numFmtId="0" fontId="68" fillId="0" borderId="0" xfId="8" applyFont="1" applyFill="1" applyBorder="1">
      <alignment vertical="center"/>
    </xf>
    <xf numFmtId="0" fontId="93" fillId="0" borderId="0" xfId="8" applyFont="1" applyFill="1" applyBorder="1">
      <alignment vertical="center"/>
    </xf>
    <xf numFmtId="0" fontId="64" fillId="0" borderId="0" xfId="8" applyFont="1" applyFill="1" applyBorder="1">
      <alignment vertical="center"/>
    </xf>
    <xf numFmtId="0" fontId="276" fillId="0" borderId="0" xfId="8" applyFont="1" applyFill="1" applyBorder="1">
      <alignment vertical="center"/>
    </xf>
    <xf numFmtId="0" fontId="128" fillId="0" borderId="0" xfId="8" applyFont="1" applyFill="1" applyBorder="1">
      <alignment vertical="center"/>
    </xf>
    <xf numFmtId="0" fontId="68" fillId="0" borderId="49" xfId="8" applyFont="1" applyFill="1" applyBorder="1">
      <alignment vertical="center"/>
    </xf>
    <xf numFmtId="0" fontId="93" fillId="0" borderId="49" xfId="8" applyFont="1" applyFill="1" applyBorder="1">
      <alignment vertical="center"/>
    </xf>
    <xf numFmtId="0" fontId="93" fillId="0" borderId="0" xfId="8" applyFont="1" applyFill="1" applyBorder="1" applyAlignment="1">
      <alignment horizontal="right" vertical="center"/>
    </xf>
    <xf numFmtId="0" fontId="93" fillId="0" borderId="53" xfId="8" applyFont="1" applyFill="1" applyBorder="1">
      <alignment vertical="center"/>
    </xf>
    <xf numFmtId="0" fontId="62" fillId="0" borderId="54" xfId="8" applyFont="1" applyFill="1" applyBorder="1">
      <alignment vertical="center"/>
    </xf>
    <xf numFmtId="0" fontId="93" fillId="0" borderId="24" xfId="8" applyFont="1" applyFill="1" applyBorder="1">
      <alignment vertical="center"/>
    </xf>
    <xf numFmtId="0" fontId="277" fillId="0" borderId="0" xfId="0" applyFont="1">
      <alignment vertical="center"/>
    </xf>
    <xf numFmtId="14" fontId="62" fillId="51" borderId="43" xfId="0" applyNumberFormat="1" applyFont="1" applyFill="1" applyBorder="1" applyAlignment="1">
      <alignment horizontal="center" vertical="center"/>
    </xf>
    <xf numFmtId="180" fontId="65" fillId="51" borderId="43" xfId="0" applyNumberFormat="1" applyFont="1" applyFill="1" applyBorder="1">
      <alignment vertical="center"/>
    </xf>
    <xf numFmtId="180" fontId="65" fillId="23" borderId="43" xfId="0" applyNumberFormat="1" applyFont="1" applyFill="1" applyBorder="1">
      <alignment vertical="center"/>
    </xf>
    <xf numFmtId="180" fontId="62" fillId="51" borderId="43" xfId="0" applyNumberFormat="1" applyFont="1" applyFill="1" applyBorder="1">
      <alignment vertical="center"/>
    </xf>
    <xf numFmtId="0" fontId="22" fillId="0" borderId="0" xfId="0" applyFont="1" applyFill="1" applyBorder="1" applyAlignment="1">
      <alignment horizontal="left" vertical="center"/>
    </xf>
    <xf numFmtId="14" fontId="62" fillId="51" borderId="46" xfId="0" applyNumberFormat="1" applyFont="1" applyFill="1" applyBorder="1" applyAlignment="1">
      <alignment horizontal="center" vertical="center"/>
    </xf>
    <xf numFmtId="180" fontId="78" fillId="0" borderId="49" xfId="0" applyNumberFormat="1" applyFont="1" applyFill="1" applyBorder="1">
      <alignment vertical="center"/>
    </xf>
    <xf numFmtId="0" fontId="158" fillId="2" borderId="0" xfId="0" applyFont="1" applyFill="1" applyBorder="1" applyAlignment="1">
      <alignment horizontal="left" vertical="center"/>
    </xf>
    <xf numFmtId="0" fontId="78" fillId="2" borderId="0" xfId="0" applyFont="1" applyFill="1">
      <alignment vertical="center"/>
    </xf>
    <xf numFmtId="0" fontId="88" fillId="2" borderId="0" xfId="0" applyFont="1" applyFill="1" applyBorder="1" applyAlignment="1">
      <alignment horizontal="right" vertical="center"/>
    </xf>
    <xf numFmtId="179" fontId="110" fillId="2" borderId="0" xfId="0" applyNumberFormat="1" applyFont="1" applyFill="1" applyBorder="1" applyAlignment="1">
      <alignment horizontal="center" vertical="center"/>
    </xf>
    <xf numFmtId="180" fontId="78" fillId="2" borderId="0" xfId="0" applyNumberFormat="1" applyFont="1" applyFill="1" applyBorder="1">
      <alignment vertical="center"/>
    </xf>
    <xf numFmtId="180" fontId="78" fillId="0" borderId="0" xfId="0" applyNumberFormat="1" applyFont="1" applyBorder="1">
      <alignment vertical="center"/>
    </xf>
    <xf numFmtId="0" fontId="275" fillId="2" borderId="0" xfId="0" applyFont="1" applyFill="1">
      <alignment vertical="center"/>
    </xf>
    <xf numFmtId="0" fontId="68" fillId="2" borderId="0" xfId="0" applyFont="1" applyFill="1" applyAlignment="1">
      <alignment horizontal="right" vertical="center"/>
    </xf>
    <xf numFmtId="41" fontId="62" fillId="2" borderId="0" xfId="0" applyNumberFormat="1" applyFont="1" applyFill="1">
      <alignment vertical="center"/>
    </xf>
    <xf numFmtId="254" fontId="278" fillId="52" borderId="0" xfId="0" applyNumberFormat="1" applyFont="1" applyFill="1">
      <alignment vertical="center"/>
    </xf>
    <xf numFmtId="0" fontId="64" fillId="52" borderId="0" xfId="0" applyFont="1" applyFill="1" applyAlignment="1">
      <alignment horizontal="right" vertical="center"/>
    </xf>
    <xf numFmtId="180" fontId="62" fillId="52" borderId="0" xfId="0" applyNumberFormat="1" applyFont="1" applyFill="1">
      <alignment vertical="center"/>
    </xf>
    <xf numFmtId="180" fontId="78" fillId="2" borderId="49" xfId="0" applyNumberFormat="1" applyFont="1" applyFill="1" applyBorder="1">
      <alignment vertical="center"/>
    </xf>
    <xf numFmtId="181" fontId="62" fillId="0" borderId="0" xfId="0" applyNumberFormat="1" applyFont="1" applyFill="1">
      <alignment vertical="center"/>
    </xf>
    <xf numFmtId="181" fontId="78" fillId="0" borderId="0" xfId="10" applyNumberFormat="1" applyFont="1" applyFill="1">
      <alignment vertical="center"/>
    </xf>
    <xf numFmtId="0" fontId="89" fillId="0" borderId="0" xfId="0" applyFont="1">
      <alignment vertical="center"/>
    </xf>
    <xf numFmtId="0" fontId="61" fillId="2" borderId="0" xfId="0" applyFont="1" applyFill="1">
      <alignment vertical="center"/>
    </xf>
    <xf numFmtId="0" fontId="62" fillId="2" borderId="0" xfId="0" applyFont="1" applyFill="1" applyBorder="1">
      <alignment vertical="center"/>
    </xf>
    <xf numFmtId="0" fontId="68" fillId="2" borderId="0" xfId="0" applyFont="1" applyFill="1" applyBorder="1" applyAlignment="1">
      <alignment horizontal="right" vertical="center"/>
    </xf>
    <xf numFmtId="0" fontId="83" fillId="2" borderId="0" xfId="0" applyFont="1" applyFill="1" applyBorder="1" applyAlignment="1">
      <alignment horizontal="center" vertical="center"/>
    </xf>
    <xf numFmtId="41" fontId="62" fillId="2" borderId="0" xfId="0" applyNumberFormat="1" applyFont="1" applyFill="1" applyBorder="1">
      <alignment vertical="center"/>
    </xf>
    <xf numFmtId="0" fontId="62" fillId="2" borderId="1" xfId="0" applyFont="1" applyFill="1" applyBorder="1">
      <alignment vertical="center"/>
    </xf>
    <xf numFmtId="0" fontId="68" fillId="2" borderId="1" xfId="0" applyFont="1" applyFill="1" applyBorder="1" applyAlignment="1">
      <alignment horizontal="right" vertical="center"/>
    </xf>
    <xf numFmtId="0" fontId="83" fillId="2" borderId="1" xfId="0" applyFont="1" applyFill="1" applyBorder="1" applyAlignment="1">
      <alignment horizontal="center" vertical="center"/>
    </xf>
    <xf numFmtId="179" fontId="198" fillId="0" borderId="0" xfId="0" applyNumberFormat="1" applyFont="1" applyFill="1" applyBorder="1">
      <alignment vertical="center"/>
    </xf>
    <xf numFmtId="179" fontId="89" fillId="2" borderId="1" xfId="0" applyNumberFormat="1" applyFont="1" applyFill="1" applyBorder="1">
      <alignment vertical="center"/>
    </xf>
    <xf numFmtId="179" fontId="62" fillId="2" borderId="1" xfId="0" applyNumberFormat="1" applyFont="1" applyFill="1" applyBorder="1">
      <alignment vertical="center"/>
    </xf>
    <xf numFmtId="180" fontId="89" fillId="2" borderId="0" xfId="0" applyNumberFormat="1" applyFont="1" applyFill="1">
      <alignment vertical="center"/>
    </xf>
    <xf numFmtId="180" fontId="78" fillId="0" borderId="0" xfId="0" applyNumberFormat="1" applyFont="1" applyFill="1" applyBorder="1">
      <alignment vertical="center"/>
    </xf>
    <xf numFmtId="0" fontId="61" fillId="2" borderId="0" xfId="0" applyFont="1" applyFill="1" applyAlignment="1">
      <alignment horizontal="right" vertical="center"/>
    </xf>
    <xf numFmtId="181" fontId="81" fillId="2" borderId="0" xfId="10" applyNumberFormat="1" applyFont="1" applyFill="1">
      <alignment vertical="center"/>
    </xf>
    <xf numFmtId="0" fontId="65" fillId="2" borderId="0" xfId="0" applyFont="1" applyFill="1">
      <alignment vertical="center"/>
    </xf>
    <xf numFmtId="181" fontId="78" fillId="0" borderId="0" xfId="10" applyNumberFormat="1" applyFont="1" applyFill="1" applyBorder="1">
      <alignment vertical="center"/>
    </xf>
    <xf numFmtId="181" fontId="65" fillId="2" borderId="0" xfId="0" applyNumberFormat="1" applyFont="1" applyFill="1">
      <alignment vertical="center"/>
    </xf>
    <xf numFmtId="0" fontId="80" fillId="0" borderId="166" xfId="0" applyFont="1" applyFill="1" applyBorder="1">
      <alignment vertical="center"/>
    </xf>
    <xf numFmtId="0" fontId="80" fillId="0" borderId="167" xfId="0" applyFont="1" applyFill="1" applyBorder="1">
      <alignment vertical="center"/>
    </xf>
    <xf numFmtId="181" fontId="236" fillId="0" borderId="168" xfId="10" applyNumberFormat="1" applyFont="1" applyFill="1" applyBorder="1">
      <alignment vertical="center"/>
    </xf>
    <xf numFmtId="41" fontId="279" fillId="0" borderId="0" xfId="0" applyNumberFormat="1" applyFont="1" applyFill="1">
      <alignment vertical="center"/>
    </xf>
    <xf numFmtId="0" fontId="279" fillId="0" borderId="0" xfId="0" applyFont="1" applyFill="1">
      <alignment vertical="center"/>
    </xf>
    <xf numFmtId="181" fontId="279" fillId="0" borderId="0" xfId="0" applyNumberFormat="1" applyFont="1" applyFill="1">
      <alignment vertical="center"/>
    </xf>
    <xf numFmtId="41" fontId="279" fillId="0" borderId="0" xfId="10" applyNumberFormat="1" applyFont="1" applyFill="1">
      <alignment vertical="center"/>
    </xf>
    <xf numFmtId="0" fontId="80" fillId="0" borderId="169" xfId="0" applyFont="1" applyFill="1" applyBorder="1">
      <alignment vertical="center"/>
    </xf>
    <xf numFmtId="0" fontId="80" fillId="0" borderId="170" xfId="0" applyFont="1" applyFill="1" applyBorder="1">
      <alignment vertical="center"/>
    </xf>
    <xf numFmtId="181" fontId="236" fillId="0" borderId="171" xfId="10" applyNumberFormat="1" applyFont="1" applyFill="1" applyBorder="1">
      <alignment vertical="center"/>
    </xf>
    <xf numFmtId="0" fontId="80" fillId="0" borderId="0" xfId="0" applyFont="1" applyFill="1" applyAlignment="1">
      <alignment horizontal="right" vertical="center"/>
    </xf>
    <xf numFmtId="0" fontId="64" fillId="9" borderId="0" xfId="0" applyFont="1" applyFill="1">
      <alignment vertical="center"/>
    </xf>
    <xf numFmtId="181" fontId="78" fillId="9" borderId="0" xfId="10" applyNumberFormat="1" applyFont="1" applyFill="1">
      <alignment vertical="center"/>
    </xf>
    <xf numFmtId="195" fontId="95" fillId="0" borderId="0" xfId="13" applyNumberFormat="1" applyFont="1" applyFill="1" applyBorder="1" applyAlignment="1">
      <alignment horizontal="center" vertical="center"/>
    </xf>
    <xf numFmtId="195" fontId="197" fillId="0" borderId="0" xfId="13" applyNumberFormat="1" applyFont="1" applyFill="1" applyBorder="1" applyAlignment="1">
      <alignment horizontal="center" vertical="center"/>
    </xf>
    <xf numFmtId="0" fontId="61" fillId="9" borderId="0" xfId="0" applyFont="1" applyFill="1">
      <alignment vertical="center"/>
    </xf>
    <xf numFmtId="181" fontId="65" fillId="9" borderId="0" xfId="0" applyNumberFormat="1" applyFont="1" applyFill="1">
      <alignment vertical="center"/>
    </xf>
    <xf numFmtId="181" fontId="270" fillId="9" borderId="0" xfId="0" applyNumberFormat="1" applyFont="1" applyFill="1">
      <alignment vertical="center"/>
    </xf>
    <xf numFmtId="179" fontId="269" fillId="9" borderId="0" xfId="0" applyNumberFormat="1" applyFont="1" applyFill="1">
      <alignment vertical="center"/>
    </xf>
    <xf numFmtId="179" fontId="280" fillId="9" borderId="0" xfId="0" applyNumberFormat="1" applyFont="1" applyFill="1">
      <alignment vertical="center"/>
    </xf>
    <xf numFmtId="0" fontId="115" fillId="0" borderId="0" xfId="0" applyFont="1">
      <alignment vertical="center"/>
    </xf>
    <xf numFmtId="0" fontId="234" fillId="0" borderId="0" xfId="0" applyFont="1" applyFill="1">
      <alignment vertical="center"/>
    </xf>
    <xf numFmtId="41" fontId="115" fillId="0" borderId="0" xfId="0" applyNumberFormat="1" applyFont="1">
      <alignment vertical="center"/>
    </xf>
    <xf numFmtId="0" fontId="187" fillId="0" borderId="0" xfId="0" applyFont="1" applyFill="1" applyBorder="1" applyAlignment="1">
      <alignment horizontal="right" vertical="center"/>
    </xf>
    <xf numFmtId="41" fontId="62" fillId="0" borderId="43" xfId="0" applyNumberFormat="1" applyFont="1" applyFill="1" applyBorder="1">
      <alignment vertical="center"/>
    </xf>
    <xf numFmtId="0" fontId="68" fillId="0" borderId="0" xfId="0" applyFont="1" applyFill="1" applyBorder="1" applyAlignment="1" applyProtection="1">
      <alignment horizontal="left" vertical="center" indent="1"/>
    </xf>
    <xf numFmtId="0" fontId="95" fillId="0" borderId="0" xfId="0" applyFont="1" applyFill="1" applyBorder="1" applyAlignment="1">
      <alignment horizontal="left" vertical="center"/>
    </xf>
    <xf numFmtId="41" fontId="281" fillId="0" borderId="81" xfId="7" applyFont="1" applyFill="1" applyBorder="1" applyAlignment="1">
      <alignment horizontal="center" vertical="center"/>
    </xf>
    <xf numFmtId="0" fontId="68" fillId="0" borderId="0" xfId="0" applyFont="1" applyFill="1" applyBorder="1" applyAlignment="1" applyProtection="1">
      <alignment horizontal="left" vertical="center"/>
    </xf>
    <xf numFmtId="41" fontId="94" fillId="0" borderId="43" xfId="9" applyFont="1" applyFill="1" applyBorder="1">
      <alignment vertical="center"/>
    </xf>
    <xf numFmtId="0" fontId="95" fillId="0" borderId="0" xfId="0" applyFont="1" applyFill="1" applyBorder="1" applyAlignment="1">
      <alignment horizontal="center" vertical="center"/>
    </xf>
    <xf numFmtId="0" fontId="97" fillId="0" borderId="0" xfId="0" applyFont="1" applyFill="1" applyBorder="1" applyAlignment="1">
      <alignment horizontal="center" vertical="center"/>
    </xf>
    <xf numFmtId="0" fontId="282" fillId="0" borderId="0" xfId="0" applyFont="1" applyFill="1" applyBorder="1">
      <alignment vertical="center"/>
    </xf>
    <xf numFmtId="0" fontId="103" fillId="41" borderId="0" xfId="0" applyFont="1" applyFill="1" applyBorder="1" applyAlignment="1">
      <alignment horizontal="left" vertical="center"/>
    </xf>
    <xf numFmtId="41" fontId="89" fillId="41" borderId="0" xfId="0" applyNumberFormat="1" applyFont="1" applyFill="1" applyBorder="1" applyAlignment="1">
      <alignment horizontal="center" vertical="center"/>
    </xf>
    <xf numFmtId="10" fontId="62" fillId="41" borderId="0" xfId="12" applyNumberFormat="1" applyFont="1" applyFill="1" applyBorder="1" applyAlignment="1">
      <alignment horizontal="center" vertical="center"/>
    </xf>
    <xf numFmtId="180" fontId="62" fillId="41" borderId="43" xfId="0" applyNumberFormat="1" applyFont="1" applyFill="1" applyBorder="1">
      <alignment vertical="center"/>
    </xf>
    <xf numFmtId="0" fontId="62" fillId="41" borderId="0" xfId="0" applyFont="1" applyFill="1">
      <alignment vertical="center"/>
    </xf>
    <xf numFmtId="41" fontId="62" fillId="56" borderId="43" xfId="7" applyFont="1" applyFill="1" applyBorder="1" applyAlignment="1">
      <alignment horizontal="center" vertical="center"/>
    </xf>
    <xf numFmtId="180" fontId="62" fillId="56" borderId="43" xfId="0" applyNumberFormat="1" applyFont="1" applyFill="1" applyBorder="1">
      <alignment vertical="center"/>
    </xf>
    <xf numFmtId="0" fontId="0" fillId="0" borderId="0" xfId="3" applyFont="1" applyAlignment="1">
      <alignment horizontal="left" vertical="center"/>
    </xf>
    <xf numFmtId="41" fontId="0" fillId="0" borderId="0" xfId="3" applyNumberFormat="1" applyFont="1" applyAlignment="1">
      <alignment horizontal="left" vertical="center"/>
    </xf>
    <xf numFmtId="41" fontId="62" fillId="23" borderId="43" xfId="7" applyFont="1" applyFill="1" applyBorder="1" applyAlignment="1">
      <alignment horizontal="center" vertical="center"/>
    </xf>
    <xf numFmtId="3" fontId="13" fillId="46" borderId="7" xfId="3" applyNumberFormat="1" applyFont="1" applyFill="1" applyBorder="1" applyAlignment="1">
      <alignment horizontal="right" vertical="center" wrapText="1"/>
    </xf>
    <xf numFmtId="41" fontId="13" fillId="46" borderId="7" xfId="3" applyNumberFormat="1" applyFont="1" applyFill="1" applyBorder="1" applyAlignment="1">
      <alignment horizontal="right" vertical="center" wrapText="1"/>
    </xf>
    <xf numFmtId="3" fontId="16" fillId="46" borderId="7" xfId="3" applyNumberFormat="1" applyFont="1" applyFill="1" applyBorder="1" applyAlignment="1">
      <alignment horizontal="right" vertical="center" wrapText="1"/>
    </xf>
    <xf numFmtId="41" fontId="13" fillId="46" borderId="0" xfId="3" applyNumberFormat="1" applyFont="1" applyFill="1" applyBorder="1" applyAlignment="1">
      <alignment horizontal="right" vertical="center" wrapText="1"/>
    </xf>
    <xf numFmtId="0" fontId="78" fillId="53" borderId="0" xfId="0" applyFont="1" applyFill="1">
      <alignment vertical="center"/>
    </xf>
    <xf numFmtId="0" fontId="79" fillId="53" borderId="0" xfId="0" applyFont="1" applyFill="1" applyBorder="1" applyAlignment="1">
      <alignment horizontal="left" vertical="center"/>
    </xf>
    <xf numFmtId="0" fontId="0" fillId="5" borderId="0" xfId="3" applyFont="1" applyFill="1">
      <alignment vertical="center"/>
    </xf>
    <xf numFmtId="180" fontId="62" fillId="53" borderId="43" xfId="0" applyNumberFormat="1" applyFont="1" applyFill="1" applyBorder="1">
      <alignment vertical="center"/>
    </xf>
    <xf numFmtId="180" fontId="62" fillId="54" borderId="43" xfId="0" applyNumberFormat="1" applyFont="1" applyFill="1" applyBorder="1">
      <alignment vertical="center"/>
    </xf>
    <xf numFmtId="0" fontId="49" fillId="0" borderId="0" xfId="3" applyFont="1">
      <alignment vertical="center"/>
    </xf>
    <xf numFmtId="194" fontId="64" fillId="41" borderId="0" xfId="7" applyNumberFormat="1" applyFont="1" applyFill="1" applyBorder="1">
      <alignment vertical="center"/>
    </xf>
    <xf numFmtId="194" fontId="64" fillId="41" borderId="24" xfId="7" applyNumberFormat="1" applyFont="1" applyFill="1" applyBorder="1">
      <alignment vertical="center"/>
    </xf>
    <xf numFmtId="41" fontId="51" fillId="23" borderId="77" xfId="3" applyNumberFormat="1" applyFont="1" applyFill="1" applyBorder="1">
      <alignment vertical="center"/>
    </xf>
    <xf numFmtId="41" fontId="51" fillId="23" borderId="69" xfId="3" applyNumberFormat="1" applyFont="1" applyFill="1" applyBorder="1">
      <alignment vertical="center"/>
    </xf>
    <xf numFmtId="41" fontId="51" fillId="0" borderId="46" xfId="4" applyFont="1" applyBorder="1">
      <alignment vertical="center"/>
    </xf>
    <xf numFmtId="41" fontId="51" fillId="23" borderId="35" xfId="3" applyNumberFormat="1" applyFont="1" applyFill="1" applyBorder="1">
      <alignment vertical="center"/>
    </xf>
    <xf numFmtId="0" fontId="142" fillId="32" borderId="157" xfId="0" applyFont="1" applyFill="1" applyBorder="1" applyAlignment="1">
      <alignment horizontal="center" vertical="center"/>
    </xf>
    <xf numFmtId="0" fontId="142" fillId="32" borderId="159" xfId="0" applyFont="1" applyFill="1" applyBorder="1" applyAlignment="1">
      <alignment horizontal="center" vertical="center"/>
    </xf>
    <xf numFmtId="10" fontId="2" fillId="0" borderId="0" xfId="6" applyNumberFormat="1" applyFont="1">
      <alignment vertical="center"/>
    </xf>
    <xf numFmtId="10" fontId="62" fillId="0" borderId="0" xfId="2" applyNumberFormat="1" applyFont="1">
      <alignment vertical="center"/>
    </xf>
    <xf numFmtId="198" fontId="62" fillId="0" borderId="0" xfId="2" applyNumberFormat="1" applyFont="1">
      <alignment vertical="center"/>
    </xf>
    <xf numFmtId="180" fontId="62" fillId="3" borderId="0" xfId="0" applyNumberFormat="1" applyFont="1" applyFill="1">
      <alignment vertical="center"/>
    </xf>
    <xf numFmtId="0" fontId="62" fillId="0" borderId="0" xfId="0" applyFont="1" applyAlignment="1">
      <alignment horizontal="right" vertical="center"/>
    </xf>
    <xf numFmtId="0" fontId="70" fillId="0" borderId="0" xfId="0" applyFont="1" applyAlignment="1">
      <alignment horizontal="right" vertical="center"/>
    </xf>
    <xf numFmtId="0" fontId="70" fillId="0" borderId="0" xfId="13" applyFont="1">
      <alignment vertical="center"/>
    </xf>
    <xf numFmtId="180" fontId="65" fillId="3" borderId="0" xfId="0" applyNumberFormat="1" applyFont="1" applyFill="1" applyBorder="1">
      <alignment vertical="center"/>
    </xf>
    <xf numFmtId="180" fontId="241" fillId="0" borderId="63" xfId="13" applyNumberFormat="1" applyFont="1" applyFill="1" applyBorder="1">
      <alignment vertical="center"/>
    </xf>
    <xf numFmtId="41" fontId="62" fillId="0" borderId="0" xfId="1" applyFont="1">
      <alignment vertical="center"/>
    </xf>
    <xf numFmtId="0" fontId="0" fillId="0" borderId="0" xfId="3" applyFont="1" applyAlignment="1">
      <alignment vertical="center" wrapText="1"/>
    </xf>
    <xf numFmtId="0" fontId="1" fillId="0" borderId="0" xfId="3" applyAlignment="1">
      <alignment vertical="center"/>
    </xf>
    <xf numFmtId="0" fontId="0" fillId="2" borderId="0" xfId="3" applyFont="1" applyFill="1" applyAlignment="1">
      <alignment horizontal="left" vertical="center"/>
    </xf>
    <xf numFmtId="0" fontId="7" fillId="54" borderId="0" xfId="3" applyFont="1" applyFill="1" applyAlignment="1">
      <alignment vertical="center"/>
    </xf>
    <xf numFmtId="0" fontId="1" fillId="54" borderId="0" xfId="3" applyFill="1">
      <alignment vertical="center"/>
    </xf>
    <xf numFmtId="0" fontId="0" fillId="54" borderId="0" xfId="3" applyFont="1" applyFill="1">
      <alignment vertical="center"/>
    </xf>
    <xf numFmtId="10" fontId="34" fillId="21" borderId="7" xfId="0" applyNumberFormat="1" applyFont="1" applyFill="1" applyBorder="1" applyAlignment="1">
      <alignment horizontal="center" vertical="center" wrapText="1"/>
    </xf>
    <xf numFmtId="3" fontId="18" fillId="0" borderId="0" xfId="5" applyNumberFormat="1">
      <alignment vertical="center"/>
    </xf>
    <xf numFmtId="0" fontId="35" fillId="0" borderId="15" xfId="0" applyFont="1" applyBorder="1" applyAlignment="1">
      <alignment horizontal="center" vertical="center" wrapText="1"/>
    </xf>
    <xf numFmtId="0" fontId="35" fillId="0" borderId="6" xfId="0" applyFont="1" applyBorder="1" applyAlignment="1">
      <alignment horizontal="center" vertical="center" wrapText="1"/>
    </xf>
    <xf numFmtId="0" fontId="84" fillId="0" borderId="0" xfId="27" applyFont="1" applyAlignment="1">
      <alignment horizontal="left" vertical="center" wrapText="1"/>
    </xf>
    <xf numFmtId="0" fontId="23" fillId="0" borderId="10" xfId="27" applyFont="1" applyBorder="1" applyAlignment="1">
      <alignment horizontal="left" vertical="center" wrapText="1"/>
    </xf>
    <xf numFmtId="0" fontId="23" fillId="0" borderId="11" xfId="27" applyFont="1" applyBorder="1" applyAlignment="1">
      <alignment horizontal="left" vertical="center" wrapText="1"/>
    </xf>
    <xf numFmtId="0" fontId="23" fillId="0" borderId="5" xfId="27" applyFont="1" applyBorder="1" applyAlignment="1">
      <alignment horizontal="left" vertical="center" wrapText="1"/>
    </xf>
    <xf numFmtId="0" fontId="170" fillId="0" borderId="0" xfId="27" applyFont="1" applyAlignment="1">
      <alignment horizontal="left" vertical="center"/>
    </xf>
    <xf numFmtId="0" fontId="23" fillId="0" borderId="95" xfId="27" applyFont="1" applyBorder="1" applyAlignment="1">
      <alignment horizontal="center" vertical="center" wrapText="1"/>
    </xf>
    <xf numFmtId="0" fontId="23" fillId="0" borderId="96" xfId="27" applyFont="1" applyBorder="1" applyAlignment="1">
      <alignment horizontal="center" vertical="center" wrapText="1"/>
    </xf>
    <xf numFmtId="0" fontId="23" fillId="0" borderId="94" xfId="27" applyFont="1" applyBorder="1" applyAlignment="1">
      <alignment horizontal="center" vertical="center" wrapText="1"/>
    </xf>
    <xf numFmtId="0" fontId="23" fillId="0" borderId="97" xfId="27" applyFont="1" applyBorder="1" applyAlignment="1">
      <alignment horizontal="center" vertical="center" wrapText="1"/>
    </xf>
    <xf numFmtId="0" fontId="23" fillId="0" borderId="98" xfId="27" applyFont="1" applyBorder="1" applyAlignment="1">
      <alignment horizontal="center" vertical="center" wrapText="1"/>
    </xf>
    <xf numFmtId="0" fontId="23" fillId="0" borderId="99" xfId="27" applyFont="1" applyBorder="1" applyAlignment="1">
      <alignment horizontal="center" vertical="center" wrapText="1"/>
    </xf>
    <xf numFmtId="0" fontId="68" fillId="11" borderId="15" xfId="27" applyFont="1" applyFill="1" applyBorder="1" applyAlignment="1">
      <alignment horizontal="center" vertical="center" wrapText="1"/>
    </xf>
    <xf numFmtId="0" fontId="68" fillId="11" borderId="6" xfId="27" applyFont="1" applyFill="1" applyBorder="1" applyAlignment="1">
      <alignment horizontal="center" vertical="center" wrapText="1"/>
    </xf>
    <xf numFmtId="0" fontId="176" fillId="23" borderId="10" xfId="27" applyFont="1" applyFill="1" applyBorder="1" applyAlignment="1">
      <alignment horizontal="left" vertical="center" wrapText="1"/>
    </xf>
    <xf numFmtId="0" fontId="176" fillId="23" borderId="11" xfId="27" applyFont="1" applyFill="1" applyBorder="1" applyAlignment="1">
      <alignment horizontal="left" vertical="center" wrapText="1"/>
    </xf>
    <xf numFmtId="0" fontId="176" fillId="23" borderId="5" xfId="27" applyFont="1" applyFill="1" applyBorder="1" applyAlignment="1">
      <alignment horizontal="left" vertical="center" wrapText="1"/>
    </xf>
    <xf numFmtId="0" fontId="54" fillId="8" borderId="15" xfId="27" applyFont="1" applyFill="1" applyBorder="1" applyAlignment="1">
      <alignment horizontal="center" vertical="center"/>
    </xf>
    <xf numFmtId="0" fontId="54" fillId="8" borderId="6" xfId="27" applyFont="1" applyFill="1" applyBorder="1" applyAlignment="1">
      <alignment horizontal="center" vertical="center"/>
    </xf>
    <xf numFmtId="0" fontId="10" fillId="0" borderId="0" xfId="3" applyFont="1" applyAlignment="1">
      <alignment horizontal="left" vertical="center"/>
    </xf>
    <xf numFmtId="0" fontId="0" fillId="0" borderId="8" xfId="3" applyFont="1" applyBorder="1" applyAlignment="1">
      <alignment horizontal="center" vertical="center"/>
    </xf>
    <xf numFmtId="0" fontId="1" fillId="0" borderId="8" xfId="3" applyBorder="1" applyAlignment="1">
      <alignment horizontal="center" vertical="center"/>
    </xf>
    <xf numFmtId="0" fontId="22" fillId="9" borderId="0" xfId="3" applyFont="1" applyFill="1" applyAlignment="1">
      <alignment horizontal="lef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13" fillId="0" borderId="10" xfId="3" applyFont="1" applyBorder="1" applyAlignment="1">
      <alignment horizontal="center" vertical="center" wrapText="1"/>
    </xf>
    <xf numFmtId="0" fontId="13" fillId="0" borderId="11" xfId="3" applyFont="1" applyBorder="1" applyAlignment="1">
      <alignment horizontal="center" vertical="center" wrapText="1"/>
    </xf>
    <xf numFmtId="0" fontId="13" fillId="0" borderId="5" xfId="3" applyFont="1" applyBorder="1" applyAlignment="1">
      <alignment horizontal="center" vertical="center" wrapText="1"/>
    </xf>
    <xf numFmtId="0" fontId="33" fillId="0" borderId="13" xfId="5" applyFont="1" applyBorder="1" applyAlignment="1">
      <alignment horizontal="center" vertical="center" wrapText="1"/>
    </xf>
    <xf numFmtId="0" fontId="33" fillId="0" borderId="17" xfId="5" applyFont="1" applyBorder="1" applyAlignment="1">
      <alignment horizontal="center" vertical="center" wrapText="1"/>
    </xf>
    <xf numFmtId="0" fontId="33" fillId="0" borderId="7" xfId="5" applyFont="1" applyBorder="1" applyAlignment="1">
      <alignment horizontal="center" vertical="center" wrapText="1"/>
    </xf>
    <xf numFmtId="41" fontId="13" fillId="10" borderId="10" xfId="4" applyFont="1" applyFill="1" applyBorder="1" applyAlignment="1">
      <alignment horizontal="right" vertical="center" wrapText="1"/>
    </xf>
    <xf numFmtId="41" fontId="13" fillId="10" borderId="5" xfId="4" applyFont="1" applyFill="1" applyBorder="1" applyAlignment="1">
      <alignment horizontal="right" vertical="center" wrapText="1"/>
    </xf>
    <xf numFmtId="41" fontId="13" fillId="12" borderId="16" xfId="4" applyFont="1" applyFill="1" applyBorder="1" applyAlignment="1">
      <alignment horizontal="right" vertical="center" wrapText="1"/>
    </xf>
    <xf numFmtId="41" fontId="13" fillId="12" borderId="13" xfId="4" applyFont="1" applyFill="1" applyBorder="1" applyAlignment="1">
      <alignment horizontal="right" vertical="center" wrapText="1"/>
    </xf>
    <xf numFmtId="41" fontId="36" fillId="10" borderId="20" xfId="4" applyFont="1" applyFill="1" applyBorder="1" applyAlignment="1">
      <alignment horizontal="right" vertical="center" wrapText="1"/>
    </xf>
    <xf numFmtId="41" fontId="36" fillId="10" borderId="9" xfId="4" applyFont="1" applyFill="1" applyBorder="1" applyAlignment="1">
      <alignment horizontal="right" vertical="center" wrapText="1"/>
    </xf>
    <xf numFmtId="0" fontId="38" fillId="0" borderId="0" xfId="3" applyFont="1" applyAlignment="1">
      <alignment horizontal="left" vertical="center"/>
    </xf>
    <xf numFmtId="0" fontId="33" fillId="19" borderId="13" xfId="5" applyFont="1" applyFill="1" applyBorder="1" applyAlignment="1">
      <alignment horizontal="center" vertical="center" wrapText="1"/>
    </xf>
    <xf numFmtId="0" fontId="33" fillId="19" borderId="7" xfId="5" applyFont="1" applyFill="1" applyBorder="1" applyAlignment="1">
      <alignment horizontal="center" vertical="center" wrapText="1"/>
    </xf>
    <xf numFmtId="0" fontId="238" fillId="11" borderId="156" xfId="3" applyFont="1" applyFill="1" applyBorder="1" applyAlignment="1">
      <alignment horizontal="left" vertical="center" wrapText="1"/>
    </xf>
    <xf numFmtId="0" fontId="238" fillId="11" borderId="0" xfId="3" applyFont="1" applyFill="1" applyBorder="1" applyAlignment="1">
      <alignment horizontal="left" vertical="center" wrapText="1"/>
    </xf>
    <xf numFmtId="3" fontId="34" fillId="0" borderId="15" xfId="0" applyNumberFormat="1" applyFont="1" applyBorder="1" applyAlignment="1">
      <alignment horizontal="center" vertical="center" wrapText="1"/>
    </xf>
    <xf numFmtId="3" fontId="34" fillId="0" borderId="60" xfId="0" applyNumberFormat="1" applyFont="1" applyBorder="1" applyAlignment="1">
      <alignment horizontal="center" vertical="center" wrapText="1"/>
    </xf>
    <xf numFmtId="3" fontId="34" fillId="0" borderId="6" xfId="0" applyNumberFormat="1" applyFont="1" applyBorder="1" applyAlignment="1">
      <alignment horizontal="center" vertical="center" wrapText="1"/>
    </xf>
    <xf numFmtId="0" fontId="1" fillId="14" borderId="0" xfId="3" applyFont="1" applyFill="1" applyAlignment="1">
      <alignment horizontal="center" vertical="center"/>
    </xf>
    <xf numFmtId="41" fontId="43" fillId="0" borderId="15" xfId="4" applyFont="1" applyBorder="1" applyAlignment="1">
      <alignment horizontal="center" vertical="center" wrapText="1"/>
    </xf>
    <xf numFmtId="41" fontId="43" fillId="0" borderId="6" xfId="4" applyFont="1" applyBorder="1" applyAlignment="1">
      <alignment horizontal="center" vertical="center" wrapText="1"/>
    </xf>
    <xf numFmtId="0" fontId="10" fillId="0" borderId="3" xfId="3" applyFont="1" applyBorder="1" applyAlignment="1">
      <alignment horizontal="left" vertical="center"/>
    </xf>
    <xf numFmtId="189" fontId="95" fillId="0" borderId="51" xfId="7" applyNumberFormat="1" applyFont="1" applyFill="1" applyBorder="1" applyAlignment="1" applyProtection="1">
      <alignment horizontal="right" vertical="center"/>
    </xf>
    <xf numFmtId="0" fontId="0" fillId="0" borderId="63" xfId="0" applyBorder="1" applyAlignment="1">
      <alignment vertical="center"/>
    </xf>
    <xf numFmtId="0" fontId="153" fillId="0" borderId="10" xfId="16" applyFont="1" applyBorder="1" applyAlignment="1">
      <alignment horizontal="center" vertical="center" wrapText="1"/>
    </xf>
    <xf numFmtId="0" fontId="153" fillId="0" borderId="5" xfId="16" applyFont="1" applyBorder="1" applyAlignment="1">
      <alignment horizontal="center" vertical="center" wrapText="1"/>
    </xf>
    <xf numFmtId="0" fontId="42" fillId="0" borderId="10" xfId="16" applyFont="1" applyBorder="1" applyAlignment="1">
      <alignment horizontal="center" vertical="center" wrapText="1"/>
    </xf>
    <xf numFmtId="0" fontId="42" fillId="0" borderId="5" xfId="16" applyFont="1" applyBorder="1" applyAlignment="1">
      <alignment horizontal="center" vertical="center" wrapText="1"/>
    </xf>
  </cellXfs>
  <cellStyles count="30">
    <cellStyle name="백분율" xfId="2" builtinId="5"/>
    <cellStyle name="백분율 2" xfId="21"/>
    <cellStyle name="백분율 2 2" xfId="14"/>
    <cellStyle name="백분율 2 4" xfId="11"/>
    <cellStyle name="백분율 3" xfId="6"/>
    <cellStyle name="백분율 36 2" xfId="12"/>
    <cellStyle name="쉼표 [0]" xfId="1" builtinId="6"/>
    <cellStyle name="쉼표 [0] 2" xfId="10"/>
    <cellStyle name="쉼표 [0] 2 2" xfId="25"/>
    <cellStyle name="쉼표 [0] 2 5 2" xfId="7"/>
    <cellStyle name="쉼표 [0] 2 5 3" xfId="20"/>
    <cellStyle name="쉼표 [0] 2 5 4" xfId="15"/>
    <cellStyle name="쉼표 [0] 2_신도림미래타워_FM_v2_100409" xfId="19"/>
    <cellStyle name="쉼표 [0] 3" xfId="26"/>
    <cellStyle name="쉼표 [0] 3 2" xfId="9"/>
    <cellStyle name="쉼표 [0] 4" xfId="4"/>
    <cellStyle name="쉼표 [0] 5 3" xfId="22"/>
    <cellStyle name="표준" xfId="0" builtinId="0"/>
    <cellStyle name="표준 2" xfId="5"/>
    <cellStyle name="표준 2 2" xfId="3"/>
    <cellStyle name="표준 2 2 2 2 2" xfId="23"/>
    <cellStyle name="표준 2 2 3" xfId="18"/>
    <cellStyle name="표준 3" xfId="16"/>
    <cellStyle name="표준 3 52 2" xfId="24"/>
    <cellStyle name="표준 4" xfId="27"/>
    <cellStyle name="표준_K#K-재무모델-0925_4" xfId="8"/>
    <cellStyle name="표준_용인하수_10" xfId="13"/>
    <cellStyle name="하이퍼링크" xfId="29" builtinId="8"/>
    <cellStyle name="하이퍼링크 2" xfId="17"/>
    <cellStyle name="하이퍼링크 2 2" xfId="28"/>
  </cellStyles>
  <dxfs count="69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tint="-0.14996795556505021"/>
      </font>
    </dxf>
    <dxf>
      <font>
        <color theme="0" tint="-0.34998626667073579"/>
      </font>
    </dxf>
    <dxf>
      <fill>
        <patternFill>
          <bgColor theme="3" tint="0.79998168889431442"/>
        </patternFill>
      </fill>
    </dxf>
    <dxf>
      <font>
        <color theme="0" tint="-0.14996795556505021"/>
      </font>
    </dxf>
    <dxf>
      <font>
        <strike val="0"/>
        <condense val="0"/>
        <extend val="0"/>
        <color auto="1"/>
      </font>
    </dxf>
    <dxf>
      <font>
        <color theme="0" tint="-0.34998626667073579"/>
      </font>
    </dxf>
    <dxf>
      <fill>
        <patternFill>
          <bgColor theme="3" tint="0.79998168889431442"/>
        </patternFill>
      </fill>
    </dxf>
    <dxf>
      <fill>
        <patternFill>
          <bgColor theme="3" tint="0.79998168889431442"/>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color theme="0" tint="-0.34998626667073579"/>
      </font>
    </dxf>
    <dxf>
      <font>
        <color theme="0" tint="-0.34998626667073579"/>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ill>
        <patternFill>
          <bgColor theme="8" tint="0.79998168889431442"/>
        </patternFill>
      </fill>
    </dxf>
    <dxf>
      <font>
        <strike val="0"/>
        <condense val="0"/>
        <extend val="0"/>
        <color auto="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ill>
        <patternFill>
          <bgColor theme="8" tint="0.79998168889431442"/>
        </patternFill>
      </fill>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14996795556505021"/>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dxf>
    <dxf>
      <font>
        <color rgb="FF0000FF"/>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strike val="0"/>
        <condense val="0"/>
        <extend val="0"/>
        <color auto="1"/>
      </font>
    </dxf>
    <dxf>
      <font>
        <color theme="0" tint="-0.34998626667073579"/>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strike val="0"/>
        <condense val="0"/>
        <extend val="0"/>
        <color auto="1"/>
      </font>
    </dxf>
    <dxf>
      <font>
        <strike val="0"/>
        <condense val="0"/>
        <extend val="0"/>
        <color auto="1"/>
      </font>
    </dxf>
    <dxf>
      <font>
        <color theme="0"/>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34998626667073579"/>
      </font>
    </dxf>
    <dxf>
      <font>
        <color theme="0" tint="-0.34998626667073579"/>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strike val="0"/>
        <condense val="0"/>
        <extend val="0"/>
        <color auto="1"/>
      </font>
    </dxf>
    <dxf>
      <font>
        <condense val="0"/>
        <extend val="0"/>
        <color indexed="10"/>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s>
  <tableStyles count="0" defaultTableStyle="TableStyleMedium2" defaultPivotStyle="PivotStyleLight16"/>
  <colors>
    <mruColors>
      <color rgb="FF0000FF"/>
      <color rgb="FF99FF99"/>
      <color rgb="FFFFFFCC"/>
      <color rgb="FFDCB9FF"/>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7.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63" Type="http://schemas.openxmlformats.org/officeDocument/2006/relationships/externalLink" Target="externalLinks/externalLink43.xml"/><Relationship Id="rId84" Type="http://schemas.openxmlformats.org/officeDocument/2006/relationships/externalLink" Target="externalLinks/externalLink64.xml"/><Relationship Id="rId138" Type="http://schemas.openxmlformats.org/officeDocument/2006/relationships/externalLink" Target="externalLinks/externalLink118.xml"/><Relationship Id="rId159" Type="http://schemas.openxmlformats.org/officeDocument/2006/relationships/externalLink" Target="externalLinks/externalLink139.xml"/><Relationship Id="rId170" Type="http://schemas.openxmlformats.org/officeDocument/2006/relationships/externalLink" Target="externalLinks/externalLink150.xml"/><Relationship Id="rId191" Type="http://schemas.openxmlformats.org/officeDocument/2006/relationships/externalLink" Target="externalLinks/externalLink171.xml"/><Relationship Id="rId205" Type="http://schemas.openxmlformats.org/officeDocument/2006/relationships/externalLink" Target="externalLinks/externalLink185.xml"/><Relationship Id="rId16" Type="http://schemas.openxmlformats.org/officeDocument/2006/relationships/worksheet" Target="worksheets/sheet16.xml"/><Relationship Id="rId107" Type="http://schemas.openxmlformats.org/officeDocument/2006/relationships/externalLink" Target="externalLinks/externalLink87.xml"/><Relationship Id="rId11" Type="http://schemas.openxmlformats.org/officeDocument/2006/relationships/worksheet" Target="worksheets/sheet11.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74" Type="http://schemas.openxmlformats.org/officeDocument/2006/relationships/externalLink" Target="externalLinks/externalLink54.xml"/><Relationship Id="rId79" Type="http://schemas.openxmlformats.org/officeDocument/2006/relationships/externalLink" Target="externalLinks/externalLink59.xml"/><Relationship Id="rId102" Type="http://schemas.openxmlformats.org/officeDocument/2006/relationships/externalLink" Target="externalLinks/externalLink82.xml"/><Relationship Id="rId123" Type="http://schemas.openxmlformats.org/officeDocument/2006/relationships/externalLink" Target="externalLinks/externalLink103.xml"/><Relationship Id="rId128" Type="http://schemas.openxmlformats.org/officeDocument/2006/relationships/externalLink" Target="externalLinks/externalLink108.xml"/><Relationship Id="rId144" Type="http://schemas.openxmlformats.org/officeDocument/2006/relationships/externalLink" Target="externalLinks/externalLink124.xml"/><Relationship Id="rId149" Type="http://schemas.openxmlformats.org/officeDocument/2006/relationships/externalLink" Target="externalLinks/externalLink129.xml"/><Relationship Id="rId5" Type="http://schemas.openxmlformats.org/officeDocument/2006/relationships/worksheet" Target="worksheets/sheet5.xml"/><Relationship Id="rId90" Type="http://schemas.openxmlformats.org/officeDocument/2006/relationships/externalLink" Target="externalLinks/externalLink70.xml"/><Relationship Id="rId95" Type="http://schemas.openxmlformats.org/officeDocument/2006/relationships/externalLink" Target="externalLinks/externalLink75.xml"/><Relationship Id="rId160" Type="http://schemas.openxmlformats.org/officeDocument/2006/relationships/externalLink" Target="externalLinks/externalLink140.xml"/><Relationship Id="rId165" Type="http://schemas.openxmlformats.org/officeDocument/2006/relationships/externalLink" Target="externalLinks/externalLink145.xml"/><Relationship Id="rId181" Type="http://schemas.openxmlformats.org/officeDocument/2006/relationships/externalLink" Target="externalLinks/externalLink161.xml"/><Relationship Id="rId186" Type="http://schemas.openxmlformats.org/officeDocument/2006/relationships/externalLink" Target="externalLinks/externalLink166.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113" Type="http://schemas.openxmlformats.org/officeDocument/2006/relationships/externalLink" Target="externalLinks/externalLink93.xml"/><Relationship Id="rId118" Type="http://schemas.openxmlformats.org/officeDocument/2006/relationships/externalLink" Target="externalLinks/externalLink98.xml"/><Relationship Id="rId134" Type="http://schemas.openxmlformats.org/officeDocument/2006/relationships/externalLink" Target="externalLinks/externalLink114.xml"/><Relationship Id="rId139" Type="http://schemas.openxmlformats.org/officeDocument/2006/relationships/externalLink" Target="externalLinks/externalLink119.xml"/><Relationship Id="rId80" Type="http://schemas.openxmlformats.org/officeDocument/2006/relationships/externalLink" Target="externalLinks/externalLink60.xml"/><Relationship Id="rId85" Type="http://schemas.openxmlformats.org/officeDocument/2006/relationships/externalLink" Target="externalLinks/externalLink65.xml"/><Relationship Id="rId150" Type="http://schemas.openxmlformats.org/officeDocument/2006/relationships/externalLink" Target="externalLinks/externalLink130.xml"/><Relationship Id="rId155" Type="http://schemas.openxmlformats.org/officeDocument/2006/relationships/externalLink" Target="externalLinks/externalLink135.xml"/><Relationship Id="rId171" Type="http://schemas.openxmlformats.org/officeDocument/2006/relationships/externalLink" Target="externalLinks/externalLink151.xml"/><Relationship Id="rId176" Type="http://schemas.openxmlformats.org/officeDocument/2006/relationships/externalLink" Target="externalLinks/externalLink156.xml"/><Relationship Id="rId192" Type="http://schemas.openxmlformats.org/officeDocument/2006/relationships/externalLink" Target="externalLinks/externalLink172.xml"/><Relationship Id="rId197" Type="http://schemas.openxmlformats.org/officeDocument/2006/relationships/externalLink" Target="externalLinks/externalLink177.xml"/><Relationship Id="rId206" Type="http://schemas.openxmlformats.org/officeDocument/2006/relationships/externalLink" Target="externalLinks/externalLink186.xml"/><Relationship Id="rId201" Type="http://schemas.openxmlformats.org/officeDocument/2006/relationships/externalLink" Target="externalLinks/externalLink18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59" Type="http://schemas.openxmlformats.org/officeDocument/2006/relationships/externalLink" Target="externalLinks/externalLink39.xml"/><Relationship Id="rId103" Type="http://schemas.openxmlformats.org/officeDocument/2006/relationships/externalLink" Target="externalLinks/externalLink83.xml"/><Relationship Id="rId108" Type="http://schemas.openxmlformats.org/officeDocument/2006/relationships/externalLink" Target="externalLinks/externalLink88.xml"/><Relationship Id="rId124" Type="http://schemas.openxmlformats.org/officeDocument/2006/relationships/externalLink" Target="externalLinks/externalLink104.xml"/><Relationship Id="rId129" Type="http://schemas.openxmlformats.org/officeDocument/2006/relationships/externalLink" Target="externalLinks/externalLink109.xml"/><Relationship Id="rId54" Type="http://schemas.openxmlformats.org/officeDocument/2006/relationships/externalLink" Target="externalLinks/externalLink34.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40" Type="http://schemas.openxmlformats.org/officeDocument/2006/relationships/externalLink" Target="externalLinks/externalLink120.xml"/><Relationship Id="rId145" Type="http://schemas.openxmlformats.org/officeDocument/2006/relationships/externalLink" Target="externalLinks/externalLink125.xml"/><Relationship Id="rId161" Type="http://schemas.openxmlformats.org/officeDocument/2006/relationships/externalLink" Target="externalLinks/externalLink141.xml"/><Relationship Id="rId166" Type="http://schemas.openxmlformats.org/officeDocument/2006/relationships/externalLink" Target="externalLinks/externalLink146.xml"/><Relationship Id="rId182" Type="http://schemas.openxmlformats.org/officeDocument/2006/relationships/externalLink" Target="externalLinks/externalLink162.xml"/><Relationship Id="rId187" Type="http://schemas.openxmlformats.org/officeDocument/2006/relationships/externalLink" Target="externalLinks/externalLink16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49" Type="http://schemas.openxmlformats.org/officeDocument/2006/relationships/externalLink" Target="externalLinks/externalLink29.xml"/><Relationship Id="rId114" Type="http://schemas.openxmlformats.org/officeDocument/2006/relationships/externalLink" Target="externalLinks/externalLink94.xml"/><Relationship Id="rId119" Type="http://schemas.openxmlformats.org/officeDocument/2006/relationships/externalLink" Target="externalLinks/externalLink99.xml"/><Relationship Id="rId44" Type="http://schemas.openxmlformats.org/officeDocument/2006/relationships/externalLink" Target="externalLinks/externalLink24.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130" Type="http://schemas.openxmlformats.org/officeDocument/2006/relationships/externalLink" Target="externalLinks/externalLink110.xml"/><Relationship Id="rId135" Type="http://schemas.openxmlformats.org/officeDocument/2006/relationships/externalLink" Target="externalLinks/externalLink115.xml"/><Relationship Id="rId151" Type="http://schemas.openxmlformats.org/officeDocument/2006/relationships/externalLink" Target="externalLinks/externalLink131.xml"/><Relationship Id="rId156" Type="http://schemas.openxmlformats.org/officeDocument/2006/relationships/externalLink" Target="externalLinks/externalLink136.xml"/><Relationship Id="rId177" Type="http://schemas.openxmlformats.org/officeDocument/2006/relationships/externalLink" Target="externalLinks/externalLink157.xml"/><Relationship Id="rId198" Type="http://schemas.openxmlformats.org/officeDocument/2006/relationships/externalLink" Target="externalLinks/externalLink178.xml"/><Relationship Id="rId172" Type="http://schemas.openxmlformats.org/officeDocument/2006/relationships/externalLink" Target="externalLinks/externalLink152.xml"/><Relationship Id="rId193" Type="http://schemas.openxmlformats.org/officeDocument/2006/relationships/externalLink" Target="externalLinks/externalLink173.xml"/><Relationship Id="rId202" Type="http://schemas.openxmlformats.org/officeDocument/2006/relationships/externalLink" Target="externalLinks/externalLink18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109" Type="http://schemas.openxmlformats.org/officeDocument/2006/relationships/externalLink" Target="externalLinks/externalLink8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externalLink" Target="externalLinks/externalLink84.xml"/><Relationship Id="rId120" Type="http://schemas.openxmlformats.org/officeDocument/2006/relationships/externalLink" Target="externalLinks/externalLink100.xml"/><Relationship Id="rId125" Type="http://schemas.openxmlformats.org/officeDocument/2006/relationships/externalLink" Target="externalLinks/externalLink105.xml"/><Relationship Id="rId141" Type="http://schemas.openxmlformats.org/officeDocument/2006/relationships/externalLink" Target="externalLinks/externalLink121.xml"/><Relationship Id="rId146" Type="http://schemas.openxmlformats.org/officeDocument/2006/relationships/externalLink" Target="externalLinks/externalLink126.xml"/><Relationship Id="rId167" Type="http://schemas.openxmlformats.org/officeDocument/2006/relationships/externalLink" Target="externalLinks/externalLink147.xml"/><Relationship Id="rId188" Type="http://schemas.openxmlformats.org/officeDocument/2006/relationships/externalLink" Target="externalLinks/externalLink168.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162" Type="http://schemas.openxmlformats.org/officeDocument/2006/relationships/externalLink" Target="externalLinks/externalLink142.xml"/><Relationship Id="rId183" Type="http://schemas.openxmlformats.org/officeDocument/2006/relationships/externalLink" Target="externalLinks/externalLink163.xml"/><Relationship Id="rId2" Type="http://schemas.openxmlformats.org/officeDocument/2006/relationships/worksheet" Target="worksheets/sheet2.xml"/><Relationship Id="rId29" Type="http://schemas.openxmlformats.org/officeDocument/2006/relationships/externalLink" Target="externalLinks/externalLink9.xml"/><Relationship Id="rId24" Type="http://schemas.openxmlformats.org/officeDocument/2006/relationships/externalLink" Target="externalLinks/externalLink4.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66" Type="http://schemas.openxmlformats.org/officeDocument/2006/relationships/externalLink" Target="externalLinks/externalLink46.xml"/><Relationship Id="rId87" Type="http://schemas.openxmlformats.org/officeDocument/2006/relationships/externalLink" Target="externalLinks/externalLink67.xml"/><Relationship Id="rId110" Type="http://schemas.openxmlformats.org/officeDocument/2006/relationships/externalLink" Target="externalLinks/externalLink90.xml"/><Relationship Id="rId115" Type="http://schemas.openxmlformats.org/officeDocument/2006/relationships/externalLink" Target="externalLinks/externalLink95.xml"/><Relationship Id="rId131" Type="http://schemas.openxmlformats.org/officeDocument/2006/relationships/externalLink" Target="externalLinks/externalLink111.xml"/><Relationship Id="rId136" Type="http://schemas.openxmlformats.org/officeDocument/2006/relationships/externalLink" Target="externalLinks/externalLink116.xml"/><Relationship Id="rId157" Type="http://schemas.openxmlformats.org/officeDocument/2006/relationships/externalLink" Target="externalLinks/externalLink137.xml"/><Relationship Id="rId178" Type="http://schemas.openxmlformats.org/officeDocument/2006/relationships/externalLink" Target="externalLinks/externalLink158.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152" Type="http://schemas.openxmlformats.org/officeDocument/2006/relationships/externalLink" Target="externalLinks/externalLink132.xml"/><Relationship Id="rId173" Type="http://schemas.openxmlformats.org/officeDocument/2006/relationships/externalLink" Target="externalLinks/externalLink153.xml"/><Relationship Id="rId194" Type="http://schemas.openxmlformats.org/officeDocument/2006/relationships/externalLink" Target="externalLinks/externalLink174.xml"/><Relationship Id="rId199" Type="http://schemas.openxmlformats.org/officeDocument/2006/relationships/externalLink" Target="externalLinks/externalLink179.xml"/><Relationship Id="rId203" Type="http://schemas.openxmlformats.org/officeDocument/2006/relationships/externalLink" Target="externalLinks/externalLink18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56" Type="http://schemas.openxmlformats.org/officeDocument/2006/relationships/externalLink" Target="externalLinks/externalLink36.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externalLink" Target="externalLinks/externalLink85.xml"/><Relationship Id="rId126" Type="http://schemas.openxmlformats.org/officeDocument/2006/relationships/externalLink" Target="externalLinks/externalLink106.xml"/><Relationship Id="rId147" Type="http://schemas.openxmlformats.org/officeDocument/2006/relationships/externalLink" Target="externalLinks/externalLink127.xml"/><Relationship Id="rId168" Type="http://schemas.openxmlformats.org/officeDocument/2006/relationships/externalLink" Target="externalLinks/externalLink148.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121" Type="http://schemas.openxmlformats.org/officeDocument/2006/relationships/externalLink" Target="externalLinks/externalLink101.xml"/><Relationship Id="rId142" Type="http://schemas.openxmlformats.org/officeDocument/2006/relationships/externalLink" Target="externalLinks/externalLink122.xml"/><Relationship Id="rId163" Type="http://schemas.openxmlformats.org/officeDocument/2006/relationships/externalLink" Target="externalLinks/externalLink143.xml"/><Relationship Id="rId184" Type="http://schemas.openxmlformats.org/officeDocument/2006/relationships/externalLink" Target="externalLinks/externalLink164.xml"/><Relationship Id="rId189" Type="http://schemas.openxmlformats.org/officeDocument/2006/relationships/externalLink" Target="externalLinks/externalLink169.xml"/><Relationship Id="rId3" Type="http://schemas.openxmlformats.org/officeDocument/2006/relationships/worksheet" Target="worksheets/sheet3.xml"/><Relationship Id="rId25" Type="http://schemas.openxmlformats.org/officeDocument/2006/relationships/externalLink" Target="externalLinks/externalLink5.xml"/><Relationship Id="rId46" Type="http://schemas.openxmlformats.org/officeDocument/2006/relationships/externalLink" Target="externalLinks/externalLink26.xml"/><Relationship Id="rId67" Type="http://schemas.openxmlformats.org/officeDocument/2006/relationships/externalLink" Target="externalLinks/externalLink47.xml"/><Relationship Id="rId116" Type="http://schemas.openxmlformats.org/officeDocument/2006/relationships/externalLink" Target="externalLinks/externalLink96.xml"/><Relationship Id="rId137" Type="http://schemas.openxmlformats.org/officeDocument/2006/relationships/externalLink" Target="externalLinks/externalLink117.xml"/><Relationship Id="rId158" Type="http://schemas.openxmlformats.org/officeDocument/2006/relationships/externalLink" Target="externalLinks/externalLink138.xml"/><Relationship Id="rId20" Type="http://schemas.openxmlformats.org/officeDocument/2006/relationships/worksheet" Target="worksheets/sheet20.xml"/><Relationship Id="rId41" Type="http://schemas.openxmlformats.org/officeDocument/2006/relationships/externalLink" Target="externalLinks/externalLink21.xml"/><Relationship Id="rId62" Type="http://schemas.openxmlformats.org/officeDocument/2006/relationships/externalLink" Target="externalLinks/externalLink42.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111" Type="http://schemas.openxmlformats.org/officeDocument/2006/relationships/externalLink" Target="externalLinks/externalLink91.xml"/><Relationship Id="rId132" Type="http://schemas.openxmlformats.org/officeDocument/2006/relationships/externalLink" Target="externalLinks/externalLink112.xml"/><Relationship Id="rId153" Type="http://schemas.openxmlformats.org/officeDocument/2006/relationships/externalLink" Target="externalLinks/externalLink133.xml"/><Relationship Id="rId174" Type="http://schemas.openxmlformats.org/officeDocument/2006/relationships/externalLink" Target="externalLinks/externalLink154.xml"/><Relationship Id="rId179" Type="http://schemas.openxmlformats.org/officeDocument/2006/relationships/externalLink" Target="externalLinks/externalLink159.xml"/><Relationship Id="rId195" Type="http://schemas.openxmlformats.org/officeDocument/2006/relationships/externalLink" Target="externalLinks/externalLink175.xml"/><Relationship Id="rId209" Type="http://schemas.openxmlformats.org/officeDocument/2006/relationships/sharedStrings" Target="sharedStrings.xml"/><Relationship Id="rId190" Type="http://schemas.openxmlformats.org/officeDocument/2006/relationships/externalLink" Target="externalLinks/externalLink170.xml"/><Relationship Id="rId204" Type="http://schemas.openxmlformats.org/officeDocument/2006/relationships/externalLink" Target="externalLinks/externalLink184.xml"/><Relationship Id="rId15" Type="http://schemas.openxmlformats.org/officeDocument/2006/relationships/worksheet" Target="worksheets/sheet15.xml"/><Relationship Id="rId36" Type="http://schemas.openxmlformats.org/officeDocument/2006/relationships/externalLink" Target="externalLinks/externalLink16.xml"/><Relationship Id="rId57" Type="http://schemas.openxmlformats.org/officeDocument/2006/relationships/externalLink" Target="externalLinks/externalLink37.xml"/><Relationship Id="rId106" Type="http://schemas.openxmlformats.org/officeDocument/2006/relationships/externalLink" Target="externalLinks/externalLink86.xml"/><Relationship Id="rId127" Type="http://schemas.openxmlformats.org/officeDocument/2006/relationships/externalLink" Target="externalLinks/externalLink107.xml"/><Relationship Id="rId10" Type="http://schemas.openxmlformats.org/officeDocument/2006/relationships/worksheet" Target="worksheets/sheet10.xml"/><Relationship Id="rId31" Type="http://schemas.openxmlformats.org/officeDocument/2006/relationships/externalLink" Target="externalLinks/externalLink11.xml"/><Relationship Id="rId52" Type="http://schemas.openxmlformats.org/officeDocument/2006/relationships/externalLink" Target="externalLinks/externalLink32.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122" Type="http://schemas.openxmlformats.org/officeDocument/2006/relationships/externalLink" Target="externalLinks/externalLink102.xml"/><Relationship Id="rId143" Type="http://schemas.openxmlformats.org/officeDocument/2006/relationships/externalLink" Target="externalLinks/externalLink123.xml"/><Relationship Id="rId148" Type="http://schemas.openxmlformats.org/officeDocument/2006/relationships/externalLink" Target="externalLinks/externalLink128.xml"/><Relationship Id="rId164" Type="http://schemas.openxmlformats.org/officeDocument/2006/relationships/externalLink" Target="externalLinks/externalLink144.xml"/><Relationship Id="rId169" Type="http://schemas.openxmlformats.org/officeDocument/2006/relationships/externalLink" Target="externalLinks/externalLink149.xml"/><Relationship Id="rId185" Type="http://schemas.openxmlformats.org/officeDocument/2006/relationships/externalLink" Target="externalLinks/externalLink16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0.xml"/><Relationship Id="rId210" Type="http://schemas.openxmlformats.org/officeDocument/2006/relationships/calcChain" Target="calcChain.xml"/><Relationship Id="rId26" Type="http://schemas.openxmlformats.org/officeDocument/2006/relationships/externalLink" Target="externalLinks/externalLink6.xml"/><Relationship Id="rId47" Type="http://schemas.openxmlformats.org/officeDocument/2006/relationships/externalLink" Target="externalLinks/externalLink27.xml"/><Relationship Id="rId68" Type="http://schemas.openxmlformats.org/officeDocument/2006/relationships/externalLink" Target="externalLinks/externalLink48.xml"/><Relationship Id="rId89" Type="http://schemas.openxmlformats.org/officeDocument/2006/relationships/externalLink" Target="externalLinks/externalLink69.xml"/><Relationship Id="rId112" Type="http://schemas.openxmlformats.org/officeDocument/2006/relationships/externalLink" Target="externalLinks/externalLink92.xml"/><Relationship Id="rId133" Type="http://schemas.openxmlformats.org/officeDocument/2006/relationships/externalLink" Target="externalLinks/externalLink113.xml"/><Relationship Id="rId154" Type="http://schemas.openxmlformats.org/officeDocument/2006/relationships/externalLink" Target="externalLinks/externalLink134.xml"/><Relationship Id="rId175" Type="http://schemas.openxmlformats.org/officeDocument/2006/relationships/externalLink" Target="externalLinks/externalLink155.xml"/><Relationship Id="rId196" Type="http://schemas.openxmlformats.org/officeDocument/2006/relationships/externalLink" Target="externalLinks/externalLink176.xml"/><Relationship Id="rId200" Type="http://schemas.openxmlformats.org/officeDocument/2006/relationships/externalLink" Target="externalLinks/externalLink180.xml"/></Relationships>
</file>

<file path=xl/ctrlProps/ctrlProp1.xml><?xml version="1.0" encoding="utf-8"?>
<formControlPr xmlns="http://schemas.microsoft.com/office/spreadsheetml/2009/9/main" objectType="Drop" dropLines="4" dropStyle="combo" dx="20" fmlaLink="$Q$75" fmlaRange="$P$129:$P$132" noThreeD="1" sel="2" val="0"/>
</file>

<file path=xl/ctrlProps/ctrlProp2.xml><?xml version="1.0" encoding="utf-8"?>
<formControlPr xmlns="http://schemas.microsoft.com/office/spreadsheetml/2009/9/main" objectType="Drop" dropLines="4" dropStyle="combo" dx="20" fmlaLink="$Q$75" fmlaRange="$P$129:$P$132" noThreeD="1" sel="2" val="0"/>
</file>

<file path=xl/ctrlProps/ctrlProp3.xml><?xml version="1.0" encoding="utf-8"?>
<formControlPr xmlns="http://schemas.microsoft.com/office/spreadsheetml/2009/9/main" objectType="Drop" dropLines="4" dropStyle="combo" dx="20" fmlaLink="$Q$75" fmlaRange="$P$129:$P$132" noThreeD="1" sel="2" val="0"/>
</file>

<file path=xl/ctrlProps/ctrlProp4.xml><?xml version="1.0" encoding="utf-8"?>
<formControlPr xmlns="http://schemas.microsoft.com/office/spreadsheetml/2009/9/main" objectType="Drop" dropLines="4" dropStyle="combo" dx="20" fmlaLink="$Q$75" fmlaRange="$P$129:$P$132" noThreeD="1" sel="2" val="0"/>
</file>

<file path=xl/ctrlProps/ctrlProp5.xml><?xml version="1.0" encoding="utf-8"?>
<formControlPr xmlns="http://schemas.microsoft.com/office/spreadsheetml/2009/9/main" objectType="Drop" dropLines="4" dropStyle="combo" dx="20" fmlaLink="$Q$75" fmlaRange="$P$129:$P$132" noThreeD="1" sel="2" val="0"/>
</file>

<file path=xl/ctrlProps/ctrlProp6.xml><?xml version="1.0" encoding="utf-8"?>
<formControlPr xmlns="http://schemas.microsoft.com/office/spreadsheetml/2009/9/main" objectType="Drop" dropLines="4" dropStyle="combo" dx="20" fmlaLink="$Q$75" fmlaRange="$P$129:$P$132" noThreeD="1" sel="2" val="0"/>
</file>

<file path=xl/ctrlProps/ctrlProp7.xml><?xml version="1.0" encoding="utf-8"?>
<formControlPr xmlns="http://schemas.microsoft.com/office/spreadsheetml/2009/9/main" objectType="Drop" dropLines="4" dropStyle="combo" dx="20" fmlaLink="$Q$75" fmlaRange="$P$129:$P$132" noThreeD="1" sel="2" val="0"/>
</file>

<file path=xl/ctrlProps/ctrlProp8.xml><?xml version="1.0" encoding="utf-8"?>
<formControlPr xmlns="http://schemas.microsoft.com/office/spreadsheetml/2009/9/main" objectType="Drop" dropLines="4" dropStyle="combo" dx="20" fmlaLink="$Q$75" fmlaRange="$P$129:$P$132" noThreeD="1" sel="2" val="0"/>
</file>

<file path=xl/ctrlProps/ctrlProp9.xml><?xml version="1.0" encoding="utf-8"?>
<formControlPr xmlns="http://schemas.microsoft.com/office/spreadsheetml/2009/9/main" objectType="Drop" dropLines="4" dropStyle="combo" dx="20" fmlaLink="$Q$75" fmlaRange="$P$129:$P$132" noThreeD="1" sel="2" val="0"/>
</file>

<file path=xl/ctrlProps/ctrlProp10.xml><?xml version="1.0" encoding="utf-8"?>
<formControlPr xmlns="http://schemas.microsoft.com/office/spreadsheetml/2009/9/main" objectType="Drop" dropLines="4" dropStyle="combo" dx="20" fmlaLink="$Q$75" fmlaRange="$P$129:$P$132" noThreeD="1" sel="2" val="0"/>
</file>

<file path=xl/ctrlProps/ctrlProp11.xml><?xml version="1.0" encoding="utf-8"?>
<formControlPr xmlns="http://schemas.microsoft.com/office/spreadsheetml/2009/9/main" objectType="Drop" dropLines="4" dropStyle="combo" dx="20" fmlaLink="$Q$75" fmlaRange="$P$129:$P$132" noThreeD="1" sel="2" val="0"/>
</file>

<file path=xl/ctrlProps/ctrlProp12.xml><?xml version="1.0" encoding="utf-8"?>
<formControlPr xmlns="http://schemas.microsoft.com/office/spreadsheetml/2009/9/main" objectType="Drop" dropLines="4" dropStyle="combo" dx="20" fmlaLink="$Q$75" fmlaRange="$P$129:$P$132" noThreeD="1" sel="2" val="0"/>
</file>

<file path=xl/ctrlProps/ctrlProp13.xml><?xml version="1.0" encoding="utf-8"?>
<formControlPr xmlns="http://schemas.microsoft.com/office/spreadsheetml/2009/9/main" objectType="Drop" dropLines="4" dropStyle="combo" dx="20" fmlaLink="$Q$75" fmlaRange="$P$129:$P$132" noThreeD="1" sel="2" val="0"/>
</file>

<file path=xl/ctrlProps/ctrlProp14.xml><?xml version="1.0" encoding="utf-8"?>
<formControlPr xmlns="http://schemas.microsoft.com/office/spreadsheetml/2009/9/main" objectType="Drop" dropLines="4" dropStyle="combo" dx="20" fmlaLink="$Q$75" fmlaRange="$P$129:$P$132" noThreeD="1" sel="2" val="0"/>
</file>

<file path=xl/ctrlProps/ctrlProp15.xml><?xml version="1.0" encoding="utf-8"?>
<formControlPr xmlns="http://schemas.microsoft.com/office/spreadsheetml/2009/9/main" objectType="Drop" dropLines="4" dropStyle="combo" dx="20" fmlaLink="$Q$75" fmlaRange="$P$129:$P$132" noThreeD="1" sel="2" val="0"/>
</file>

<file path=xl/ctrlProps/ctrlProp16.xml><?xml version="1.0" encoding="utf-8"?>
<formControlPr xmlns="http://schemas.microsoft.com/office/spreadsheetml/2009/9/main" objectType="Drop" dropLines="4" dropStyle="combo" dx="20" fmlaLink="$Q$75" fmlaRange="$P$129:$P$132" noThreeD="1" sel="2" val="0"/>
</file>

<file path=xl/ctrlProps/ctrlProp17.xml><?xml version="1.0" encoding="utf-8"?>
<formControlPr xmlns="http://schemas.microsoft.com/office/spreadsheetml/2009/9/main" objectType="Drop" dropLines="4" dropStyle="combo" dx="20" fmlaLink="$Q$75" fmlaRange="$P$129:$P$132" noThreeD="1" sel="2" val="0"/>
</file>

<file path=xl/ctrlProps/ctrlProp18.xml><?xml version="1.0" encoding="utf-8"?>
<formControlPr xmlns="http://schemas.microsoft.com/office/spreadsheetml/2009/9/main" objectType="Drop" dropLines="4" dropStyle="combo" dx="20" fmlaLink="$Q$75" fmlaRange="$P$129:$P$132" noThreeD="1" sel="2" val="0"/>
</file>

<file path=xl/ctrlProps/ctrlProp19.xml><?xml version="1.0" encoding="utf-8"?>
<formControlPr xmlns="http://schemas.microsoft.com/office/spreadsheetml/2009/9/main" objectType="Drop" dropLines="4" dropStyle="combo" dx="20" fmlaLink="$Q$75" fmlaRange="$P$129:$P$132" noThreeD="1" sel="2" val="0"/>
</file>

<file path=xl/ctrlProps/ctrlProp20.xml><?xml version="1.0" encoding="utf-8"?>
<formControlPr xmlns="http://schemas.microsoft.com/office/spreadsheetml/2009/9/main" objectType="Drop" dropLines="4" dropStyle="combo" dx="20" fmlaLink="$Q$75" fmlaRange="$P$129:$P$132" noThreeD="1" sel="2" val="0"/>
</file>

<file path=xl/ctrlProps/ctrlProp21.xml><?xml version="1.0" encoding="utf-8"?>
<formControlPr xmlns="http://schemas.microsoft.com/office/spreadsheetml/2009/9/main" objectType="Drop" dropLines="4" dropStyle="combo" dx="20" fmlaLink="$Q$75" fmlaRange="$P$129:$P$132" noThreeD="1" sel="2" val="0"/>
</file>

<file path=xl/ctrlProps/ctrlProp22.xml><?xml version="1.0" encoding="utf-8"?>
<formControlPr xmlns="http://schemas.microsoft.com/office/spreadsheetml/2009/9/main" objectType="Drop" dropLines="4" dropStyle="combo" dx="20" fmlaLink="$Q$75" fmlaRange="$P$129:$P$132" noThreeD="1" sel="2" val="0"/>
</file>

<file path=xl/ctrlProps/ctrlProp23.xml><?xml version="1.0" encoding="utf-8"?>
<formControlPr xmlns="http://schemas.microsoft.com/office/spreadsheetml/2009/9/main" objectType="Drop" dropLines="4" dropStyle="combo" dx="20" fmlaLink="$Q$75" fmlaRange="$P$129:$P$132" noThreeD="1" sel="2" val="0"/>
</file>

<file path=xl/ctrlProps/ctrlProp24.xml><?xml version="1.0" encoding="utf-8"?>
<formControlPr xmlns="http://schemas.microsoft.com/office/spreadsheetml/2009/9/main" objectType="Drop" dropLines="4" dropStyle="combo" dx="20" fmlaLink="$Q$75" fmlaRange="$P$129:$P$132" noThreeD="1" sel="2" val="0"/>
</file>

<file path=xl/ctrlProps/ctrlProp25.xml><?xml version="1.0" encoding="utf-8"?>
<formControlPr xmlns="http://schemas.microsoft.com/office/spreadsheetml/2009/9/main" objectType="Drop" dropLines="4" dropStyle="combo" dx="20" fmlaLink="$Q$75" fmlaRange="$P$129:$P$132" noThreeD="1" sel="2" val="0"/>
</file>

<file path=xl/ctrlProps/ctrlProp26.xml><?xml version="1.0" encoding="utf-8"?>
<formControlPr xmlns="http://schemas.microsoft.com/office/spreadsheetml/2009/9/main" objectType="Drop" dropLines="4" dropStyle="combo" dx="20" fmlaLink="$Q$75" fmlaRange="$P$129:$P$132" noThreeD="1" sel="2" val="0"/>
</file>

<file path=xl/ctrlProps/ctrlProp27.xml><?xml version="1.0" encoding="utf-8"?>
<formControlPr xmlns="http://schemas.microsoft.com/office/spreadsheetml/2009/9/main" objectType="Drop" dropLines="4" dropStyle="combo" dx="20" fmlaLink="$Q$75" fmlaRange="$P$129:$P$132" noThreeD="1" sel="2" val="0"/>
</file>

<file path=xl/ctrlProps/ctrlProp28.xml><?xml version="1.0" encoding="utf-8"?>
<formControlPr xmlns="http://schemas.microsoft.com/office/spreadsheetml/2009/9/main" objectType="Drop" dropLines="4" dropStyle="combo" dx="20" fmlaLink="$Q$75" fmlaRange="$P$129:$P$132" noThreeD="1" sel="2" val="0"/>
</file>

<file path=xl/ctrlProps/ctrlProp29.xml><?xml version="1.0" encoding="utf-8"?>
<formControlPr xmlns="http://schemas.microsoft.com/office/spreadsheetml/2009/9/main" objectType="Drop" dropLines="4" dropStyle="combo" dx="20" fmlaLink="$Q$75" fmlaRange="$P$129:$P$132" noThreeD="1" sel="2" val="0"/>
</file>

<file path=xl/ctrlProps/ctrlProp30.xml><?xml version="1.0" encoding="utf-8"?>
<formControlPr xmlns="http://schemas.microsoft.com/office/spreadsheetml/2009/9/main" objectType="Drop" dropLines="4" dropStyle="combo" dx="20" fmlaLink="$Q$75" fmlaRange="$P$129:$P$132" noThreeD="1" sel="2" val="0"/>
</file>

<file path=xl/ctrlProps/ctrlProp31.xml><?xml version="1.0" encoding="utf-8"?>
<formControlPr xmlns="http://schemas.microsoft.com/office/spreadsheetml/2009/9/main" objectType="Drop" dropLines="4" dropStyle="combo" dx="20" fmlaLink="$Q$75" fmlaRange="$P$129:$P$132" noThreeD="1" sel="2" val="0"/>
</file>

<file path=xl/ctrlProps/ctrlProp32.xml><?xml version="1.0" encoding="utf-8"?>
<formControlPr xmlns="http://schemas.microsoft.com/office/spreadsheetml/2009/9/main" objectType="Drop" dropLines="4" dropStyle="combo" dx="20" fmlaLink="$Q$75" fmlaRange="$P$129:$P$132" noThreeD="1" sel="2" val="0"/>
</file>

<file path=xl/ctrlProps/ctrlProp33.xml><?xml version="1.0" encoding="utf-8"?>
<formControlPr xmlns="http://schemas.microsoft.com/office/spreadsheetml/2009/9/main" objectType="Drop" dropLines="4" dropStyle="combo" dx="20" fmlaLink="$Q$75" fmlaRange="$P$129:$P$132" noThreeD="1" sel="2" val="0"/>
</file>

<file path=xl/ctrlProps/ctrlProp34.xml><?xml version="1.0" encoding="utf-8"?>
<formControlPr xmlns="http://schemas.microsoft.com/office/spreadsheetml/2009/9/main" objectType="Drop" dropLines="4" dropStyle="combo" dx="20" fmlaLink="$Q$75" fmlaRange="$P$129:$P$132" noThreeD="1" sel="2" val="0"/>
</file>

<file path=xl/ctrlProps/ctrlProp35.xml><?xml version="1.0" encoding="utf-8"?>
<formControlPr xmlns="http://schemas.microsoft.com/office/spreadsheetml/2009/9/main" objectType="Drop" dropLines="4" dropStyle="combo" dx="20" fmlaLink="$Q$75" fmlaRange="$P$129:$P$132" noThreeD="1" sel="2" val="0"/>
</file>

<file path=xl/ctrlProps/ctrlProp36.xml><?xml version="1.0" encoding="utf-8"?>
<formControlPr xmlns="http://schemas.microsoft.com/office/spreadsheetml/2009/9/main" objectType="Drop" dropLines="4" dropStyle="combo" dx="20" fmlaLink="$Q$75" fmlaRange="$P$129:$P$132" noThreeD="1" sel="2" val="0"/>
</file>

<file path=xl/ctrlProps/ctrlProp37.xml><?xml version="1.0" encoding="utf-8"?>
<formControlPr xmlns="http://schemas.microsoft.com/office/spreadsheetml/2009/9/main" objectType="Drop" dropLines="4" dropStyle="combo" dx="20" fmlaLink="$Q$75" fmlaRange="$P$129:$P$132" noThreeD="1" sel="2" val="0"/>
</file>

<file path=xl/ctrlProps/ctrlProp38.xml><?xml version="1.0" encoding="utf-8"?>
<formControlPr xmlns="http://schemas.microsoft.com/office/spreadsheetml/2009/9/main" objectType="Drop" dropLines="4" dropStyle="combo" dx="20" fmlaLink="$Q$75" fmlaRange="$P$129:$P$132" noThreeD="1" sel="2" val="0"/>
</file>

<file path=xl/ctrlProps/ctrlProp39.xml><?xml version="1.0" encoding="utf-8"?>
<formControlPr xmlns="http://schemas.microsoft.com/office/spreadsheetml/2009/9/main" objectType="Drop" dropLines="4" dropStyle="combo" dx="20" fmlaLink="$Q$75" fmlaRange="$P$129:$P$132" noThreeD="1" sel="2" val="0"/>
</file>

<file path=xl/ctrlProps/ctrlProp40.xml><?xml version="1.0" encoding="utf-8"?>
<formControlPr xmlns="http://schemas.microsoft.com/office/spreadsheetml/2009/9/main" objectType="Drop" dropLines="4" dropStyle="combo" dx="20" fmlaLink="$Q$75" fmlaRange="$P$129:$P$132" noThreeD="1" sel="2" val="0"/>
</file>

<file path=xl/ctrlProps/ctrlProp41.xml><?xml version="1.0" encoding="utf-8"?>
<formControlPr xmlns="http://schemas.microsoft.com/office/spreadsheetml/2009/9/main" objectType="Drop" dropLines="4" dropStyle="combo" dx="20" fmlaLink="$Q$75" fmlaRange="$P$129:$P$132" noThreeD="1" sel="2" val="0"/>
</file>

<file path=xl/ctrlProps/ctrlProp42.xml><?xml version="1.0" encoding="utf-8"?>
<formControlPr xmlns="http://schemas.microsoft.com/office/spreadsheetml/2009/9/main" objectType="Drop" dropLines="4" dropStyle="combo" dx="20" fmlaLink="$Q$75" fmlaRange="$P$129:$P$132" noThreeD="1" sel="2" val="0"/>
</file>

<file path=xl/ctrlProps/ctrlProp43.xml><?xml version="1.0" encoding="utf-8"?>
<formControlPr xmlns="http://schemas.microsoft.com/office/spreadsheetml/2009/9/main" objectType="Drop" dropLines="4" dropStyle="combo" dx="20" fmlaLink="$Q$75" fmlaRange="$P$129:$P$132" noThreeD="1" sel="2" val="0"/>
</file>

<file path=xl/ctrlProps/ctrlProp44.xml><?xml version="1.0" encoding="utf-8"?>
<formControlPr xmlns="http://schemas.microsoft.com/office/spreadsheetml/2009/9/main" objectType="Drop" dropLines="4" dropStyle="combo" dx="20" fmlaLink="$Q$75" fmlaRange="$P$129:$P$132" noThreeD="1" sel="2" val="0"/>
</file>

<file path=xl/ctrlProps/ctrlProp45.xml><?xml version="1.0" encoding="utf-8"?>
<formControlPr xmlns="http://schemas.microsoft.com/office/spreadsheetml/2009/9/main" objectType="Drop" dropLines="4" dropStyle="combo" dx="20" fmlaLink="$Q$75" fmlaRange="$P$129:$P$132" noThreeD="1" sel="2" val="0"/>
</file>

<file path=xl/ctrlProps/ctrlProp46.xml><?xml version="1.0" encoding="utf-8"?>
<formControlPr xmlns="http://schemas.microsoft.com/office/spreadsheetml/2009/9/main" objectType="Drop" dropLines="4" dropStyle="combo" dx="20" fmlaLink="$Q$75" fmlaRange="$P$129:$P$132" noThreeD="1" sel="2" val="0"/>
</file>

<file path=xl/ctrlProps/ctrlProp47.xml><?xml version="1.0" encoding="utf-8"?>
<formControlPr xmlns="http://schemas.microsoft.com/office/spreadsheetml/2009/9/main" objectType="Drop" dropLines="4" dropStyle="combo" dx="20" fmlaLink="$Q$75" fmlaRange="$P$129:$P$132" noThreeD="1" sel="2" val="0"/>
</file>

<file path=xl/ctrlProps/ctrlProp48.xml><?xml version="1.0" encoding="utf-8"?>
<formControlPr xmlns="http://schemas.microsoft.com/office/spreadsheetml/2009/9/main" objectType="Drop" dropLines="4" dropStyle="combo" dx="20" fmlaLink="$Q$75" fmlaRange="$P$129:$P$132" noThreeD="1" sel="2" val="0"/>
</file>

<file path=xl/ctrlProps/ctrlProp49.xml><?xml version="1.0" encoding="utf-8"?>
<formControlPr xmlns="http://schemas.microsoft.com/office/spreadsheetml/2009/9/main" objectType="Drop" dropLines="4" dropStyle="combo" dx="20" fmlaLink="$Q$75" fmlaRange="$P$129:$P$132" noThreeD="1" sel="2" val="0"/>
</file>

<file path=xl/ctrlProps/ctrlProp50.xml><?xml version="1.0" encoding="utf-8"?>
<formControlPr xmlns="http://schemas.microsoft.com/office/spreadsheetml/2009/9/main" objectType="Drop" dropLines="4" dropStyle="combo" dx="20" fmlaLink="$Q$75" fmlaRange="$P$129:$P$132" noThreeD="1" sel="2" val="0"/>
</file>

<file path=xl/ctrlProps/ctrlProp51.xml><?xml version="1.0" encoding="utf-8"?>
<formControlPr xmlns="http://schemas.microsoft.com/office/spreadsheetml/2009/9/main" objectType="Drop" dropLines="4" dropStyle="combo" dx="20" fmlaLink="$Q$75" fmlaRange="$P$129:$P$132" noThreeD="1" sel="2" val="0"/>
</file>

<file path=xl/ctrlProps/ctrlProp52.xml><?xml version="1.0" encoding="utf-8"?>
<formControlPr xmlns="http://schemas.microsoft.com/office/spreadsheetml/2009/9/main" objectType="Drop" dropLines="4" dropStyle="combo" dx="20" fmlaLink="$Q$75" fmlaRange="$P$129:$P$132" noThreeD="1" sel="2" val="0"/>
</file>

<file path=xl/ctrlProps/ctrlProp53.xml><?xml version="1.0" encoding="utf-8"?>
<formControlPr xmlns="http://schemas.microsoft.com/office/spreadsheetml/2009/9/main" objectType="Drop" dropLines="4" dropStyle="combo" dx="20" fmlaLink="$Q$75" fmlaRange="$P$129:$P$132" noThreeD="1" sel="2" val="0"/>
</file>

<file path=xl/ctrlProps/ctrlProp54.xml><?xml version="1.0" encoding="utf-8"?>
<formControlPr xmlns="http://schemas.microsoft.com/office/spreadsheetml/2009/9/main" objectType="Drop" dropLines="4" dropStyle="combo" dx="20" fmlaLink="$Q$75" fmlaRange="$P$129:$P$132" noThreeD="1" sel="2" val="0"/>
</file>

<file path=xl/ctrlProps/ctrlProp55.xml><?xml version="1.0" encoding="utf-8"?>
<formControlPr xmlns="http://schemas.microsoft.com/office/spreadsheetml/2009/9/main" objectType="Drop" dropLines="4" dropStyle="combo" dx="20" fmlaLink="$Q$75" fmlaRange="$P$129:$P$132" noThreeD="1" sel="2" val="0"/>
</file>

<file path=xl/ctrlProps/ctrlProp56.xml><?xml version="1.0" encoding="utf-8"?>
<formControlPr xmlns="http://schemas.microsoft.com/office/spreadsheetml/2009/9/main" objectType="Drop" dropLines="4" dropStyle="combo" dx="20" fmlaLink="$Q$75" fmlaRange="$P$129:$P$132" noThreeD="1" sel="2" val="0"/>
</file>

<file path=xl/ctrlProps/ctrlProp57.xml><?xml version="1.0" encoding="utf-8"?>
<formControlPr xmlns="http://schemas.microsoft.com/office/spreadsheetml/2009/9/main" objectType="Drop" dropLines="4" dropStyle="combo" dx="20" fmlaLink="$Q$75" fmlaRange="$P$129:$P$132" noThreeD="1" sel="2" val="0"/>
</file>

<file path=xl/ctrlProps/ctrlProp58.xml><?xml version="1.0" encoding="utf-8"?>
<formControlPr xmlns="http://schemas.microsoft.com/office/spreadsheetml/2009/9/main" objectType="Drop" dropLines="4" dropStyle="combo" dx="20" fmlaLink="$Q$75" fmlaRange="$P$129:$P$132" noThreeD="1" sel="2" val="0"/>
</file>

<file path=xl/ctrlProps/ctrlProp59.xml><?xml version="1.0" encoding="utf-8"?>
<formControlPr xmlns="http://schemas.microsoft.com/office/spreadsheetml/2009/9/main" objectType="Drop" dropLines="4" dropStyle="combo" dx="20" fmlaLink="$Q$75" fmlaRange="$P$129:$P$132" noThreeD="1" sel="2" val="0"/>
</file>

<file path=xl/ctrlProps/ctrlProp60.xml><?xml version="1.0" encoding="utf-8"?>
<formControlPr xmlns="http://schemas.microsoft.com/office/spreadsheetml/2009/9/main" objectType="Drop" dropLines="4" dropStyle="combo" dx="20" fmlaLink="$Q$75" fmlaRange="$P$129:$P$132" noThreeD="1" sel="2" val="0"/>
</file>

<file path=xl/ctrlProps/ctrlProp61.xml><?xml version="1.0" encoding="utf-8"?>
<formControlPr xmlns="http://schemas.microsoft.com/office/spreadsheetml/2009/9/main" objectType="Drop" dropLines="4" dropStyle="combo" dx="20" fmlaLink="$Q$75" fmlaRange="$P$129:$P$132" noThreeD="1" sel="2" val="0"/>
</file>

<file path=xl/ctrlProps/ctrlProp62.xml><?xml version="1.0" encoding="utf-8"?>
<formControlPr xmlns="http://schemas.microsoft.com/office/spreadsheetml/2009/9/main" objectType="Drop" dropLines="4" dropStyle="combo" dx="20" fmlaLink="$Q$75" fmlaRange="$P$129:$P$132" noThreeD="1" sel="2" val="0"/>
</file>

<file path=xl/ctrlProps/ctrlProp63.xml><?xml version="1.0" encoding="utf-8"?>
<formControlPr xmlns="http://schemas.microsoft.com/office/spreadsheetml/2009/9/main" objectType="Drop" dropLines="4" dropStyle="combo" dx="20" fmlaLink="$Q$75" fmlaRange="$P$129:$P$132" noThreeD="1" sel="2" val="0"/>
</file>

<file path=xl/ctrlProps/ctrlProp64.xml><?xml version="1.0" encoding="utf-8"?>
<formControlPr xmlns="http://schemas.microsoft.com/office/spreadsheetml/2009/9/main" objectType="Drop" dropLines="5" dropStyle="combo" dx="20" fmlaLink="$Q$75" fmlaRange="$P$129:$P$132" noThreeD="1" sel="2" val="0"/>
</file>

<file path=xl/ctrlProps/ctrlProp65.xml><?xml version="1.0" encoding="utf-8"?>
<formControlPr xmlns="http://schemas.microsoft.com/office/spreadsheetml/2009/9/main" objectType="Drop" dropLines="4" dropStyle="combo" dx="20" fmlaLink="$Q$75" fmlaRange="$P$129:$P$132" noThreeD="1" sel="2" val="0"/>
</file>

<file path=xl/ctrlProps/ctrlProp66.xml><?xml version="1.0" encoding="utf-8"?>
<formControlPr xmlns="http://schemas.microsoft.com/office/spreadsheetml/2009/9/main" objectType="Drop" dropLines="4" dropStyle="combo" dx="20" fmlaLink="$Q$75" fmlaRange="$P$129:$P$132" noThreeD="1" sel="2" val="0"/>
</file>

<file path=xl/ctrlProps/ctrlProp67.xml><?xml version="1.0" encoding="utf-8"?>
<formControlPr xmlns="http://schemas.microsoft.com/office/spreadsheetml/2009/9/main" objectType="Drop" dropLines="4" dropStyle="combo" dx="20" fmlaLink="$Q$75" fmlaRange="$P$129:$P$132" noThreeD="1" sel="2" val="0"/>
</file>

<file path=xl/ctrlProps/ctrlProp68.xml><?xml version="1.0" encoding="utf-8"?>
<formControlPr xmlns="http://schemas.microsoft.com/office/spreadsheetml/2009/9/main" objectType="Drop" dropLines="4" dropStyle="combo" dx="20" fmlaLink="$Q$75" fmlaRange="$P$129:$P$132" noThreeD="1" sel="2" val="0"/>
</file>

<file path=xl/ctrlProps/ctrlProp69.xml><?xml version="1.0" encoding="utf-8"?>
<formControlPr xmlns="http://schemas.microsoft.com/office/spreadsheetml/2009/9/main" objectType="Drop" dropLines="4" dropStyle="combo" dx="20" fmlaLink="$Q$75" fmlaRange="$P$129:$P$132" noThreeD="1" sel="2" val="0"/>
</file>

<file path=xl/ctrlProps/ctrlProp70.xml><?xml version="1.0" encoding="utf-8"?>
<formControlPr xmlns="http://schemas.microsoft.com/office/spreadsheetml/2009/9/main" objectType="Drop" dropLines="4" dropStyle="combo" dx="20" fmlaLink="$Q$75" fmlaRange="$P$129:$P$132" noThreeD="1" sel="2" val="0"/>
</file>

<file path=xl/ctrlProps/ctrlProp71.xml><?xml version="1.0" encoding="utf-8"?>
<formControlPr xmlns="http://schemas.microsoft.com/office/spreadsheetml/2009/9/main" objectType="Drop" dropLines="4" dropStyle="combo" dx="20" fmlaLink="$Q$75" fmlaRange="$P$129:$P$132" noThreeD="1" sel="2" val="0"/>
</file>

<file path=xl/ctrlProps/ctrlProp72.xml><?xml version="1.0" encoding="utf-8"?>
<formControlPr xmlns="http://schemas.microsoft.com/office/spreadsheetml/2009/9/main" objectType="Drop" dropLines="4" dropStyle="combo" dx="20" fmlaLink="$Q$75" fmlaRange="$P$129:$P$132" noThreeD="1" sel="2" val="0"/>
</file>

<file path=xl/ctrlProps/ctrlProp73.xml><?xml version="1.0" encoding="utf-8"?>
<formControlPr xmlns="http://schemas.microsoft.com/office/spreadsheetml/2009/9/main" objectType="Drop" dropLines="4" dropStyle="combo" dx="20" fmlaLink="$Q$75" fmlaRange="$P$129:$P$132" noThreeD="1" sel="2" val="0"/>
</file>

<file path=xl/ctrlProps/ctrlProp74.xml><?xml version="1.0" encoding="utf-8"?>
<formControlPr xmlns="http://schemas.microsoft.com/office/spreadsheetml/2009/9/main" objectType="Drop" dropLines="4" dropStyle="combo" dx="20" fmlaLink="$Q$75" fmlaRange="$P$129:$P$132" noThreeD="1" sel="2" val="0"/>
</file>

<file path=xl/ctrlProps/ctrlProp75.xml><?xml version="1.0" encoding="utf-8"?>
<formControlPr xmlns="http://schemas.microsoft.com/office/spreadsheetml/2009/9/main" objectType="Drop" dropLines="4" dropStyle="combo" dx="20" fmlaLink="$Q$75" fmlaRange="$P$129:$P$132" noThreeD="1" sel="2" val="0"/>
</file>

<file path=xl/ctrlProps/ctrlProp76.xml><?xml version="1.0" encoding="utf-8"?>
<formControlPr xmlns="http://schemas.microsoft.com/office/spreadsheetml/2009/9/main" objectType="Drop" dropLines="4" dropStyle="combo" dx="20" fmlaLink="$Q$75" fmlaRange="$P$129:$P$132" noThreeD="1" sel="2" val="0"/>
</file>

<file path=xl/ctrlProps/ctrlProp77.xml><?xml version="1.0" encoding="utf-8"?>
<formControlPr xmlns="http://schemas.microsoft.com/office/spreadsheetml/2009/9/main" objectType="Drop" dropLines="4" dropStyle="combo" dx="20" fmlaLink="$Q$75" fmlaRange="$P$129:$P$132" noThreeD="1" sel="2" val="0"/>
</file>

<file path=xl/ctrlProps/ctrlProp78.xml><?xml version="1.0" encoding="utf-8"?>
<formControlPr xmlns="http://schemas.microsoft.com/office/spreadsheetml/2009/9/main" objectType="Drop" dropLines="4" dropStyle="combo" dx="20" fmlaLink="$Q$75" fmlaRange="$P$129:$P$132" noThreeD="1" sel="2" val="0"/>
</file>

<file path=xl/ctrlProps/ctrlProp79.xml><?xml version="1.0" encoding="utf-8"?>
<formControlPr xmlns="http://schemas.microsoft.com/office/spreadsheetml/2009/9/main" objectType="Drop" dropLines="4" dropStyle="combo" dx="20" fmlaLink="$Q$75" fmlaRange="$P$129:$P$132" noThreeD="1" sel="2" val="0"/>
</file>

<file path=xl/ctrlProps/ctrlProp80.xml><?xml version="1.0" encoding="utf-8"?>
<formControlPr xmlns="http://schemas.microsoft.com/office/spreadsheetml/2009/9/main" objectType="Drop" dropLines="4" dropStyle="combo" dx="20" fmlaLink="$Q$75" fmlaRange="$P$129:$P$132" noThreeD="1" sel="2" val="0"/>
</file>

<file path=xl/ctrlProps/ctrlProp81.xml><?xml version="1.0" encoding="utf-8"?>
<formControlPr xmlns="http://schemas.microsoft.com/office/spreadsheetml/2009/9/main" objectType="Drop" dropLines="4" dropStyle="combo" dx="20" fmlaLink="$Q$75" fmlaRange="$P$129:$P$132" noThreeD="1" sel="2" val="0"/>
</file>

<file path=xl/ctrlProps/ctrlProp82.xml><?xml version="1.0" encoding="utf-8"?>
<formControlPr xmlns="http://schemas.microsoft.com/office/spreadsheetml/2009/9/main" objectType="Drop" dropLines="4" dropStyle="combo" dx="20" fmlaLink="$Q$75" fmlaRange="$P$129:$P$132" noThreeD="1" sel="2" val="0"/>
</file>

<file path=xl/ctrlProps/ctrlProp83.xml><?xml version="1.0" encoding="utf-8"?>
<formControlPr xmlns="http://schemas.microsoft.com/office/spreadsheetml/2009/9/main" objectType="Drop" dropLines="4" dropStyle="combo" dx="20" fmlaLink="$Q$75" fmlaRange="$P$129:$P$132" noThreeD="1" sel="2" val="0"/>
</file>

<file path=xl/ctrlProps/ctrlProp84.xml><?xml version="1.0" encoding="utf-8"?>
<formControlPr xmlns="http://schemas.microsoft.com/office/spreadsheetml/2009/9/main" objectType="Drop" dropLines="4" dropStyle="combo" dx="20" fmlaLink="$Q$75" fmlaRange="$P$129:$P$132" noThreeD="1" sel="2" val="0"/>
</file>

<file path=xl/ctrlProps/ctrlProp85.xml><?xml version="1.0" encoding="utf-8"?>
<formControlPr xmlns="http://schemas.microsoft.com/office/spreadsheetml/2009/9/main" objectType="Drop" dropLines="4" dropStyle="combo" dx="20" fmlaLink="$Q$75" fmlaRange="$P$129:$P$132" noThreeD="1" sel="2" val="0"/>
</file>

<file path=xl/ctrlProps/ctrlProp86.xml><?xml version="1.0" encoding="utf-8"?>
<formControlPr xmlns="http://schemas.microsoft.com/office/spreadsheetml/2009/9/main" objectType="Drop" dropLines="4" dropStyle="combo" dx="20" fmlaLink="$Q$75" fmlaRange="$P$129:$P$132" noThreeD="1" sel="2" val="0"/>
</file>

<file path=xl/ctrlProps/ctrlProp87.xml><?xml version="1.0" encoding="utf-8"?>
<formControlPr xmlns="http://schemas.microsoft.com/office/spreadsheetml/2009/9/main" objectType="Drop" dropLines="4" dropStyle="combo" dx="20" fmlaLink="$Q$75" fmlaRange="$P$129:$P$132" noThreeD="1" sel="2" val="0"/>
</file>

<file path=xl/ctrlProps/ctrlProp88.xml><?xml version="1.0" encoding="utf-8"?>
<formControlPr xmlns="http://schemas.microsoft.com/office/spreadsheetml/2009/9/main" objectType="Drop" dropLines="4" dropStyle="combo" dx="20" fmlaLink="$Q$75" fmlaRange="$P$129:$P$132" noThreeD="1" sel="2" val="0"/>
</file>

<file path=xl/ctrlProps/ctrlProp89.xml><?xml version="1.0" encoding="utf-8"?>
<formControlPr xmlns="http://schemas.microsoft.com/office/spreadsheetml/2009/9/main" objectType="Drop" dropLines="4" dropStyle="combo" dx="20" fmlaLink="$Q$75" fmlaRange="$P$129:$P$132" noThreeD="1" sel="2" val="0"/>
</file>

<file path=xl/ctrlProps/ctrlProp90.xml><?xml version="1.0" encoding="utf-8"?>
<formControlPr xmlns="http://schemas.microsoft.com/office/spreadsheetml/2009/9/main" objectType="Drop" dropLines="4" dropStyle="combo" dx="20" fmlaLink="$Q$75" fmlaRange="$P$129:$P$132" noThreeD="1" sel="2" val="0"/>
</file>

<file path=xl/ctrlProps/ctrlProp91.xml><?xml version="1.0" encoding="utf-8"?>
<formControlPr xmlns="http://schemas.microsoft.com/office/spreadsheetml/2009/9/main" objectType="Drop" dropLines="4" dropStyle="combo" dx="20" fmlaLink="$Q$75" fmlaRange="$P$129:$P$132" noThreeD="1" sel="2" val="0"/>
</file>

<file path=xl/ctrlProps/ctrlProp92.xml><?xml version="1.0" encoding="utf-8"?>
<formControlPr xmlns="http://schemas.microsoft.com/office/spreadsheetml/2009/9/main" objectType="Drop" dropLines="4" dropStyle="combo" dx="20" fmlaLink="$Q$75" fmlaRange="$P$129:$P$132" noThreeD="1" sel="2" val="0"/>
</file>

<file path=xl/ctrlProps/ctrlProp93.xml><?xml version="1.0" encoding="utf-8"?>
<formControlPr xmlns="http://schemas.microsoft.com/office/spreadsheetml/2009/9/main" objectType="Drop" dropLines="4" dropStyle="combo" dx="20" fmlaLink="$Q$75" fmlaRange="$P$129:$P$132" noThreeD="1" sel="2" val="0"/>
</file>

<file path=xl/ctrlProps/ctrlProp94.xml><?xml version="1.0" encoding="utf-8"?>
<formControlPr xmlns="http://schemas.microsoft.com/office/spreadsheetml/2009/9/main" objectType="Drop" dropLines="4" dropStyle="combo" dx="20" fmlaLink="$Q$75" fmlaRange="$P$129:$P$132" noThreeD="1" sel="2" val="0"/>
</file>

<file path=xl/ctrlProps/ctrlProp95.xml><?xml version="1.0" encoding="utf-8"?>
<formControlPr xmlns="http://schemas.microsoft.com/office/spreadsheetml/2009/9/main" objectType="Drop" dropLines="4" dropStyle="combo" dx="20" fmlaLink="$Q$75" fmlaRange="$P$129:$P$132" noThreeD="1" sel="2" val="0"/>
</file>

<file path=xl/ctrlProps/ctrlProp96.xml><?xml version="1.0" encoding="utf-8"?>
<formControlPr xmlns="http://schemas.microsoft.com/office/spreadsheetml/2009/9/main" objectType="Drop" dropLines="4" dropStyle="combo" dx="20" fmlaLink="$Q$75" fmlaRange="$P$129:$P$132" noThreeD="1" sel="2" val="0"/>
</file>

<file path=xl/ctrlProps/ctrlProp97.xml><?xml version="1.0" encoding="utf-8"?>
<formControlPr xmlns="http://schemas.microsoft.com/office/spreadsheetml/2009/9/main" objectType="Drop" dropLines="4" dropStyle="combo" dx="20" fmlaLink="$Q$75" fmlaRange="$P$129:$P$132" noThreeD="1" sel="2" val="0"/>
</file>

<file path=xl/ctrlProps/ctrlProp98.xml><?xml version="1.0" encoding="utf-8"?>
<formControlPr xmlns="http://schemas.microsoft.com/office/spreadsheetml/2009/9/main" objectType="Drop" dropLines="4" dropStyle="combo" dx="20" fmlaLink="$Q$75" fmlaRange="$P$129:$P$132" noThreeD="1" sel="2" val="0"/>
</file>

<file path=xl/ctrlProps/ctrlProp99.xml><?xml version="1.0" encoding="utf-8"?>
<formControlPr xmlns="http://schemas.microsoft.com/office/spreadsheetml/2009/9/main" objectType="Drop" dropLines="4" dropStyle="combo" dx="20" fmlaLink="$Q$75" fmlaRange="$P$129:$P$132" noThreeD="1" sel="2" val="0"/>
</file>

<file path=xl/ctrlProps/ctrlProp100.xml><?xml version="1.0" encoding="utf-8"?>
<formControlPr xmlns="http://schemas.microsoft.com/office/spreadsheetml/2009/9/main" objectType="Drop" dropLines="4" dropStyle="combo" dx="20" fmlaLink="$Q$75" fmlaRange="$P$129:$P$132" noThreeD="1" sel="2" val="0"/>
</file>

<file path=xl/ctrlProps/ctrlProp101.xml><?xml version="1.0" encoding="utf-8"?>
<formControlPr xmlns="http://schemas.microsoft.com/office/spreadsheetml/2009/9/main" objectType="Drop" dropLines="4" dropStyle="combo" dx="20" fmlaLink="$Q$75" fmlaRange="$P$129:$P$132" noThreeD="1" sel="2" val="0"/>
</file>

<file path=xl/ctrlProps/ctrlProp102.xml><?xml version="1.0" encoding="utf-8"?>
<formControlPr xmlns="http://schemas.microsoft.com/office/spreadsheetml/2009/9/main" objectType="Drop" dropLines="4" dropStyle="combo" dx="20" fmlaLink="$Q$75" fmlaRange="$P$129:$P$132" noThreeD="1" sel="2" val="0"/>
</file>

<file path=xl/ctrlProps/ctrlProp103.xml><?xml version="1.0" encoding="utf-8"?>
<formControlPr xmlns="http://schemas.microsoft.com/office/spreadsheetml/2009/9/main" objectType="Drop" dropLines="4" dropStyle="combo" dx="20" fmlaLink="$Q$75" fmlaRange="$P$129:$P$132" noThreeD="1" sel="2" val="0"/>
</file>

<file path=xl/ctrlProps/ctrlProp104.xml><?xml version="1.0" encoding="utf-8"?>
<formControlPr xmlns="http://schemas.microsoft.com/office/spreadsheetml/2009/9/main" objectType="Drop" dropLines="4" dropStyle="combo" dx="20" fmlaLink="$Q$75" fmlaRange="$P$129:$P$132" noThreeD="1" sel="2" val="0"/>
</file>

<file path=xl/ctrlProps/ctrlProp105.xml><?xml version="1.0" encoding="utf-8"?>
<formControlPr xmlns="http://schemas.microsoft.com/office/spreadsheetml/2009/9/main" objectType="Drop" dropLines="4" dropStyle="combo" dx="20" fmlaLink="$Q$75" fmlaRange="$P$129:$P$132" noThreeD="1" sel="2" val="0"/>
</file>

<file path=xl/ctrlProps/ctrlProp106.xml><?xml version="1.0" encoding="utf-8"?>
<formControlPr xmlns="http://schemas.microsoft.com/office/spreadsheetml/2009/9/main" objectType="Drop" dropLines="4" dropStyle="combo" dx="20" fmlaLink="$Q$75" fmlaRange="$P$129:$P$132" noThreeD="1" sel="2" val="0"/>
</file>

<file path=xl/ctrlProps/ctrlProp107.xml><?xml version="1.0" encoding="utf-8"?>
<formControlPr xmlns="http://schemas.microsoft.com/office/spreadsheetml/2009/9/main" objectType="Drop" dropLines="4" dropStyle="combo" dx="20" fmlaLink="$Q$75" fmlaRange="$P$129:$P$132" noThreeD="1" sel="2" val="0"/>
</file>

<file path=xl/ctrlProps/ctrlProp108.xml><?xml version="1.0" encoding="utf-8"?>
<formControlPr xmlns="http://schemas.microsoft.com/office/spreadsheetml/2009/9/main" objectType="Drop" dropLines="4" dropStyle="combo" dx="20" fmlaLink="$Q$75" fmlaRange="$P$129:$P$132" noThreeD="1" sel="2" val="0"/>
</file>

<file path=xl/ctrlProps/ctrlProp109.xml><?xml version="1.0" encoding="utf-8"?>
<formControlPr xmlns="http://schemas.microsoft.com/office/spreadsheetml/2009/9/main" objectType="Drop" dropLines="4" dropStyle="combo" dx="20" fmlaLink="$Q$75" fmlaRange="$P$129:$P$132" noThreeD="1" sel="2" val="0"/>
</file>

<file path=xl/ctrlProps/ctrlProp110.xml><?xml version="1.0" encoding="utf-8"?>
<formControlPr xmlns="http://schemas.microsoft.com/office/spreadsheetml/2009/9/main" objectType="Drop" dropLines="4" dropStyle="combo" dx="20" fmlaLink="$Q$75" fmlaRange="$P$129:$P$132" noThreeD="1" sel="2" val="0"/>
</file>

<file path=xl/ctrlProps/ctrlProp111.xml><?xml version="1.0" encoding="utf-8"?>
<formControlPr xmlns="http://schemas.microsoft.com/office/spreadsheetml/2009/9/main" objectType="Drop" dropLines="4" dropStyle="combo" dx="20" fmlaLink="$Q$75" fmlaRange="$P$129:$P$132" noThreeD="1" sel="2" val="0"/>
</file>

<file path=xl/ctrlProps/ctrlProp112.xml><?xml version="1.0" encoding="utf-8"?>
<formControlPr xmlns="http://schemas.microsoft.com/office/spreadsheetml/2009/9/main" objectType="Drop" dropLines="4" dropStyle="combo" dx="20" fmlaLink="$Q$75" fmlaRange="$P$129:$P$132" noThreeD="1" sel="2" val="0"/>
</file>

<file path=xl/ctrlProps/ctrlProp113.xml><?xml version="1.0" encoding="utf-8"?>
<formControlPr xmlns="http://schemas.microsoft.com/office/spreadsheetml/2009/9/main" objectType="Drop" dropLines="4" dropStyle="combo" dx="20" fmlaLink="$Q$75" fmlaRange="$P$129:$P$132" noThreeD="1" sel="2" val="0"/>
</file>

<file path=xl/ctrlProps/ctrlProp114.xml><?xml version="1.0" encoding="utf-8"?>
<formControlPr xmlns="http://schemas.microsoft.com/office/spreadsheetml/2009/9/main" objectType="Drop" dropLines="4" dropStyle="combo" dx="20" fmlaLink="$Q$75" fmlaRange="$P$129:$P$132" noThreeD="1" sel="2" val="0"/>
</file>

<file path=xl/ctrlProps/ctrlProp115.xml><?xml version="1.0" encoding="utf-8"?>
<formControlPr xmlns="http://schemas.microsoft.com/office/spreadsheetml/2009/9/main" objectType="Drop" dropLines="4" dropStyle="combo" dx="20" fmlaLink="$Q$75" fmlaRange="$P$129:$P$132" noThreeD="1" sel="2" val="0"/>
</file>

<file path=xl/ctrlProps/ctrlProp116.xml><?xml version="1.0" encoding="utf-8"?>
<formControlPr xmlns="http://schemas.microsoft.com/office/spreadsheetml/2009/9/main" objectType="Drop" dropLines="4" dropStyle="combo" dx="20" fmlaLink="$Q$75" fmlaRange="$P$129:$P$132" noThreeD="1" sel="2" val="0"/>
</file>

<file path=xl/ctrlProps/ctrlProp117.xml><?xml version="1.0" encoding="utf-8"?>
<formControlPr xmlns="http://schemas.microsoft.com/office/spreadsheetml/2009/9/main" objectType="Drop" dropLines="4" dropStyle="combo" dx="20" fmlaLink="$Q$75" fmlaRange="$P$129:$P$132" noThreeD="1" sel="2" val="0"/>
</file>

<file path=xl/ctrlProps/ctrlProp118.xml><?xml version="1.0" encoding="utf-8"?>
<formControlPr xmlns="http://schemas.microsoft.com/office/spreadsheetml/2009/9/main" objectType="Drop" dropLines="4" dropStyle="combo" dx="20" fmlaLink="$Q$75" fmlaRange="$P$129:$P$132" noThreeD="1" sel="2" val="0"/>
</file>

<file path=xl/ctrlProps/ctrlProp119.xml><?xml version="1.0" encoding="utf-8"?>
<formControlPr xmlns="http://schemas.microsoft.com/office/spreadsheetml/2009/9/main" objectType="Drop" dropLines="4" dropStyle="combo" dx="20" fmlaLink="$Q$75" fmlaRange="$P$129:$P$132" noThreeD="1" sel="2" val="0"/>
</file>

<file path=xl/ctrlProps/ctrlProp120.xml><?xml version="1.0" encoding="utf-8"?>
<formControlPr xmlns="http://schemas.microsoft.com/office/spreadsheetml/2009/9/main" objectType="Drop" dropLines="4" dropStyle="combo" dx="20" fmlaLink="$Q$75" fmlaRange="$P$129:$P$132" noThreeD="1" sel="2" val="0"/>
</file>

<file path=xl/ctrlProps/ctrlProp121.xml><?xml version="1.0" encoding="utf-8"?>
<formControlPr xmlns="http://schemas.microsoft.com/office/spreadsheetml/2009/9/main" objectType="Drop" dropLines="4" dropStyle="combo" dx="20" fmlaLink="$Q$75" fmlaRange="$P$129:$P$132" noThreeD="1" sel="2" val="0"/>
</file>

<file path=xl/ctrlProps/ctrlProp122.xml><?xml version="1.0" encoding="utf-8"?>
<formControlPr xmlns="http://schemas.microsoft.com/office/spreadsheetml/2009/9/main" objectType="Drop" dropLines="4" dropStyle="combo" dx="20" fmlaLink="$Q$75" fmlaRange="$P$129:$P$132" noThreeD="1" sel="2" val="0"/>
</file>

<file path=xl/ctrlProps/ctrlProp123.xml><?xml version="1.0" encoding="utf-8"?>
<formControlPr xmlns="http://schemas.microsoft.com/office/spreadsheetml/2009/9/main" objectType="Drop" dropLines="4" dropStyle="combo" dx="20" fmlaLink="$Q$75" fmlaRange="$P$129:$P$132" noThreeD="1" sel="2" val="0"/>
</file>

<file path=xl/ctrlProps/ctrlProp124.xml><?xml version="1.0" encoding="utf-8"?>
<formControlPr xmlns="http://schemas.microsoft.com/office/spreadsheetml/2009/9/main" objectType="Drop" dropLines="4" dropStyle="combo" dx="20" fmlaLink="$Q$75" fmlaRange="$P$129:$P$132" noThreeD="1" sel="2" val="0"/>
</file>

<file path=xl/ctrlProps/ctrlProp125.xml><?xml version="1.0" encoding="utf-8"?>
<formControlPr xmlns="http://schemas.microsoft.com/office/spreadsheetml/2009/9/main" objectType="Drop" dropLines="4" dropStyle="combo" dx="20" fmlaLink="$Q$75" fmlaRange="$P$129:$P$132" noThreeD="1" sel="2" val="0"/>
</file>

<file path=xl/ctrlProps/ctrlProp126.xml><?xml version="1.0" encoding="utf-8"?>
<formControlPr xmlns="http://schemas.microsoft.com/office/spreadsheetml/2009/9/main" objectType="Drop" dropLines="4" dropStyle="combo" dx="20" fmlaLink="$Q$75" fmlaRange="$P$129:$P$132" noThreeD="1" sel="2" val="0"/>
</file>

<file path=xl/ctrlProps/ctrlProp127.xml><?xml version="1.0" encoding="utf-8"?>
<formControlPr xmlns="http://schemas.microsoft.com/office/spreadsheetml/2009/9/main" objectType="Drop" dropLines="4" dropStyle="combo" dx="20" fmlaLink="$Q$75" fmlaRange="$P$129:$P$132" noThreeD="1" sel="2" val="0"/>
</file>

<file path=xl/ctrlProps/ctrlProp128.xml><?xml version="1.0" encoding="utf-8"?>
<formControlPr xmlns="http://schemas.microsoft.com/office/spreadsheetml/2009/9/main" objectType="Drop" dropLines="5" dropStyle="combo" dx="20" fmlaLink="$G$44" fmlaRange="$P$134:$P$135" noThreeD="1" sel="0" val="0"/>
</file>

<file path=xl/ctrlProps/ctrlProp129.xml><?xml version="1.0" encoding="utf-8"?>
<formControlPr xmlns="http://schemas.microsoft.com/office/spreadsheetml/2009/9/main" objectType="Drop" dropLines="5" dropStyle="combo" dx="20" fmlaLink="$Q$75" fmlaRange="$P$129:$P$132" noThreeD="1" sel="2" val="0"/>
</file>

<file path=xl/ctrlProps/ctrlProp130.xml><?xml version="1.0" encoding="utf-8"?>
<formControlPr xmlns="http://schemas.microsoft.com/office/spreadsheetml/2009/9/main" objectType="Drop" dropLines="4" dropStyle="combo" dx="20" fmlaLink="$Q$84" fmlaRange="$P$148:$P$151" noThreeD="1" sel="1" val="0"/>
</file>

<file path=xl/ctrlProps/ctrlProp131.xml><?xml version="1.0" encoding="utf-8"?>
<formControlPr xmlns="http://schemas.microsoft.com/office/spreadsheetml/2009/9/main" objectType="Drop" dropLines="4" dropStyle="combo" dx="20" fmlaLink="$Q$84" fmlaRange="$P$148:$P$151" noThreeD="1" sel="1" val="0"/>
</file>

<file path=xl/ctrlProps/ctrlProp132.xml><?xml version="1.0" encoding="utf-8"?>
<formControlPr xmlns="http://schemas.microsoft.com/office/spreadsheetml/2009/9/main" objectType="Drop" dropLines="4" dropStyle="combo" dx="20" fmlaLink="$Q$84" fmlaRange="$P$148:$P$151" noThreeD="1" sel="1" val="0"/>
</file>

<file path=xl/ctrlProps/ctrlProp133.xml><?xml version="1.0" encoding="utf-8"?>
<formControlPr xmlns="http://schemas.microsoft.com/office/spreadsheetml/2009/9/main" objectType="Drop" dropLines="4" dropStyle="combo" dx="20" fmlaLink="$Q$84" fmlaRange="$P$148:$P$151" noThreeD="1" sel="1" val="0"/>
</file>

<file path=xl/ctrlProps/ctrlProp134.xml><?xml version="1.0" encoding="utf-8"?>
<formControlPr xmlns="http://schemas.microsoft.com/office/spreadsheetml/2009/9/main" objectType="Drop" dropLines="4" dropStyle="combo" dx="20" fmlaLink="$Q$84" fmlaRange="$P$148:$P$151" noThreeD="1" sel="1" val="0"/>
</file>

<file path=xl/ctrlProps/ctrlProp135.xml><?xml version="1.0" encoding="utf-8"?>
<formControlPr xmlns="http://schemas.microsoft.com/office/spreadsheetml/2009/9/main" objectType="Drop" dropLines="4" dropStyle="combo" dx="20" fmlaLink="$Q$84" fmlaRange="$P$148:$P$151" noThreeD="1" sel="1" val="0"/>
</file>

<file path=xl/ctrlProps/ctrlProp136.xml><?xml version="1.0" encoding="utf-8"?>
<formControlPr xmlns="http://schemas.microsoft.com/office/spreadsheetml/2009/9/main" objectType="Drop" dropLines="4" dropStyle="combo" dx="20" fmlaLink="$Q$84" fmlaRange="$P$148:$P$151" noThreeD="1" sel="1" val="0"/>
</file>

<file path=xl/ctrlProps/ctrlProp137.xml><?xml version="1.0" encoding="utf-8"?>
<formControlPr xmlns="http://schemas.microsoft.com/office/spreadsheetml/2009/9/main" objectType="Drop" dropLines="4" dropStyle="combo" dx="20" fmlaLink="$Q$84" fmlaRange="$P$148:$P$151" noThreeD="1" sel="1" val="0"/>
</file>

<file path=xl/ctrlProps/ctrlProp138.xml><?xml version="1.0" encoding="utf-8"?>
<formControlPr xmlns="http://schemas.microsoft.com/office/spreadsheetml/2009/9/main" objectType="Drop" dropLines="4" dropStyle="combo" dx="20" fmlaLink="$Q$84" fmlaRange="$P$148:$P$151" noThreeD="1" sel="1" val="0"/>
</file>

<file path=xl/ctrlProps/ctrlProp139.xml><?xml version="1.0" encoding="utf-8"?>
<formControlPr xmlns="http://schemas.microsoft.com/office/spreadsheetml/2009/9/main" objectType="Drop" dropLines="4" dropStyle="combo" dx="20" fmlaLink="$Q$84" fmlaRange="$P$148:$P$151" noThreeD="1" sel="1" val="0"/>
</file>

<file path=xl/ctrlProps/ctrlProp140.xml><?xml version="1.0" encoding="utf-8"?>
<formControlPr xmlns="http://schemas.microsoft.com/office/spreadsheetml/2009/9/main" objectType="Drop" dropLines="4" dropStyle="combo" dx="20" fmlaLink="$Q$84" fmlaRange="$P$148:$P$151" noThreeD="1" sel="1" val="0"/>
</file>

<file path=xl/ctrlProps/ctrlProp141.xml><?xml version="1.0" encoding="utf-8"?>
<formControlPr xmlns="http://schemas.microsoft.com/office/spreadsheetml/2009/9/main" objectType="Drop" dropLines="4" dropStyle="combo" dx="20" fmlaLink="$Q$84" fmlaRange="$P$148:$P$151" noThreeD="1" sel="1" val="0"/>
</file>

<file path=xl/ctrlProps/ctrlProp142.xml><?xml version="1.0" encoding="utf-8"?>
<formControlPr xmlns="http://schemas.microsoft.com/office/spreadsheetml/2009/9/main" objectType="Drop" dropLines="4" dropStyle="combo" dx="20" fmlaLink="$Q$84" fmlaRange="$P$148:$P$151" noThreeD="1" sel="1" val="0"/>
</file>

<file path=xl/ctrlProps/ctrlProp143.xml><?xml version="1.0" encoding="utf-8"?>
<formControlPr xmlns="http://schemas.microsoft.com/office/spreadsheetml/2009/9/main" objectType="Drop" dropLines="4" dropStyle="combo" dx="20" fmlaLink="$Q$84" fmlaRange="$P$148:$P$151" noThreeD="1" sel="1" val="0"/>
</file>

<file path=xl/ctrlProps/ctrlProp144.xml><?xml version="1.0" encoding="utf-8"?>
<formControlPr xmlns="http://schemas.microsoft.com/office/spreadsheetml/2009/9/main" objectType="Drop" dropLines="4" dropStyle="combo" dx="20" fmlaLink="$Q$84" fmlaRange="$P$148:$P$151" noThreeD="1" sel="1" val="0"/>
</file>

<file path=xl/ctrlProps/ctrlProp145.xml><?xml version="1.0" encoding="utf-8"?>
<formControlPr xmlns="http://schemas.microsoft.com/office/spreadsheetml/2009/9/main" objectType="Drop" dropLines="4" dropStyle="combo" dx="20" fmlaLink="$Q$84" fmlaRange="$P$148:$P$151" noThreeD="1" sel="1" val="0"/>
</file>

<file path=xl/ctrlProps/ctrlProp146.xml><?xml version="1.0" encoding="utf-8"?>
<formControlPr xmlns="http://schemas.microsoft.com/office/spreadsheetml/2009/9/main" objectType="Drop" dropLines="4" dropStyle="combo" dx="20" fmlaLink="$Q$84" fmlaRange="$P$148:$P$151" noThreeD="1" sel="1" val="0"/>
</file>

<file path=xl/ctrlProps/ctrlProp147.xml><?xml version="1.0" encoding="utf-8"?>
<formControlPr xmlns="http://schemas.microsoft.com/office/spreadsheetml/2009/9/main" objectType="Drop" dropLines="4" dropStyle="combo" dx="20" fmlaLink="$Q$84" fmlaRange="$P$148:$P$151" noThreeD="1" sel="1" val="0"/>
</file>

<file path=xl/ctrlProps/ctrlProp148.xml><?xml version="1.0" encoding="utf-8"?>
<formControlPr xmlns="http://schemas.microsoft.com/office/spreadsheetml/2009/9/main" objectType="Drop" dropLines="4" dropStyle="combo" dx="20" fmlaLink="$Q$84" fmlaRange="$P$148:$P$151" noThreeD="1" sel="1" val="0"/>
</file>

<file path=xl/ctrlProps/ctrlProp149.xml><?xml version="1.0" encoding="utf-8"?>
<formControlPr xmlns="http://schemas.microsoft.com/office/spreadsheetml/2009/9/main" objectType="Drop" dropLines="4" dropStyle="combo" dx="20" fmlaLink="$Q$84" fmlaRange="$P$148:$P$151" noThreeD="1" sel="1" val="0"/>
</file>

<file path=xl/ctrlProps/ctrlProp150.xml><?xml version="1.0" encoding="utf-8"?>
<formControlPr xmlns="http://schemas.microsoft.com/office/spreadsheetml/2009/9/main" objectType="Drop" dropLines="4" dropStyle="combo" dx="20" fmlaLink="$Q$84" fmlaRange="$P$148:$P$151" noThreeD="1" sel="1" val="0"/>
</file>

<file path=xl/ctrlProps/ctrlProp151.xml><?xml version="1.0" encoding="utf-8"?>
<formControlPr xmlns="http://schemas.microsoft.com/office/spreadsheetml/2009/9/main" objectType="Drop" dropLines="4" dropStyle="combo" dx="20" fmlaLink="$Q$84" fmlaRange="$P$148:$P$151" noThreeD="1" sel="1" val="0"/>
</file>

<file path=xl/ctrlProps/ctrlProp152.xml><?xml version="1.0" encoding="utf-8"?>
<formControlPr xmlns="http://schemas.microsoft.com/office/spreadsheetml/2009/9/main" objectType="Drop" dropLines="4" dropStyle="combo" dx="20" fmlaLink="$Q$84" fmlaRange="$P$148:$P$151" noThreeD="1" sel="1" val="0"/>
</file>

<file path=xl/ctrlProps/ctrlProp153.xml><?xml version="1.0" encoding="utf-8"?>
<formControlPr xmlns="http://schemas.microsoft.com/office/spreadsheetml/2009/9/main" objectType="Drop" dropLines="4" dropStyle="combo" dx="20" fmlaLink="$Q$84" fmlaRange="$P$148:$P$151" noThreeD="1" sel="1" val="0"/>
</file>

<file path=xl/ctrlProps/ctrlProp154.xml><?xml version="1.0" encoding="utf-8"?>
<formControlPr xmlns="http://schemas.microsoft.com/office/spreadsheetml/2009/9/main" objectType="Drop" dropLines="4" dropStyle="combo" dx="20" fmlaLink="$Q$84" fmlaRange="$P$148:$P$151" noThreeD="1" sel="1" val="0"/>
</file>

<file path=xl/ctrlProps/ctrlProp155.xml><?xml version="1.0" encoding="utf-8"?>
<formControlPr xmlns="http://schemas.microsoft.com/office/spreadsheetml/2009/9/main" objectType="Drop" dropLines="4" dropStyle="combo" dx="20" fmlaLink="$Q$84" fmlaRange="$P$148:$P$151" noThreeD="1" sel="1" val="0"/>
</file>

<file path=xl/ctrlProps/ctrlProp156.xml><?xml version="1.0" encoding="utf-8"?>
<formControlPr xmlns="http://schemas.microsoft.com/office/spreadsheetml/2009/9/main" objectType="Drop" dropLines="4" dropStyle="combo" dx="20" fmlaLink="$Q$84" fmlaRange="$P$148:$P$151" noThreeD="1" sel="1" val="0"/>
</file>

<file path=xl/ctrlProps/ctrlProp157.xml><?xml version="1.0" encoding="utf-8"?>
<formControlPr xmlns="http://schemas.microsoft.com/office/spreadsheetml/2009/9/main" objectType="Drop" dropLines="4" dropStyle="combo" dx="20" fmlaLink="$Q$84" fmlaRange="$P$148:$P$151" noThreeD="1" sel="1" val="0"/>
</file>

<file path=xl/ctrlProps/ctrlProp158.xml><?xml version="1.0" encoding="utf-8"?>
<formControlPr xmlns="http://schemas.microsoft.com/office/spreadsheetml/2009/9/main" objectType="Drop" dropLines="4" dropStyle="combo" dx="20" fmlaLink="$Q$84" fmlaRange="$P$148:$P$151" noThreeD="1" sel="1" val="0"/>
</file>

<file path=xl/ctrlProps/ctrlProp159.xml><?xml version="1.0" encoding="utf-8"?>
<formControlPr xmlns="http://schemas.microsoft.com/office/spreadsheetml/2009/9/main" objectType="Drop" dropLines="4" dropStyle="combo" dx="20" fmlaLink="$Q$84" fmlaRange="$P$148:$P$151" noThreeD="1" sel="1" val="0"/>
</file>

<file path=xl/ctrlProps/ctrlProp160.xml><?xml version="1.0" encoding="utf-8"?>
<formControlPr xmlns="http://schemas.microsoft.com/office/spreadsheetml/2009/9/main" objectType="Drop" dropLines="4" dropStyle="combo" dx="20" fmlaLink="$Q$84" fmlaRange="$P$148:$P$151" noThreeD="1" sel="1" val="0"/>
</file>

<file path=xl/ctrlProps/ctrlProp161.xml><?xml version="1.0" encoding="utf-8"?>
<formControlPr xmlns="http://schemas.microsoft.com/office/spreadsheetml/2009/9/main" objectType="Drop" dropLines="4" dropStyle="combo" dx="20" fmlaLink="$Q$84" fmlaRange="$P$148:$P$151" noThreeD="1" sel="1" val="0"/>
</file>

<file path=xl/ctrlProps/ctrlProp162.xml><?xml version="1.0" encoding="utf-8"?>
<formControlPr xmlns="http://schemas.microsoft.com/office/spreadsheetml/2009/9/main" objectType="Drop" dropLines="4" dropStyle="combo" dx="20" fmlaLink="$Q$84" fmlaRange="$P$148:$P$151" noThreeD="1" sel="1" val="0"/>
</file>

<file path=xl/ctrlProps/ctrlProp163.xml><?xml version="1.0" encoding="utf-8"?>
<formControlPr xmlns="http://schemas.microsoft.com/office/spreadsheetml/2009/9/main" objectType="Drop" dropLines="4" dropStyle="combo" dx="20" fmlaLink="$Q$84" fmlaRange="$P$148:$P$151" noThreeD="1" sel="1" val="0"/>
</file>

<file path=xl/ctrlProps/ctrlProp164.xml><?xml version="1.0" encoding="utf-8"?>
<formControlPr xmlns="http://schemas.microsoft.com/office/spreadsheetml/2009/9/main" objectType="Drop" dropLines="4" dropStyle="combo" dx="20" fmlaLink="$Q$84" fmlaRange="$P$148:$P$151" noThreeD="1" sel="1" val="0"/>
</file>

<file path=xl/ctrlProps/ctrlProp165.xml><?xml version="1.0" encoding="utf-8"?>
<formControlPr xmlns="http://schemas.microsoft.com/office/spreadsheetml/2009/9/main" objectType="Drop" dropLines="4" dropStyle="combo" dx="20" fmlaLink="$Q$84" fmlaRange="$P$148:$P$151" noThreeD="1" sel="1" val="0"/>
</file>

<file path=xl/ctrlProps/ctrlProp166.xml><?xml version="1.0" encoding="utf-8"?>
<formControlPr xmlns="http://schemas.microsoft.com/office/spreadsheetml/2009/9/main" objectType="Drop" dropLines="4" dropStyle="combo" dx="20" fmlaLink="$Q$84" fmlaRange="$P$148:$P$151" noThreeD="1" sel="1" val="0"/>
</file>

<file path=xl/ctrlProps/ctrlProp167.xml><?xml version="1.0" encoding="utf-8"?>
<formControlPr xmlns="http://schemas.microsoft.com/office/spreadsheetml/2009/9/main" objectType="Drop" dropLines="4" dropStyle="combo" dx="20" fmlaLink="$Q$84" fmlaRange="$P$148:$P$151" noThreeD="1" sel="1" val="0"/>
</file>

<file path=xl/ctrlProps/ctrlProp168.xml><?xml version="1.0" encoding="utf-8"?>
<formControlPr xmlns="http://schemas.microsoft.com/office/spreadsheetml/2009/9/main" objectType="Drop" dropLines="4" dropStyle="combo" dx="20" fmlaLink="$Q$84" fmlaRange="$P$148:$P$151" noThreeD="1" sel="1" val="0"/>
</file>

<file path=xl/ctrlProps/ctrlProp169.xml><?xml version="1.0" encoding="utf-8"?>
<formControlPr xmlns="http://schemas.microsoft.com/office/spreadsheetml/2009/9/main" objectType="Drop" dropLines="4" dropStyle="combo" dx="20" fmlaLink="$Q$84" fmlaRange="$P$148:$P$151" noThreeD="1" sel="1" val="0"/>
</file>

<file path=xl/ctrlProps/ctrlProp170.xml><?xml version="1.0" encoding="utf-8"?>
<formControlPr xmlns="http://schemas.microsoft.com/office/spreadsheetml/2009/9/main" objectType="Drop" dropLines="4" dropStyle="combo" dx="20" fmlaLink="$Q$84" fmlaRange="$P$148:$P$151" noThreeD="1" sel="1" val="0"/>
</file>

<file path=xl/ctrlProps/ctrlProp171.xml><?xml version="1.0" encoding="utf-8"?>
<formControlPr xmlns="http://schemas.microsoft.com/office/spreadsheetml/2009/9/main" objectType="Drop" dropLines="4" dropStyle="combo" dx="20" fmlaLink="$Q$84" fmlaRange="$P$148:$P$151" noThreeD="1" sel="1" val="0"/>
</file>

<file path=xl/ctrlProps/ctrlProp172.xml><?xml version="1.0" encoding="utf-8"?>
<formControlPr xmlns="http://schemas.microsoft.com/office/spreadsheetml/2009/9/main" objectType="Drop" dropLines="4" dropStyle="combo" dx="20" fmlaLink="$Q$84" fmlaRange="$P$148:$P$151" noThreeD="1" sel="1" val="0"/>
</file>

<file path=xl/ctrlProps/ctrlProp173.xml><?xml version="1.0" encoding="utf-8"?>
<formControlPr xmlns="http://schemas.microsoft.com/office/spreadsheetml/2009/9/main" objectType="Drop" dropLines="4" dropStyle="combo" dx="20" fmlaLink="$Q$84" fmlaRange="$P$148:$P$151" noThreeD="1" sel="1" val="0"/>
</file>

<file path=xl/ctrlProps/ctrlProp174.xml><?xml version="1.0" encoding="utf-8"?>
<formControlPr xmlns="http://schemas.microsoft.com/office/spreadsheetml/2009/9/main" objectType="Drop" dropLines="4" dropStyle="combo" dx="20" fmlaLink="$Q$84" fmlaRange="$P$148:$P$151" noThreeD="1" sel="1" val="0"/>
</file>

<file path=xl/ctrlProps/ctrlProp175.xml><?xml version="1.0" encoding="utf-8"?>
<formControlPr xmlns="http://schemas.microsoft.com/office/spreadsheetml/2009/9/main" objectType="Drop" dropLines="4" dropStyle="combo" dx="20" fmlaLink="$Q$84" fmlaRange="$P$148:$P$151" noThreeD="1" sel="1" val="0"/>
</file>

<file path=xl/ctrlProps/ctrlProp176.xml><?xml version="1.0" encoding="utf-8"?>
<formControlPr xmlns="http://schemas.microsoft.com/office/spreadsheetml/2009/9/main" objectType="Drop" dropLines="4" dropStyle="combo" dx="20" fmlaLink="$Q$84" fmlaRange="$P$148:$P$151" noThreeD="1" sel="1" val="0"/>
</file>

<file path=xl/ctrlProps/ctrlProp177.xml><?xml version="1.0" encoding="utf-8"?>
<formControlPr xmlns="http://schemas.microsoft.com/office/spreadsheetml/2009/9/main" objectType="Drop" dropLines="4" dropStyle="combo" dx="20" fmlaLink="$Q$84" fmlaRange="$P$148:$P$151" noThreeD="1" sel="1" val="0"/>
</file>

<file path=xl/ctrlProps/ctrlProp178.xml><?xml version="1.0" encoding="utf-8"?>
<formControlPr xmlns="http://schemas.microsoft.com/office/spreadsheetml/2009/9/main" objectType="Drop" dropLines="4" dropStyle="combo" dx="20" fmlaLink="$Q$84" fmlaRange="$P$148:$P$151" noThreeD="1" sel="1" val="0"/>
</file>

<file path=xl/ctrlProps/ctrlProp179.xml><?xml version="1.0" encoding="utf-8"?>
<formControlPr xmlns="http://schemas.microsoft.com/office/spreadsheetml/2009/9/main" objectType="Drop" dropLines="4" dropStyle="combo" dx="20" fmlaLink="$Q$84" fmlaRange="$P$148:$P$151" noThreeD="1" sel="1" val="0"/>
</file>

<file path=xl/ctrlProps/ctrlProp180.xml><?xml version="1.0" encoding="utf-8"?>
<formControlPr xmlns="http://schemas.microsoft.com/office/spreadsheetml/2009/9/main" objectType="Drop" dropLines="4" dropStyle="combo" dx="20" fmlaLink="$Q$84" fmlaRange="$P$148:$P$151" noThreeD="1" sel="1" val="0"/>
</file>

<file path=xl/ctrlProps/ctrlProp181.xml><?xml version="1.0" encoding="utf-8"?>
<formControlPr xmlns="http://schemas.microsoft.com/office/spreadsheetml/2009/9/main" objectType="Drop" dropLines="4" dropStyle="combo" dx="20" fmlaLink="$Q$84" fmlaRange="$P$148:$P$151" noThreeD="1" sel="1" val="0"/>
</file>

<file path=xl/ctrlProps/ctrlProp182.xml><?xml version="1.0" encoding="utf-8"?>
<formControlPr xmlns="http://schemas.microsoft.com/office/spreadsheetml/2009/9/main" objectType="Drop" dropLines="4" dropStyle="combo" dx="20" fmlaLink="$Q$84" fmlaRange="$P$148:$P$151" noThreeD="1" sel="1" val="0"/>
</file>

<file path=xl/ctrlProps/ctrlProp183.xml><?xml version="1.0" encoding="utf-8"?>
<formControlPr xmlns="http://schemas.microsoft.com/office/spreadsheetml/2009/9/main" objectType="Drop" dropLines="4" dropStyle="combo" dx="20" fmlaLink="$Q$84" fmlaRange="$P$148:$P$151" noThreeD="1" sel="1" val="0"/>
</file>

<file path=xl/ctrlProps/ctrlProp184.xml><?xml version="1.0" encoding="utf-8"?>
<formControlPr xmlns="http://schemas.microsoft.com/office/spreadsheetml/2009/9/main" objectType="Drop" dropLines="4" dropStyle="combo" dx="20" fmlaLink="$Q$84" fmlaRange="$P$148:$P$151" noThreeD="1" sel="1" val="0"/>
</file>

<file path=xl/ctrlProps/ctrlProp185.xml><?xml version="1.0" encoding="utf-8"?>
<formControlPr xmlns="http://schemas.microsoft.com/office/spreadsheetml/2009/9/main" objectType="Drop" dropLines="4" dropStyle="combo" dx="20" fmlaLink="$Q$84" fmlaRange="$P$148:$P$151" noThreeD="1" sel="1" val="0"/>
</file>

<file path=xl/ctrlProps/ctrlProp186.xml><?xml version="1.0" encoding="utf-8"?>
<formControlPr xmlns="http://schemas.microsoft.com/office/spreadsheetml/2009/9/main" objectType="Drop" dropLines="4" dropStyle="combo" dx="20" fmlaLink="$Q$84" fmlaRange="$P$148:$P$151" noThreeD="1" sel="1" val="0"/>
</file>

<file path=xl/ctrlProps/ctrlProp187.xml><?xml version="1.0" encoding="utf-8"?>
<formControlPr xmlns="http://schemas.microsoft.com/office/spreadsheetml/2009/9/main" objectType="Drop" dropLines="4" dropStyle="combo" dx="20" fmlaLink="$Q$84" fmlaRange="$P$148:$P$151" noThreeD="1" sel="1" val="0"/>
</file>

<file path=xl/ctrlProps/ctrlProp188.xml><?xml version="1.0" encoding="utf-8"?>
<formControlPr xmlns="http://schemas.microsoft.com/office/spreadsheetml/2009/9/main" objectType="Drop" dropLines="4" dropStyle="combo" dx="20" fmlaLink="$Q$84" fmlaRange="$P$148:$P$151" noThreeD="1" sel="1" val="0"/>
</file>

<file path=xl/ctrlProps/ctrlProp189.xml><?xml version="1.0" encoding="utf-8"?>
<formControlPr xmlns="http://schemas.microsoft.com/office/spreadsheetml/2009/9/main" objectType="Drop" dropLines="4" dropStyle="combo" dx="20" fmlaLink="$Q$84" fmlaRange="$P$148:$P$151" noThreeD="1" sel="1" val="0"/>
</file>

<file path=xl/ctrlProps/ctrlProp190.xml><?xml version="1.0" encoding="utf-8"?>
<formControlPr xmlns="http://schemas.microsoft.com/office/spreadsheetml/2009/9/main" objectType="Drop" dropLines="4" dropStyle="combo" dx="20" fmlaLink="$Q$84" fmlaRange="$P$148:$P$151" noThreeD="1" sel="1" val="0"/>
</file>

<file path=xl/ctrlProps/ctrlProp191.xml><?xml version="1.0" encoding="utf-8"?>
<formControlPr xmlns="http://schemas.microsoft.com/office/spreadsheetml/2009/9/main" objectType="Drop" dropLines="4" dropStyle="combo" dx="20" fmlaLink="$Q$84" fmlaRange="$P$148:$P$151" noThreeD="1" sel="1" val="0"/>
</file>

<file path=xl/ctrlProps/ctrlProp192.xml><?xml version="1.0" encoding="utf-8"?>
<formControlPr xmlns="http://schemas.microsoft.com/office/spreadsheetml/2009/9/main" objectType="Drop" dropLines="4" dropStyle="combo" dx="20" fmlaLink="$Q$84" fmlaRange="$P$148:$P$151" noThreeD="1" sel="1" val="0"/>
</file>

<file path=xl/ctrlProps/ctrlProp193.xml><?xml version="1.0" encoding="utf-8"?>
<formControlPr xmlns="http://schemas.microsoft.com/office/spreadsheetml/2009/9/main" objectType="Drop" dropLines="5" dropStyle="combo" dx="20" fmlaLink="$Q$84" fmlaRange="$P$148:$P$151" noThreeD="1" sel="1" val="0"/>
</file>

<file path=xl/ctrlProps/ctrlProp194.xml><?xml version="1.0" encoding="utf-8"?>
<formControlPr xmlns="http://schemas.microsoft.com/office/spreadsheetml/2009/9/main" objectType="Drop" dropLines="4" dropStyle="combo" dx="20" fmlaLink="$Q$84" fmlaRange="$P$148:$P$151" noThreeD="1" sel="1" val="0"/>
</file>

<file path=xl/ctrlProps/ctrlProp195.xml><?xml version="1.0" encoding="utf-8"?>
<formControlPr xmlns="http://schemas.microsoft.com/office/spreadsheetml/2009/9/main" objectType="Drop" dropLines="4" dropStyle="combo" dx="20" fmlaLink="$Q$84" fmlaRange="$P$148:$P$151" noThreeD="1" sel="1" val="0"/>
</file>

<file path=xl/ctrlProps/ctrlProp196.xml><?xml version="1.0" encoding="utf-8"?>
<formControlPr xmlns="http://schemas.microsoft.com/office/spreadsheetml/2009/9/main" objectType="Drop" dropLines="4" dropStyle="combo" dx="20" fmlaLink="$Q$84" fmlaRange="$P$148:$P$151" noThreeD="1" sel="1" val="0"/>
</file>

<file path=xl/ctrlProps/ctrlProp197.xml><?xml version="1.0" encoding="utf-8"?>
<formControlPr xmlns="http://schemas.microsoft.com/office/spreadsheetml/2009/9/main" objectType="Drop" dropLines="4" dropStyle="combo" dx="20" fmlaLink="$Q$84" fmlaRange="$P$148:$P$151" noThreeD="1" sel="1" val="0"/>
</file>

<file path=xl/ctrlProps/ctrlProp198.xml><?xml version="1.0" encoding="utf-8"?>
<formControlPr xmlns="http://schemas.microsoft.com/office/spreadsheetml/2009/9/main" objectType="Drop" dropLines="4" dropStyle="combo" dx="20" fmlaLink="$Q$84" fmlaRange="$P$148:$P$151" noThreeD="1" sel="1" val="0"/>
</file>

<file path=xl/ctrlProps/ctrlProp199.xml><?xml version="1.0" encoding="utf-8"?>
<formControlPr xmlns="http://schemas.microsoft.com/office/spreadsheetml/2009/9/main" objectType="Drop" dropLines="4" dropStyle="combo" dx="20" fmlaLink="$Q$84" fmlaRange="$P$148:$P$151" noThreeD="1" sel="1" val="0"/>
</file>

<file path=xl/ctrlProps/ctrlProp200.xml><?xml version="1.0" encoding="utf-8"?>
<formControlPr xmlns="http://schemas.microsoft.com/office/spreadsheetml/2009/9/main" objectType="Drop" dropLines="4" dropStyle="combo" dx="20" fmlaLink="$Q$84" fmlaRange="$P$148:$P$151" noThreeD="1" sel="1" val="0"/>
</file>

<file path=xl/ctrlProps/ctrlProp201.xml><?xml version="1.0" encoding="utf-8"?>
<formControlPr xmlns="http://schemas.microsoft.com/office/spreadsheetml/2009/9/main" objectType="Drop" dropLines="4" dropStyle="combo" dx="20" fmlaLink="$Q$84" fmlaRange="$P$148:$P$151" noThreeD="1" sel="1" val="0"/>
</file>

<file path=xl/ctrlProps/ctrlProp202.xml><?xml version="1.0" encoding="utf-8"?>
<formControlPr xmlns="http://schemas.microsoft.com/office/spreadsheetml/2009/9/main" objectType="Drop" dropLines="4" dropStyle="combo" dx="20" fmlaLink="$Q$84" fmlaRange="$P$148:$P$151" noThreeD="1" sel="1" val="0"/>
</file>

<file path=xl/ctrlProps/ctrlProp203.xml><?xml version="1.0" encoding="utf-8"?>
<formControlPr xmlns="http://schemas.microsoft.com/office/spreadsheetml/2009/9/main" objectType="Drop" dropLines="4" dropStyle="combo" dx="20" fmlaLink="$Q$84" fmlaRange="$P$148:$P$151" noThreeD="1" sel="1" val="0"/>
</file>

<file path=xl/ctrlProps/ctrlProp204.xml><?xml version="1.0" encoding="utf-8"?>
<formControlPr xmlns="http://schemas.microsoft.com/office/spreadsheetml/2009/9/main" objectType="Drop" dropLines="4" dropStyle="combo" dx="20" fmlaLink="$Q$84" fmlaRange="$P$148:$P$151" noThreeD="1" sel="1" val="0"/>
</file>

<file path=xl/ctrlProps/ctrlProp205.xml><?xml version="1.0" encoding="utf-8"?>
<formControlPr xmlns="http://schemas.microsoft.com/office/spreadsheetml/2009/9/main" objectType="Drop" dropLines="4" dropStyle="combo" dx="20" fmlaLink="$Q$84" fmlaRange="$P$148:$P$151" noThreeD="1" sel="1" val="0"/>
</file>

<file path=xl/ctrlProps/ctrlProp206.xml><?xml version="1.0" encoding="utf-8"?>
<formControlPr xmlns="http://schemas.microsoft.com/office/spreadsheetml/2009/9/main" objectType="Drop" dropLines="4" dropStyle="combo" dx="20" fmlaLink="$Q$84" fmlaRange="$P$148:$P$151" noThreeD="1" sel="1" val="0"/>
</file>

<file path=xl/ctrlProps/ctrlProp207.xml><?xml version="1.0" encoding="utf-8"?>
<formControlPr xmlns="http://schemas.microsoft.com/office/spreadsheetml/2009/9/main" objectType="Drop" dropLines="4" dropStyle="combo" dx="20" fmlaLink="$Q$84" fmlaRange="$P$148:$P$151" noThreeD="1" sel="1" val="0"/>
</file>

<file path=xl/ctrlProps/ctrlProp208.xml><?xml version="1.0" encoding="utf-8"?>
<formControlPr xmlns="http://schemas.microsoft.com/office/spreadsheetml/2009/9/main" objectType="Drop" dropLines="4" dropStyle="combo" dx="20" fmlaLink="$Q$84" fmlaRange="$P$148:$P$151" noThreeD="1" sel="1" val="0"/>
</file>

<file path=xl/ctrlProps/ctrlProp209.xml><?xml version="1.0" encoding="utf-8"?>
<formControlPr xmlns="http://schemas.microsoft.com/office/spreadsheetml/2009/9/main" objectType="Drop" dropLines="4" dropStyle="combo" dx="20" fmlaLink="$Q$84" fmlaRange="$P$148:$P$151" noThreeD="1" sel="1" val="0"/>
</file>

<file path=xl/ctrlProps/ctrlProp210.xml><?xml version="1.0" encoding="utf-8"?>
<formControlPr xmlns="http://schemas.microsoft.com/office/spreadsheetml/2009/9/main" objectType="Drop" dropLines="4" dropStyle="combo" dx="20" fmlaLink="$Q$84" fmlaRange="$P$148:$P$151" noThreeD="1" sel="1" val="0"/>
</file>

<file path=xl/ctrlProps/ctrlProp211.xml><?xml version="1.0" encoding="utf-8"?>
<formControlPr xmlns="http://schemas.microsoft.com/office/spreadsheetml/2009/9/main" objectType="Drop" dropLines="4" dropStyle="combo" dx="20" fmlaLink="$Q$84" fmlaRange="$P$148:$P$151" noThreeD="1" sel="1" val="0"/>
</file>

<file path=xl/ctrlProps/ctrlProp212.xml><?xml version="1.0" encoding="utf-8"?>
<formControlPr xmlns="http://schemas.microsoft.com/office/spreadsheetml/2009/9/main" objectType="Drop" dropLines="4" dropStyle="combo" dx="20" fmlaLink="$Q$84" fmlaRange="$P$148:$P$151" noThreeD="1" sel="1" val="0"/>
</file>

<file path=xl/ctrlProps/ctrlProp213.xml><?xml version="1.0" encoding="utf-8"?>
<formControlPr xmlns="http://schemas.microsoft.com/office/spreadsheetml/2009/9/main" objectType="Drop" dropLines="4" dropStyle="combo" dx="20" fmlaLink="$Q$84" fmlaRange="$P$148:$P$151" noThreeD="1" sel="1" val="0"/>
</file>

<file path=xl/ctrlProps/ctrlProp214.xml><?xml version="1.0" encoding="utf-8"?>
<formControlPr xmlns="http://schemas.microsoft.com/office/spreadsheetml/2009/9/main" objectType="Drop" dropLines="4" dropStyle="combo" dx="20" fmlaLink="$Q$84" fmlaRange="$P$148:$P$151" noThreeD="1" sel="1" val="0"/>
</file>

<file path=xl/ctrlProps/ctrlProp215.xml><?xml version="1.0" encoding="utf-8"?>
<formControlPr xmlns="http://schemas.microsoft.com/office/spreadsheetml/2009/9/main" objectType="Drop" dropLines="4" dropStyle="combo" dx="20" fmlaLink="$Q$84" fmlaRange="$P$148:$P$151" noThreeD="1" sel="1" val="0"/>
</file>

<file path=xl/ctrlProps/ctrlProp216.xml><?xml version="1.0" encoding="utf-8"?>
<formControlPr xmlns="http://schemas.microsoft.com/office/spreadsheetml/2009/9/main" objectType="Drop" dropLines="4" dropStyle="combo" dx="20" fmlaLink="$Q$84" fmlaRange="$P$148:$P$151" noThreeD="1" sel="1" val="0"/>
</file>

<file path=xl/ctrlProps/ctrlProp217.xml><?xml version="1.0" encoding="utf-8"?>
<formControlPr xmlns="http://schemas.microsoft.com/office/spreadsheetml/2009/9/main" objectType="Drop" dropLines="4" dropStyle="combo" dx="20" fmlaLink="$Q$84" fmlaRange="$P$148:$P$151" noThreeD="1" sel="1" val="0"/>
</file>

<file path=xl/ctrlProps/ctrlProp218.xml><?xml version="1.0" encoding="utf-8"?>
<formControlPr xmlns="http://schemas.microsoft.com/office/spreadsheetml/2009/9/main" objectType="Drop" dropLines="4" dropStyle="combo" dx="20" fmlaLink="$Q$84" fmlaRange="$P$148:$P$151" noThreeD="1" sel="1" val="0"/>
</file>

<file path=xl/ctrlProps/ctrlProp219.xml><?xml version="1.0" encoding="utf-8"?>
<formControlPr xmlns="http://schemas.microsoft.com/office/spreadsheetml/2009/9/main" objectType="Drop" dropLines="4" dropStyle="combo" dx="20" fmlaLink="$Q$84" fmlaRange="$P$148:$P$151" noThreeD="1" sel="1" val="0"/>
</file>

<file path=xl/ctrlProps/ctrlProp220.xml><?xml version="1.0" encoding="utf-8"?>
<formControlPr xmlns="http://schemas.microsoft.com/office/spreadsheetml/2009/9/main" objectType="Drop" dropLines="4" dropStyle="combo" dx="20" fmlaLink="$Q$84" fmlaRange="$P$148:$P$151" noThreeD="1" sel="1" val="0"/>
</file>

<file path=xl/ctrlProps/ctrlProp221.xml><?xml version="1.0" encoding="utf-8"?>
<formControlPr xmlns="http://schemas.microsoft.com/office/spreadsheetml/2009/9/main" objectType="Drop" dropLines="4" dropStyle="combo" dx="20" fmlaLink="$Q$84" fmlaRange="$P$148:$P$151" noThreeD="1" sel="1" val="0"/>
</file>

<file path=xl/ctrlProps/ctrlProp222.xml><?xml version="1.0" encoding="utf-8"?>
<formControlPr xmlns="http://schemas.microsoft.com/office/spreadsheetml/2009/9/main" objectType="Drop" dropLines="4" dropStyle="combo" dx="20" fmlaLink="$Q$84" fmlaRange="$P$148:$P$151" noThreeD="1" sel="1" val="0"/>
</file>

<file path=xl/ctrlProps/ctrlProp223.xml><?xml version="1.0" encoding="utf-8"?>
<formControlPr xmlns="http://schemas.microsoft.com/office/spreadsheetml/2009/9/main" objectType="Drop" dropLines="4" dropStyle="combo" dx="20" fmlaLink="$Q$84" fmlaRange="$P$148:$P$151" noThreeD="1" sel="1" val="0"/>
</file>

<file path=xl/ctrlProps/ctrlProp224.xml><?xml version="1.0" encoding="utf-8"?>
<formControlPr xmlns="http://schemas.microsoft.com/office/spreadsheetml/2009/9/main" objectType="Drop" dropLines="4" dropStyle="combo" dx="20" fmlaLink="$Q$84" fmlaRange="$P$148:$P$151" noThreeD="1" sel="1" val="0"/>
</file>

<file path=xl/ctrlProps/ctrlProp225.xml><?xml version="1.0" encoding="utf-8"?>
<formControlPr xmlns="http://schemas.microsoft.com/office/spreadsheetml/2009/9/main" objectType="Drop" dropLines="4" dropStyle="combo" dx="20" fmlaLink="$Q$84" fmlaRange="$P$148:$P$151" noThreeD="1" sel="1" val="0"/>
</file>

<file path=xl/ctrlProps/ctrlProp226.xml><?xml version="1.0" encoding="utf-8"?>
<formControlPr xmlns="http://schemas.microsoft.com/office/spreadsheetml/2009/9/main" objectType="Drop" dropLines="4" dropStyle="combo" dx="20" fmlaLink="$Q$84" fmlaRange="$P$148:$P$151" noThreeD="1" sel="1" val="0"/>
</file>

<file path=xl/ctrlProps/ctrlProp227.xml><?xml version="1.0" encoding="utf-8"?>
<formControlPr xmlns="http://schemas.microsoft.com/office/spreadsheetml/2009/9/main" objectType="Drop" dropLines="4" dropStyle="combo" dx="20" fmlaLink="$Q$84" fmlaRange="$P$148:$P$151" noThreeD="1" sel="1" val="0"/>
</file>

<file path=xl/ctrlProps/ctrlProp228.xml><?xml version="1.0" encoding="utf-8"?>
<formControlPr xmlns="http://schemas.microsoft.com/office/spreadsheetml/2009/9/main" objectType="Drop" dropLines="4" dropStyle="combo" dx="20" fmlaLink="$Q$84" fmlaRange="$P$148:$P$151" noThreeD="1" sel="1" val="0"/>
</file>

<file path=xl/ctrlProps/ctrlProp229.xml><?xml version="1.0" encoding="utf-8"?>
<formControlPr xmlns="http://schemas.microsoft.com/office/spreadsheetml/2009/9/main" objectType="Drop" dropLines="4" dropStyle="combo" dx="20" fmlaLink="$Q$84" fmlaRange="$P$148:$P$151" noThreeD="1" sel="1" val="0"/>
</file>

<file path=xl/ctrlProps/ctrlProp230.xml><?xml version="1.0" encoding="utf-8"?>
<formControlPr xmlns="http://schemas.microsoft.com/office/spreadsheetml/2009/9/main" objectType="Drop" dropLines="4" dropStyle="combo" dx="20" fmlaLink="$Q$84" fmlaRange="$P$148:$P$151" noThreeD="1" sel="1" val="0"/>
</file>

<file path=xl/ctrlProps/ctrlProp231.xml><?xml version="1.0" encoding="utf-8"?>
<formControlPr xmlns="http://schemas.microsoft.com/office/spreadsheetml/2009/9/main" objectType="Drop" dropLines="4" dropStyle="combo" dx="20" fmlaLink="$Q$84" fmlaRange="$P$148:$P$151" noThreeD="1" sel="1" val="0"/>
</file>

<file path=xl/ctrlProps/ctrlProp232.xml><?xml version="1.0" encoding="utf-8"?>
<formControlPr xmlns="http://schemas.microsoft.com/office/spreadsheetml/2009/9/main" objectType="Drop" dropLines="4" dropStyle="combo" dx="20" fmlaLink="$Q$84" fmlaRange="$P$148:$P$151" noThreeD="1" sel="1" val="0"/>
</file>

<file path=xl/ctrlProps/ctrlProp233.xml><?xml version="1.0" encoding="utf-8"?>
<formControlPr xmlns="http://schemas.microsoft.com/office/spreadsheetml/2009/9/main" objectType="Drop" dropLines="4" dropStyle="combo" dx="20" fmlaLink="$Q$84" fmlaRange="$P$148:$P$151" noThreeD="1" sel="1" val="0"/>
</file>

<file path=xl/ctrlProps/ctrlProp234.xml><?xml version="1.0" encoding="utf-8"?>
<formControlPr xmlns="http://schemas.microsoft.com/office/spreadsheetml/2009/9/main" objectType="Drop" dropLines="4" dropStyle="combo" dx="20" fmlaLink="$Q$84" fmlaRange="$P$148:$P$151" noThreeD="1" sel="1" val="0"/>
</file>

<file path=xl/ctrlProps/ctrlProp235.xml><?xml version="1.0" encoding="utf-8"?>
<formControlPr xmlns="http://schemas.microsoft.com/office/spreadsheetml/2009/9/main" objectType="Drop" dropLines="4" dropStyle="combo" dx="20" fmlaLink="$Q$84" fmlaRange="$P$148:$P$151" noThreeD="1" sel="1" val="0"/>
</file>

<file path=xl/ctrlProps/ctrlProp236.xml><?xml version="1.0" encoding="utf-8"?>
<formControlPr xmlns="http://schemas.microsoft.com/office/spreadsheetml/2009/9/main" objectType="Drop" dropLines="4" dropStyle="combo" dx="20" fmlaLink="$Q$84" fmlaRange="$P$148:$P$151" noThreeD="1" sel="1" val="0"/>
</file>

<file path=xl/ctrlProps/ctrlProp237.xml><?xml version="1.0" encoding="utf-8"?>
<formControlPr xmlns="http://schemas.microsoft.com/office/spreadsheetml/2009/9/main" objectType="Drop" dropLines="4" dropStyle="combo" dx="20" fmlaLink="$Q$84" fmlaRange="$P$148:$P$151" noThreeD="1" sel="1" val="0"/>
</file>

<file path=xl/ctrlProps/ctrlProp238.xml><?xml version="1.0" encoding="utf-8"?>
<formControlPr xmlns="http://schemas.microsoft.com/office/spreadsheetml/2009/9/main" objectType="Drop" dropLines="4" dropStyle="combo" dx="20" fmlaLink="$Q$84" fmlaRange="$P$148:$P$151" noThreeD="1" sel="1" val="0"/>
</file>

<file path=xl/ctrlProps/ctrlProp239.xml><?xml version="1.0" encoding="utf-8"?>
<formControlPr xmlns="http://schemas.microsoft.com/office/spreadsheetml/2009/9/main" objectType="Drop" dropLines="4" dropStyle="combo" dx="20" fmlaLink="$Q$84" fmlaRange="$P$148:$P$151" noThreeD="1" sel="1" val="0"/>
</file>

<file path=xl/ctrlProps/ctrlProp240.xml><?xml version="1.0" encoding="utf-8"?>
<formControlPr xmlns="http://schemas.microsoft.com/office/spreadsheetml/2009/9/main" objectType="Drop" dropLines="4" dropStyle="combo" dx="20" fmlaLink="$Q$84" fmlaRange="$P$148:$P$151" noThreeD="1" sel="1" val="0"/>
</file>

<file path=xl/ctrlProps/ctrlProp241.xml><?xml version="1.0" encoding="utf-8"?>
<formControlPr xmlns="http://schemas.microsoft.com/office/spreadsheetml/2009/9/main" objectType="Drop" dropLines="4" dropStyle="combo" dx="20" fmlaLink="$Q$84" fmlaRange="$P$148:$P$151" noThreeD="1" sel="1" val="0"/>
</file>

<file path=xl/ctrlProps/ctrlProp242.xml><?xml version="1.0" encoding="utf-8"?>
<formControlPr xmlns="http://schemas.microsoft.com/office/spreadsheetml/2009/9/main" objectType="Drop" dropLines="4" dropStyle="combo" dx="20" fmlaLink="$Q$84" fmlaRange="$P$148:$P$151" noThreeD="1" sel="1" val="0"/>
</file>

<file path=xl/ctrlProps/ctrlProp243.xml><?xml version="1.0" encoding="utf-8"?>
<formControlPr xmlns="http://schemas.microsoft.com/office/spreadsheetml/2009/9/main" objectType="Drop" dropLines="4" dropStyle="combo" dx="20" fmlaLink="$Q$84" fmlaRange="$P$148:$P$151" noThreeD="1" sel="1" val="0"/>
</file>

<file path=xl/ctrlProps/ctrlProp244.xml><?xml version="1.0" encoding="utf-8"?>
<formControlPr xmlns="http://schemas.microsoft.com/office/spreadsheetml/2009/9/main" objectType="Drop" dropLines="4" dropStyle="combo" dx="20" fmlaLink="$Q$84" fmlaRange="$P$148:$P$151" noThreeD="1" sel="1" val="0"/>
</file>

<file path=xl/ctrlProps/ctrlProp245.xml><?xml version="1.0" encoding="utf-8"?>
<formControlPr xmlns="http://schemas.microsoft.com/office/spreadsheetml/2009/9/main" objectType="Drop" dropLines="4" dropStyle="combo" dx="20" fmlaLink="$Q$84" fmlaRange="$P$148:$P$151" noThreeD="1" sel="1" val="0"/>
</file>

<file path=xl/ctrlProps/ctrlProp246.xml><?xml version="1.0" encoding="utf-8"?>
<formControlPr xmlns="http://schemas.microsoft.com/office/spreadsheetml/2009/9/main" objectType="Drop" dropLines="4" dropStyle="combo" dx="20" fmlaLink="$Q$84" fmlaRange="$P$148:$P$151" noThreeD="1" sel="1" val="0"/>
</file>

<file path=xl/ctrlProps/ctrlProp247.xml><?xml version="1.0" encoding="utf-8"?>
<formControlPr xmlns="http://schemas.microsoft.com/office/spreadsheetml/2009/9/main" objectType="Drop" dropLines="4" dropStyle="combo" dx="20" fmlaLink="$Q$84" fmlaRange="$P$148:$P$151" noThreeD="1" sel="1" val="0"/>
</file>

<file path=xl/ctrlProps/ctrlProp248.xml><?xml version="1.0" encoding="utf-8"?>
<formControlPr xmlns="http://schemas.microsoft.com/office/spreadsheetml/2009/9/main" objectType="Drop" dropLines="4" dropStyle="combo" dx="20" fmlaLink="$Q$84" fmlaRange="$P$148:$P$151" noThreeD="1" sel="1" val="0"/>
</file>

<file path=xl/ctrlProps/ctrlProp249.xml><?xml version="1.0" encoding="utf-8"?>
<formControlPr xmlns="http://schemas.microsoft.com/office/spreadsheetml/2009/9/main" objectType="Drop" dropLines="4" dropStyle="combo" dx="20" fmlaLink="$Q$84" fmlaRange="$P$148:$P$151" noThreeD="1" sel="1" val="0"/>
</file>

<file path=xl/ctrlProps/ctrlProp250.xml><?xml version="1.0" encoding="utf-8"?>
<formControlPr xmlns="http://schemas.microsoft.com/office/spreadsheetml/2009/9/main" objectType="Drop" dropLines="4" dropStyle="combo" dx="20" fmlaLink="$Q$84" fmlaRange="$P$148:$P$151" noThreeD="1" sel="1" val="0"/>
</file>

<file path=xl/ctrlProps/ctrlProp251.xml><?xml version="1.0" encoding="utf-8"?>
<formControlPr xmlns="http://schemas.microsoft.com/office/spreadsheetml/2009/9/main" objectType="Drop" dropLines="4" dropStyle="combo" dx="20" fmlaLink="$Q$84" fmlaRange="$P$148:$P$151" noThreeD="1" sel="1" val="0"/>
</file>

<file path=xl/ctrlProps/ctrlProp252.xml><?xml version="1.0" encoding="utf-8"?>
<formControlPr xmlns="http://schemas.microsoft.com/office/spreadsheetml/2009/9/main" objectType="Drop" dropLines="4" dropStyle="combo" dx="20" fmlaLink="$Q$84" fmlaRange="$P$148:$P$151" noThreeD="1" sel="1" val="0"/>
</file>

<file path=xl/ctrlProps/ctrlProp253.xml><?xml version="1.0" encoding="utf-8"?>
<formControlPr xmlns="http://schemas.microsoft.com/office/spreadsheetml/2009/9/main" objectType="Drop" dropLines="4" dropStyle="combo" dx="20" fmlaLink="$Q$84" fmlaRange="$P$148:$P$151" noThreeD="1" sel="1" val="0"/>
</file>

<file path=xl/ctrlProps/ctrlProp254.xml><?xml version="1.0" encoding="utf-8"?>
<formControlPr xmlns="http://schemas.microsoft.com/office/spreadsheetml/2009/9/main" objectType="Drop" dropLines="4" dropStyle="combo" dx="20" fmlaLink="$Q$84" fmlaRange="$P$148:$P$151" noThreeD="1" sel="1" val="0"/>
</file>

<file path=xl/ctrlProps/ctrlProp255.xml><?xml version="1.0" encoding="utf-8"?>
<formControlPr xmlns="http://schemas.microsoft.com/office/spreadsheetml/2009/9/main" objectType="Drop" dropLines="4" dropStyle="combo" dx="20" fmlaLink="$Q$84" fmlaRange="$P$148:$P$151" noThreeD="1" sel="1" val="0"/>
</file>

<file path=xl/ctrlProps/ctrlProp256.xml><?xml version="1.0" encoding="utf-8"?>
<formControlPr xmlns="http://schemas.microsoft.com/office/spreadsheetml/2009/9/main" objectType="Drop" dropLines="4" dropStyle="combo" dx="20" fmlaLink="$Q$84" fmlaRange="$P$148:$P$151" noThreeD="1" sel="1" val="0"/>
</file>

<file path=xl/ctrlProps/ctrlProp257.xml><?xml version="1.0" encoding="utf-8"?>
<formControlPr xmlns="http://schemas.microsoft.com/office/spreadsheetml/2009/9/main" objectType="Drop" dropLines="5" dropStyle="combo" dx="20" fmlaLink="$Q$84" fmlaRange="$P$148:$P$151" noThreeD="1" sel="1" val="0"/>
</file>

<file path=xl/ctrlProps/ctrlProp258.xml><?xml version="1.0" encoding="utf-8"?>
<formControlPr xmlns="http://schemas.microsoft.com/office/spreadsheetml/2009/9/main" objectType="Drop" dropLines="2" dropStyle="combo" dx="20" fmlaLink="$G$83" fmlaRange="$M$118:$M$119"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6</xdr:col>
      <xdr:colOff>255200</xdr:colOff>
      <xdr:row>7</xdr:row>
      <xdr:rowOff>322283</xdr:rowOff>
    </xdr:from>
    <xdr:to>
      <xdr:col>12</xdr:col>
      <xdr:colOff>281748</xdr:colOff>
      <xdr:row>7</xdr:row>
      <xdr:rowOff>2815732</xdr:rowOff>
    </xdr:to>
    <xdr:pic>
      <xdr:nvPicPr>
        <xdr:cNvPr id="2" name="그림 1"/>
        <xdr:cNvPicPr>
          <a:picLocks noChangeAspect="1"/>
        </xdr:cNvPicPr>
      </xdr:nvPicPr>
      <xdr:blipFill>
        <a:blip xmlns:r="http://schemas.openxmlformats.org/officeDocument/2006/relationships" r:embed="rId1"/>
        <a:stretch>
          <a:fillRect/>
        </a:stretch>
      </xdr:blipFill>
      <xdr:spPr>
        <a:xfrm>
          <a:off x="7389425" y="1674833"/>
          <a:ext cx="7119952" cy="2503840"/>
        </a:xfrm>
        <a:prstGeom prst="rect">
          <a:avLst/>
        </a:prstGeom>
      </xdr:spPr>
    </xdr:pic>
    <xdr:clientData/>
  </xdr:twoCellAnchor>
  <xdr:twoCellAnchor editAs="oneCell">
    <xdr:from>
      <xdr:col>18</xdr:col>
      <xdr:colOff>599380</xdr:colOff>
      <xdr:row>17</xdr:row>
      <xdr:rowOff>78732</xdr:rowOff>
    </xdr:from>
    <xdr:to>
      <xdr:col>19</xdr:col>
      <xdr:colOff>5007428</xdr:colOff>
      <xdr:row>42</xdr:row>
      <xdr:rowOff>92106</xdr:rowOff>
    </xdr:to>
    <xdr:pic>
      <xdr:nvPicPr>
        <xdr:cNvPr id="3" name="그림 2"/>
        <xdr:cNvPicPr>
          <a:picLocks noChangeAspect="1"/>
        </xdr:cNvPicPr>
      </xdr:nvPicPr>
      <xdr:blipFill>
        <a:blip xmlns:r="http://schemas.openxmlformats.org/officeDocument/2006/relationships" r:embed="rId2"/>
        <a:stretch>
          <a:fillRect/>
        </a:stretch>
      </xdr:blipFill>
      <xdr:spPr>
        <a:xfrm>
          <a:off x="19077880" y="6136632"/>
          <a:ext cx="5229920" cy="4528224"/>
        </a:xfrm>
        <a:prstGeom prst="rect">
          <a:avLst/>
        </a:prstGeom>
      </xdr:spPr>
    </xdr:pic>
    <xdr:clientData/>
  </xdr:twoCellAnchor>
  <xdr:twoCellAnchor editAs="oneCell">
    <xdr:from>
      <xdr:col>18</xdr:col>
      <xdr:colOff>599380</xdr:colOff>
      <xdr:row>43</xdr:row>
      <xdr:rowOff>106990</xdr:rowOff>
    </xdr:from>
    <xdr:to>
      <xdr:col>19</xdr:col>
      <xdr:colOff>5007428</xdr:colOff>
      <xdr:row>57</xdr:row>
      <xdr:rowOff>822</xdr:rowOff>
    </xdr:to>
    <xdr:pic>
      <xdr:nvPicPr>
        <xdr:cNvPr id="4" name="그림 3"/>
        <xdr:cNvPicPr>
          <a:picLocks noChangeAspect="1"/>
        </xdr:cNvPicPr>
      </xdr:nvPicPr>
      <xdr:blipFill>
        <a:blip xmlns:r="http://schemas.openxmlformats.org/officeDocument/2006/relationships" r:embed="rId3"/>
        <a:stretch>
          <a:fillRect/>
        </a:stretch>
      </xdr:blipFill>
      <xdr:spPr>
        <a:xfrm>
          <a:off x="19077880" y="10889290"/>
          <a:ext cx="5229920" cy="2408432"/>
        </a:xfrm>
        <a:prstGeom prst="rect">
          <a:avLst/>
        </a:prstGeom>
      </xdr:spPr>
    </xdr:pic>
    <xdr:clientData/>
  </xdr:twoCellAnchor>
  <xdr:twoCellAnchor editAs="oneCell">
    <xdr:from>
      <xdr:col>8</xdr:col>
      <xdr:colOff>240583</xdr:colOff>
      <xdr:row>16</xdr:row>
      <xdr:rowOff>74520</xdr:rowOff>
    </xdr:from>
    <xdr:to>
      <xdr:col>16</xdr:col>
      <xdr:colOff>298743</xdr:colOff>
      <xdr:row>35</xdr:row>
      <xdr:rowOff>154082</xdr:rowOff>
    </xdr:to>
    <xdr:pic>
      <xdr:nvPicPr>
        <xdr:cNvPr id="5" name="그림 4"/>
        <xdr:cNvPicPr>
          <a:picLocks noChangeAspect="1"/>
        </xdr:cNvPicPr>
      </xdr:nvPicPr>
      <xdr:blipFill>
        <a:blip xmlns:r="http://schemas.openxmlformats.org/officeDocument/2006/relationships" r:embed="rId4"/>
        <a:stretch>
          <a:fillRect/>
        </a:stretch>
      </xdr:blipFill>
      <xdr:spPr>
        <a:xfrm>
          <a:off x="10908583" y="5960970"/>
          <a:ext cx="6910717" cy="3337112"/>
        </a:xfrm>
        <a:prstGeom prst="rect">
          <a:avLst/>
        </a:prstGeom>
      </xdr:spPr>
    </xdr:pic>
    <xdr:clientData/>
  </xdr:twoCellAnchor>
  <xdr:twoCellAnchor editAs="oneCell">
    <xdr:from>
      <xdr:col>8</xdr:col>
      <xdr:colOff>571500</xdr:colOff>
      <xdr:row>51</xdr:row>
      <xdr:rowOff>44823</xdr:rowOff>
    </xdr:from>
    <xdr:to>
      <xdr:col>17</xdr:col>
      <xdr:colOff>201831</xdr:colOff>
      <xdr:row>64</xdr:row>
      <xdr:rowOff>14438</xdr:rowOff>
    </xdr:to>
    <xdr:pic>
      <xdr:nvPicPr>
        <xdr:cNvPr id="6" name="그림 5"/>
        <xdr:cNvPicPr>
          <a:picLocks noChangeAspect="1"/>
        </xdr:cNvPicPr>
      </xdr:nvPicPr>
      <xdr:blipFill>
        <a:blip xmlns:r="http://schemas.openxmlformats.org/officeDocument/2006/relationships" r:embed="rId5"/>
        <a:stretch>
          <a:fillRect/>
        </a:stretch>
      </xdr:blipFill>
      <xdr:spPr>
        <a:xfrm>
          <a:off x="11239500" y="12313023"/>
          <a:ext cx="7220396" cy="3093816"/>
        </a:xfrm>
        <a:prstGeom prst="rect">
          <a:avLst/>
        </a:prstGeom>
      </xdr:spPr>
    </xdr:pic>
    <xdr:clientData/>
  </xdr:twoCellAnchor>
  <xdr:twoCellAnchor editAs="oneCell">
    <xdr:from>
      <xdr:col>8</xdr:col>
      <xdr:colOff>627530</xdr:colOff>
      <xdr:row>51</xdr:row>
      <xdr:rowOff>44824</xdr:rowOff>
    </xdr:from>
    <xdr:to>
      <xdr:col>17</xdr:col>
      <xdr:colOff>149438</xdr:colOff>
      <xdr:row>69</xdr:row>
      <xdr:rowOff>87462</xdr:rowOff>
    </xdr:to>
    <xdr:pic>
      <xdr:nvPicPr>
        <xdr:cNvPr id="7" name="그림 6"/>
        <xdr:cNvPicPr>
          <a:picLocks noChangeAspect="1"/>
        </xdr:cNvPicPr>
      </xdr:nvPicPr>
      <xdr:blipFill>
        <a:blip xmlns:r="http://schemas.openxmlformats.org/officeDocument/2006/relationships" r:embed="rId6"/>
        <a:stretch>
          <a:fillRect/>
        </a:stretch>
      </xdr:blipFill>
      <xdr:spPr>
        <a:xfrm>
          <a:off x="11295530" y="12313024"/>
          <a:ext cx="7111973" cy="42145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64634</xdr:colOff>
      <xdr:row>9</xdr:row>
      <xdr:rowOff>93548</xdr:rowOff>
    </xdr:from>
    <xdr:to>
      <xdr:col>14</xdr:col>
      <xdr:colOff>450737</xdr:colOff>
      <xdr:row>18</xdr:row>
      <xdr:rowOff>295953</xdr:rowOff>
    </xdr:to>
    <xdr:pic>
      <xdr:nvPicPr>
        <xdr:cNvPr id="2" name="그림 1"/>
        <xdr:cNvPicPr>
          <a:picLocks noChangeAspect="1"/>
        </xdr:cNvPicPr>
      </xdr:nvPicPr>
      <xdr:blipFill>
        <a:blip xmlns:r="http://schemas.openxmlformats.org/officeDocument/2006/relationships" r:embed="rId1"/>
        <a:stretch>
          <a:fillRect/>
        </a:stretch>
      </xdr:blipFill>
      <xdr:spPr>
        <a:xfrm>
          <a:off x="11627984" y="2103323"/>
          <a:ext cx="6558303" cy="2374105"/>
        </a:xfrm>
        <a:prstGeom prst="rect">
          <a:avLst/>
        </a:prstGeom>
      </xdr:spPr>
    </xdr:pic>
    <xdr:clientData/>
  </xdr:twoCellAnchor>
  <xdr:twoCellAnchor editAs="oneCell">
    <xdr:from>
      <xdr:col>15</xdr:col>
      <xdr:colOff>657089</xdr:colOff>
      <xdr:row>9</xdr:row>
      <xdr:rowOff>73269</xdr:rowOff>
    </xdr:from>
    <xdr:to>
      <xdr:col>21</xdr:col>
      <xdr:colOff>663496</xdr:colOff>
      <xdr:row>35</xdr:row>
      <xdr:rowOff>16071</xdr:rowOff>
    </xdr:to>
    <xdr:pic>
      <xdr:nvPicPr>
        <xdr:cNvPr id="3" name="그림 2"/>
        <xdr:cNvPicPr>
          <a:picLocks noChangeAspect="1"/>
        </xdr:cNvPicPr>
      </xdr:nvPicPr>
      <xdr:blipFill>
        <a:blip xmlns:r="http://schemas.openxmlformats.org/officeDocument/2006/relationships" r:embed="rId2"/>
        <a:stretch>
          <a:fillRect/>
        </a:stretch>
      </xdr:blipFill>
      <xdr:spPr>
        <a:xfrm>
          <a:off x="19316564" y="2083044"/>
          <a:ext cx="7654982" cy="6591252"/>
        </a:xfrm>
        <a:prstGeom prst="rect">
          <a:avLst/>
        </a:prstGeom>
      </xdr:spPr>
    </xdr:pic>
    <xdr:clientData/>
  </xdr:twoCellAnchor>
  <xdr:twoCellAnchor editAs="oneCell">
    <xdr:from>
      <xdr:col>15</xdr:col>
      <xdr:colOff>657092</xdr:colOff>
      <xdr:row>35</xdr:row>
      <xdr:rowOff>4034</xdr:rowOff>
    </xdr:from>
    <xdr:to>
      <xdr:col>21</xdr:col>
      <xdr:colOff>663499</xdr:colOff>
      <xdr:row>49</xdr:row>
      <xdr:rowOff>143536</xdr:rowOff>
    </xdr:to>
    <xdr:pic>
      <xdr:nvPicPr>
        <xdr:cNvPr id="4" name="그림 3"/>
        <xdr:cNvPicPr>
          <a:picLocks noChangeAspect="1"/>
        </xdr:cNvPicPr>
      </xdr:nvPicPr>
      <xdr:blipFill>
        <a:blip xmlns:r="http://schemas.openxmlformats.org/officeDocument/2006/relationships" r:embed="rId3"/>
        <a:stretch>
          <a:fillRect/>
        </a:stretch>
      </xdr:blipFill>
      <xdr:spPr>
        <a:xfrm>
          <a:off x="19316567" y="8662259"/>
          <a:ext cx="7654982" cy="3530402"/>
        </a:xfrm>
        <a:prstGeom prst="rect">
          <a:avLst/>
        </a:prstGeom>
      </xdr:spPr>
    </xdr:pic>
    <xdr:clientData/>
  </xdr:twoCellAnchor>
  <xdr:twoCellAnchor editAs="oneCell">
    <xdr:from>
      <xdr:col>4</xdr:col>
      <xdr:colOff>59531</xdr:colOff>
      <xdr:row>39</xdr:row>
      <xdr:rowOff>95249</xdr:rowOff>
    </xdr:from>
    <xdr:to>
      <xdr:col>4</xdr:col>
      <xdr:colOff>2179623</xdr:colOff>
      <xdr:row>47</xdr:row>
      <xdr:rowOff>95249</xdr:rowOff>
    </xdr:to>
    <xdr:pic>
      <xdr:nvPicPr>
        <xdr:cNvPr id="5" name="그림 4"/>
        <xdr:cNvPicPr>
          <a:picLocks noChangeAspect="1"/>
        </xdr:cNvPicPr>
      </xdr:nvPicPr>
      <xdr:blipFill>
        <a:blip xmlns:r="http://schemas.openxmlformats.org/officeDocument/2006/relationships" r:embed="rId4"/>
        <a:stretch>
          <a:fillRect/>
        </a:stretch>
      </xdr:blipFill>
      <xdr:spPr>
        <a:xfrm>
          <a:off x="5488781" y="9629774"/>
          <a:ext cx="2120092" cy="2085975"/>
        </a:xfrm>
        <a:prstGeom prst="rect">
          <a:avLst/>
        </a:prstGeom>
      </xdr:spPr>
    </xdr:pic>
    <xdr:clientData/>
  </xdr:twoCellAnchor>
  <xdr:twoCellAnchor editAs="oneCell">
    <xdr:from>
      <xdr:col>1</xdr:col>
      <xdr:colOff>149679</xdr:colOff>
      <xdr:row>82</xdr:row>
      <xdr:rowOff>0</xdr:rowOff>
    </xdr:from>
    <xdr:to>
      <xdr:col>6</xdr:col>
      <xdr:colOff>1217797</xdr:colOff>
      <xdr:row>91</xdr:row>
      <xdr:rowOff>163286</xdr:rowOff>
    </xdr:to>
    <xdr:pic>
      <xdr:nvPicPr>
        <xdr:cNvPr id="6" name="그림 5"/>
        <xdr:cNvPicPr>
          <a:picLocks noChangeAspect="1"/>
        </xdr:cNvPicPr>
      </xdr:nvPicPr>
      <xdr:blipFill>
        <a:blip xmlns:r="http://schemas.openxmlformats.org/officeDocument/2006/relationships" r:embed="rId5"/>
        <a:stretch>
          <a:fillRect/>
        </a:stretch>
      </xdr:blipFill>
      <xdr:spPr>
        <a:xfrm>
          <a:off x="835479" y="19183350"/>
          <a:ext cx="9307243" cy="2049236"/>
        </a:xfrm>
        <a:prstGeom prst="rect">
          <a:avLst/>
        </a:prstGeom>
      </xdr:spPr>
    </xdr:pic>
    <xdr:clientData/>
  </xdr:twoCellAnchor>
  <xdr:twoCellAnchor editAs="oneCell">
    <xdr:from>
      <xdr:col>1</xdr:col>
      <xdr:colOff>0</xdr:colOff>
      <xdr:row>93</xdr:row>
      <xdr:rowOff>0</xdr:rowOff>
    </xdr:from>
    <xdr:to>
      <xdr:col>6</xdr:col>
      <xdr:colOff>782642</xdr:colOff>
      <xdr:row>121</xdr:row>
      <xdr:rowOff>151667</xdr:rowOff>
    </xdr:to>
    <xdr:pic>
      <xdr:nvPicPr>
        <xdr:cNvPr id="7" name="그림 6"/>
        <xdr:cNvPicPr>
          <a:picLocks noChangeAspect="1"/>
        </xdr:cNvPicPr>
      </xdr:nvPicPr>
      <xdr:blipFill>
        <a:blip xmlns:r="http://schemas.openxmlformats.org/officeDocument/2006/relationships" r:embed="rId6"/>
        <a:stretch>
          <a:fillRect/>
        </a:stretch>
      </xdr:blipFill>
      <xdr:spPr>
        <a:xfrm>
          <a:off x="685800" y="21488400"/>
          <a:ext cx="9021767" cy="6019067"/>
        </a:xfrm>
        <a:prstGeom prst="rect">
          <a:avLst/>
        </a:prstGeom>
      </xdr:spPr>
    </xdr:pic>
    <xdr:clientData/>
  </xdr:twoCellAnchor>
  <xdr:twoCellAnchor editAs="oneCell">
    <xdr:from>
      <xdr:col>1</xdr:col>
      <xdr:colOff>0</xdr:colOff>
      <xdr:row>123</xdr:row>
      <xdr:rowOff>0</xdr:rowOff>
    </xdr:from>
    <xdr:to>
      <xdr:col>6</xdr:col>
      <xdr:colOff>763595</xdr:colOff>
      <xdr:row>152</xdr:row>
      <xdr:rowOff>147560</xdr:rowOff>
    </xdr:to>
    <xdr:pic>
      <xdr:nvPicPr>
        <xdr:cNvPr id="8" name="그림 7"/>
        <xdr:cNvPicPr>
          <a:picLocks noChangeAspect="1"/>
        </xdr:cNvPicPr>
      </xdr:nvPicPr>
      <xdr:blipFill>
        <a:blip xmlns:r="http://schemas.openxmlformats.org/officeDocument/2006/relationships" r:embed="rId7"/>
        <a:stretch>
          <a:fillRect/>
        </a:stretch>
      </xdr:blipFill>
      <xdr:spPr>
        <a:xfrm>
          <a:off x="685800" y="27774900"/>
          <a:ext cx="9002720" cy="6224510"/>
        </a:xfrm>
        <a:prstGeom prst="rect">
          <a:avLst/>
        </a:prstGeom>
      </xdr:spPr>
    </xdr:pic>
    <xdr:clientData/>
  </xdr:twoCellAnchor>
  <xdr:twoCellAnchor editAs="oneCell">
    <xdr:from>
      <xdr:col>9</xdr:col>
      <xdr:colOff>48898</xdr:colOff>
      <xdr:row>9</xdr:row>
      <xdr:rowOff>47880</xdr:rowOff>
    </xdr:from>
    <xdr:to>
      <xdr:col>15</xdr:col>
      <xdr:colOff>325983</xdr:colOff>
      <xdr:row>19</xdr:row>
      <xdr:rowOff>165955</xdr:rowOff>
    </xdr:to>
    <xdr:pic>
      <xdr:nvPicPr>
        <xdr:cNvPr id="9" name="그림 8"/>
        <xdr:cNvPicPr>
          <a:picLocks noChangeAspect="1"/>
        </xdr:cNvPicPr>
      </xdr:nvPicPr>
      <xdr:blipFill>
        <a:blip xmlns:r="http://schemas.openxmlformats.org/officeDocument/2006/relationships" r:embed="rId8"/>
        <a:stretch>
          <a:fillRect/>
        </a:stretch>
      </xdr:blipFill>
      <xdr:spPr>
        <a:xfrm>
          <a:off x="11613369" y="2087351"/>
          <a:ext cx="7381614" cy="32333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13608</xdr:colOff>
      <xdr:row>22</xdr:row>
      <xdr:rowOff>221369</xdr:rowOff>
    </xdr:from>
    <xdr:to>
      <xdr:col>18</xdr:col>
      <xdr:colOff>734787</xdr:colOff>
      <xdr:row>33</xdr:row>
      <xdr:rowOff>70322</xdr:rowOff>
    </xdr:to>
    <xdr:pic>
      <xdr:nvPicPr>
        <xdr:cNvPr id="8" name="그림 7"/>
        <xdr:cNvPicPr>
          <a:picLocks noChangeAspect="1"/>
        </xdr:cNvPicPr>
      </xdr:nvPicPr>
      <xdr:blipFill>
        <a:blip xmlns:r="http://schemas.openxmlformats.org/officeDocument/2006/relationships" r:embed="rId1"/>
        <a:stretch>
          <a:fillRect/>
        </a:stretch>
      </xdr:blipFill>
      <xdr:spPr>
        <a:xfrm>
          <a:off x="18043072" y="6208512"/>
          <a:ext cx="5361215" cy="2842524"/>
        </a:xfrm>
        <a:prstGeom prst="rect">
          <a:avLst/>
        </a:prstGeom>
      </xdr:spPr>
    </xdr:pic>
    <xdr:clientData/>
  </xdr:twoCellAnchor>
  <xdr:twoCellAnchor editAs="oneCell">
    <xdr:from>
      <xdr:col>35</xdr:col>
      <xdr:colOff>54429</xdr:colOff>
      <xdr:row>3</xdr:row>
      <xdr:rowOff>68035</xdr:rowOff>
    </xdr:from>
    <xdr:to>
      <xdr:col>41</xdr:col>
      <xdr:colOff>19051</xdr:colOff>
      <xdr:row>27</xdr:row>
      <xdr:rowOff>203422</xdr:rowOff>
    </xdr:to>
    <xdr:pic>
      <xdr:nvPicPr>
        <xdr:cNvPr id="2" name="그림 1"/>
        <xdr:cNvPicPr>
          <a:picLocks noChangeAspect="1"/>
        </xdr:cNvPicPr>
      </xdr:nvPicPr>
      <xdr:blipFill>
        <a:blip xmlns:r="http://schemas.openxmlformats.org/officeDocument/2006/relationships" r:embed="rId2"/>
        <a:stretch>
          <a:fillRect/>
        </a:stretch>
      </xdr:blipFill>
      <xdr:spPr>
        <a:xfrm>
          <a:off x="38706879" y="868135"/>
          <a:ext cx="4079422" cy="6536187"/>
        </a:xfrm>
        <a:prstGeom prst="rect">
          <a:avLst/>
        </a:prstGeom>
      </xdr:spPr>
    </xdr:pic>
    <xdr:clientData/>
  </xdr:twoCellAnchor>
  <xdr:twoCellAnchor editAs="oneCell">
    <xdr:from>
      <xdr:col>14</xdr:col>
      <xdr:colOff>6403</xdr:colOff>
      <xdr:row>22</xdr:row>
      <xdr:rowOff>235473</xdr:rowOff>
    </xdr:from>
    <xdr:to>
      <xdr:col>19</xdr:col>
      <xdr:colOff>40821</xdr:colOff>
      <xdr:row>34</xdr:row>
      <xdr:rowOff>56848</xdr:rowOff>
    </xdr:to>
    <xdr:pic>
      <xdr:nvPicPr>
        <xdr:cNvPr id="3" name="그림 2"/>
        <xdr:cNvPicPr>
          <a:picLocks noChangeAspect="1"/>
        </xdr:cNvPicPr>
      </xdr:nvPicPr>
      <xdr:blipFill>
        <a:blip xmlns:r="http://schemas.openxmlformats.org/officeDocument/2006/relationships" r:embed="rId3"/>
        <a:stretch>
          <a:fillRect/>
        </a:stretch>
      </xdr:blipFill>
      <xdr:spPr>
        <a:xfrm>
          <a:off x="18035867" y="6222616"/>
          <a:ext cx="5831061" cy="3087089"/>
        </a:xfrm>
        <a:prstGeom prst="rect">
          <a:avLst/>
        </a:prstGeom>
      </xdr:spPr>
    </xdr:pic>
    <xdr:clientData/>
  </xdr:twoCellAnchor>
  <xdr:twoCellAnchor editAs="oneCell">
    <xdr:from>
      <xdr:col>14</xdr:col>
      <xdr:colOff>149619</xdr:colOff>
      <xdr:row>34</xdr:row>
      <xdr:rowOff>176893</xdr:rowOff>
    </xdr:from>
    <xdr:to>
      <xdr:col>19</xdr:col>
      <xdr:colOff>18974</xdr:colOff>
      <xdr:row>40</xdr:row>
      <xdr:rowOff>61033</xdr:rowOff>
    </xdr:to>
    <xdr:pic>
      <xdr:nvPicPr>
        <xdr:cNvPr id="4" name="그림 3"/>
        <xdr:cNvPicPr>
          <a:picLocks noChangeAspect="1"/>
        </xdr:cNvPicPr>
      </xdr:nvPicPr>
      <xdr:blipFill>
        <a:blip xmlns:r="http://schemas.openxmlformats.org/officeDocument/2006/relationships" r:embed="rId4"/>
        <a:stretch>
          <a:fillRect/>
        </a:stretch>
      </xdr:blipFill>
      <xdr:spPr>
        <a:xfrm>
          <a:off x="17951844" y="9244693"/>
          <a:ext cx="5651030" cy="1484340"/>
        </a:xfrm>
        <a:prstGeom prst="rect">
          <a:avLst/>
        </a:prstGeom>
      </xdr:spPr>
    </xdr:pic>
    <xdr:clientData/>
  </xdr:twoCellAnchor>
  <xdr:twoCellAnchor editAs="oneCell">
    <xdr:from>
      <xdr:col>14</xdr:col>
      <xdr:colOff>178494</xdr:colOff>
      <xdr:row>34</xdr:row>
      <xdr:rowOff>210263</xdr:rowOff>
    </xdr:from>
    <xdr:to>
      <xdr:col>18</xdr:col>
      <xdr:colOff>1093844</xdr:colOff>
      <xdr:row>39</xdr:row>
      <xdr:rowOff>123265</xdr:rowOff>
    </xdr:to>
    <xdr:pic>
      <xdr:nvPicPr>
        <xdr:cNvPr id="5" name="그림 4"/>
        <xdr:cNvPicPr>
          <a:picLocks noChangeAspect="1"/>
        </xdr:cNvPicPr>
      </xdr:nvPicPr>
      <xdr:blipFill>
        <a:blip xmlns:r="http://schemas.openxmlformats.org/officeDocument/2006/relationships" r:embed="rId5"/>
        <a:stretch>
          <a:fillRect/>
        </a:stretch>
      </xdr:blipFill>
      <xdr:spPr>
        <a:xfrm>
          <a:off x="18107906" y="9354263"/>
          <a:ext cx="5554585" cy="1257708"/>
        </a:xfrm>
        <a:prstGeom prst="rect">
          <a:avLst/>
        </a:prstGeom>
      </xdr:spPr>
    </xdr:pic>
    <xdr:clientData/>
  </xdr:twoCellAnchor>
  <xdr:twoCellAnchor editAs="oneCell">
    <xdr:from>
      <xdr:col>17</xdr:col>
      <xdr:colOff>17317</xdr:colOff>
      <xdr:row>87</xdr:row>
      <xdr:rowOff>86591</xdr:rowOff>
    </xdr:from>
    <xdr:to>
      <xdr:col>23</xdr:col>
      <xdr:colOff>1110501</xdr:colOff>
      <xdr:row>103</xdr:row>
      <xdr:rowOff>190498</xdr:rowOff>
    </xdr:to>
    <xdr:pic>
      <xdr:nvPicPr>
        <xdr:cNvPr id="6" name="그림 5"/>
        <xdr:cNvPicPr>
          <a:picLocks noChangeAspect="1"/>
        </xdr:cNvPicPr>
      </xdr:nvPicPr>
      <xdr:blipFill>
        <a:blip xmlns:r="http://schemas.openxmlformats.org/officeDocument/2006/relationships" r:embed="rId6"/>
        <a:stretch>
          <a:fillRect/>
        </a:stretch>
      </xdr:blipFill>
      <xdr:spPr>
        <a:xfrm>
          <a:off x="21229492" y="23289491"/>
          <a:ext cx="8075009" cy="4371108"/>
        </a:xfrm>
        <a:prstGeom prst="rect">
          <a:avLst/>
        </a:prstGeom>
      </xdr:spPr>
    </xdr:pic>
    <xdr:clientData/>
  </xdr:twoCellAnchor>
  <xdr:twoCellAnchor editAs="oneCell">
    <xdr:from>
      <xdr:col>17</xdr:col>
      <xdr:colOff>40821</xdr:colOff>
      <xdr:row>104</xdr:row>
      <xdr:rowOff>27214</xdr:rowOff>
    </xdr:from>
    <xdr:to>
      <xdr:col>23</xdr:col>
      <xdr:colOff>804571</xdr:colOff>
      <xdr:row>142</xdr:row>
      <xdr:rowOff>4466</xdr:rowOff>
    </xdr:to>
    <xdr:pic>
      <xdr:nvPicPr>
        <xdr:cNvPr id="7" name="그림 6"/>
        <xdr:cNvPicPr>
          <a:picLocks noChangeAspect="1"/>
        </xdr:cNvPicPr>
      </xdr:nvPicPr>
      <xdr:blipFill>
        <a:blip xmlns:r="http://schemas.openxmlformats.org/officeDocument/2006/relationships" r:embed="rId7"/>
        <a:stretch>
          <a:fillRect/>
        </a:stretch>
      </xdr:blipFill>
      <xdr:spPr>
        <a:xfrm>
          <a:off x="21252996" y="27764014"/>
          <a:ext cx="7745575" cy="7663927"/>
        </a:xfrm>
        <a:prstGeom prst="rect">
          <a:avLst/>
        </a:prstGeom>
      </xdr:spPr>
    </xdr:pic>
    <xdr:clientData/>
  </xdr:twoCellAnchor>
  <xdr:twoCellAnchor editAs="oneCell">
    <xdr:from>
      <xdr:col>14</xdr:col>
      <xdr:colOff>156881</xdr:colOff>
      <xdr:row>34</xdr:row>
      <xdr:rowOff>179294</xdr:rowOff>
    </xdr:from>
    <xdr:to>
      <xdr:col>19</xdr:col>
      <xdr:colOff>809279</xdr:colOff>
      <xdr:row>40</xdr:row>
      <xdr:rowOff>67235</xdr:rowOff>
    </xdr:to>
    <xdr:pic>
      <xdr:nvPicPr>
        <xdr:cNvPr id="10" name="그림 9"/>
        <xdr:cNvPicPr>
          <a:picLocks noChangeAspect="1"/>
        </xdr:cNvPicPr>
      </xdr:nvPicPr>
      <xdr:blipFill>
        <a:blip xmlns:r="http://schemas.openxmlformats.org/officeDocument/2006/relationships" r:embed="rId8"/>
        <a:stretch>
          <a:fillRect/>
        </a:stretch>
      </xdr:blipFill>
      <xdr:spPr>
        <a:xfrm>
          <a:off x="18086293" y="9323294"/>
          <a:ext cx="6445839" cy="1501588"/>
        </a:xfrm>
        <a:prstGeom prst="rect">
          <a:avLst/>
        </a:prstGeom>
      </xdr:spPr>
    </xdr:pic>
    <xdr:clientData/>
  </xdr:twoCellAnchor>
  <xdr:twoCellAnchor editAs="oneCell">
    <xdr:from>
      <xdr:col>13</xdr:col>
      <xdr:colOff>1043749</xdr:colOff>
      <xdr:row>22</xdr:row>
      <xdr:rowOff>248563</xdr:rowOff>
    </xdr:from>
    <xdr:to>
      <xdr:col>19</xdr:col>
      <xdr:colOff>54430</xdr:colOff>
      <xdr:row>34</xdr:row>
      <xdr:rowOff>138473</xdr:rowOff>
    </xdr:to>
    <xdr:pic>
      <xdr:nvPicPr>
        <xdr:cNvPr id="11" name="그림 10"/>
        <xdr:cNvPicPr>
          <a:picLocks noChangeAspect="1"/>
        </xdr:cNvPicPr>
      </xdr:nvPicPr>
      <xdr:blipFill>
        <a:blip xmlns:r="http://schemas.openxmlformats.org/officeDocument/2006/relationships" r:embed="rId9"/>
        <a:stretch>
          <a:fillRect/>
        </a:stretch>
      </xdr:blipFill>
      <xdr:spPr>
        <a:xfrm>
          <a:off x="17971035" y="6235706"/>
          <a:ext cx="5909502" cy="3155624"/>
        </a:xfrm>
        <a:prstGeom prst="rect">
          <a:avLst/>
        </a:prstGeom>
      </xdr:spPr>
    </xdr:pic>
    <xdr:clientData/>
  </xdr:twoCellAnchor>
  <xdr:twoCellAnchor editAs="oneCell">
    <xdr:from>
      <xdr:col>7</xdr:col>
      <xdr:colOff>1088571</xdr:colOff>
      <xdr:row>111</xdr:row>
      <xdr:rowOff>27214</xdr:rowOff>
    </xdr:from>
    <xdr:to>
      <xdr:col>16</xdr:col>
      <xdr:colOff>259964</xdr:colOff>
      <xdr:row>132</xdr:row>
      <xdr:rowOff>139737</xdr:rowOff>
    </xdr:to>
    <xdr:pic>
      <xdr:nvPicPr>
        <xdr:cNvPr id="9" name="그림 8"/>
        <xdr:cNvPicPr>
          <a:picLocks noChangeAspect="1"/>
        </xdr:cNvPicPr>
      </xdr:nvPicPr>
      <xdr:blipFill>
        <a:blip xmlns:r="http://schemas.openxmlformats.org/officeDocument/2006/relationships" r:embed="rId10"/>
        <a:stretch>
          <a:fillRect/>
        </a:stretch>
      </xdr:blipFill>
      <xdr:spPr>
        <a:xfrm>
          <a:off x="10205357" y="30697714"/>
          <a:ext cx="10342857" cy="3323809"/>
        </a:xfrm>
        <a:prstGeom prst="rect">
          <a:avLst/>
        </a:prstGeom>
      </xdr:spPr>
    </xdr:pic>
    <xdr:clientData/>
  </xdr:twoCellAnchor>
  <xdr:twoCellAnchor editAs="oneCell">
    <xdr:from>
      <xdr:col>8</xdr:col>
      <xdr:colOff>244929</xdr:colOff>
      <xdr:row>23</xdr:row>
      <xdr:rowOff>169952</xdr:rowOff>
    </xdr:from>
    <xdr:to>
      <xdr:col>12</xdr:col>
      <xdr:colOff>1074965</xdr:colOff>
      <xdr:row>35</xdr:row>
      <xdr:rowOff>263367</xdr:rowOff>
    </xdr:to>
    <xdr:pic>
      <xdr:nvPicPr>
        <xdr:cNvPr id="12" name="그림 11"/>
        <xdr:cNvPicPr>
          <a:picLocks noChangeAspect="1"/>
        </xdr:cNvPicPr>
      </xdr:nvPicPr>
      <xdr:blipFill>
        <a:blip xmlns:r="http://schemas.openxmlformats.org/officeDocument/2006/relationships" r:embed="rId11"/>
        <a:stretch>
          <a:fillRect/>
        </a:stretch>
      </xdr:blipFill>
      <xdr:spPr>
        <a:xfrm>
          <a:off x="10545536" y="6429238"/>
          <a:ext cx="6259286" cy="33591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89645</xdr:colOff>
      <xdr:row>184</xdr:row>
      <xdr:rowOff>44824</xdr:rowOff>
    </xdr:from>
    <xdr:to>
      <xdr:col>29</xdr:col>
      <xdr:colOff>221568</xdr:colOff>
      <xdr:row>215</xdr:row>
      <xdr:rowOff>61510</xdr:rowOff>
    </xdr:to>
    <xdr:pic>
      <xdr:nvPicPr>
        <xdr:cNvPr id="2" name="그림 1"/>
        <xdr:cNvPicPr>
          <a:picLocks noChangeAspect="1"/>
        </xdr:cNvPicPr>
      </xdr:nvPicPr>
      <xdr:blipFill>
        <a:blip xmlns:r="http://schemas.openxmlformats.org/officeDocument/2006/relationships" r:embed="rId1"/>
        <a:stretch>
          <a:fillRect/>
        </a:stretch>
      </xdr:blipFill>
      <xdr:spPr>
        <a:xfrm>
          <a:off x="10029263" y="22131618"/>
          <a:ext cx="5958981" cy="53843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5" name="Drop Down 1" hidden="1">
              <a:extLst>
                <a:ext uri="{63B3BB69-23CF-44E3-9099-C40C66FF867C}">
                  <a14:compatExt spid="_x0000_s2662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6" name="Drop Down 2" hidden="1">
              <a:extLst>
                <a:ext uri="{63B3BB69-23CF-44E3-9099-C40C66FF867C}">
                  <a14:compatExt spid="_x0000_s2662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7" name="Drop Down 3" hidden="1">
              <a:extLst>
                <a:ext uri="{63B3BB69-23CF-44E3-9099-C40C66FF867C}">
                  <a14:compatExt spid="_x0000_s2662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8" name="Drop Down 4" hidden="1">
              <a:extLst>
                <a:ext uri="{63B3BB69-23CF-44E3-9099-C40C66FF867C}">
                  <a14:compatExt spid="_x0000_s2662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9" name="Drop Down 5" hidden="1">
              <a:extLst>
                <a:ext uri="{63B3BB69-23CF-44E3-9099-C40C66FF867C}">
                  <a14:compatExt spid="_x0000_s2662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0" name="Drop Down 6" hidden="1">
              <a:extLst>
                <a:ext uri="{63B3BB69-23CF-44E3-9099-C40C66FF867C}">
                  <a14:compatExt spid="_x0000_s2663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1" name="Drop Down 7" hidden="1">
              <a:extLst>
                <a:ext uri="{63B3BB69-23CF-44E3-9099-C40C66FF867C}">
                  <a14:compatExt spid="_x0000_s2663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2" name="Drop Down 8" hidden="1">
              <a:extLst>
                <a:ext uri="{63B3BB69-23CF-44E3-9099-C40C66FF867C}">
                  <a14:compatExt spid="_x0000_s2663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3" name="Drop Down 9" hidden="1">
              <a:extLst>
                <a:ext uri="{63B3BB69-23CF-44E3-9099-C40C66FF867C}">
                  <a14:compatExt spid="_x0000_s2663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4" name="Drop Down 10" hidden="1">
              <a:extLst>
                <a:ext uri="{63B3BB69-23CF-44E3-9099-C40C66FF867C}">
                  <a14:compatExt spid="_x0000_s2663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5" name="Drop Down 11" hidden="1">
              <a:extLst>
                <a:ext uri="{63B3BB69-23CF-44E3-9099-C40C66FF867C}">
                  <a14:compatExt spid="_x0000_s2663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6" name="Drop Down 12" hidden="1">
              <a:extLst>
                <a:ext uri="{63B3BB69-23CF-44E3-9099-C40C66FF867C}">
                  <a14:compatExt spid="_x0000_s2663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7" name="Drop Down 13" hidden="1">
              <a:extLst>
                <a:ext uri="{63B3BB69-23CF-44E3-9099-C40C66FF867C}">
                  <a14:compatExt spid="_x0000_s2663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8" name="Drop Down 14" hidden="1">
              <a:extLst>
                <a:ext uri="{63B3BB69-23CF-44E3-9099-C40C66FF867C}">
                  <a14:compatExt spid="_x0000_s2663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9" name="Drop Down 15" hidden="1">
              <a:extLst>
                <a:ext uri="{63B3BB69-23CF-44E3-9099-C40C66FF867C}">
                  <a14:compatExt spid="_x0000_s2663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0" name="Drop Down 16" hidden="1">
              <a:extLst>
                <a:ext uri="{63B3BB69-23CF-44E3-9099-C40C66FF867C}">
                  <a14:compatExt spid="_x0000_s2664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1" name="Drop Down 17" hidden="1">
              <a:extLst>
                <a:ext uri="{63B3BB69-23CF-44E3-9099-C40C66FF867C}">
                  <a14:compatExt spid="_x0000_s2664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2" name="Drop Down 18" hidden="1">
              <a:extLst>
                <a:ext uri="{63B3BB69-23CF-44E3-9099-C40C66FF867C}">
                  <a14:compatExt spid="_x0000_s2664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3" name="Drop Down 19" hidden="1">
              <a:extLst>
                <a:ext uri="{63B3BB69-23CF-44E3-9099-C40C66FF867C}">
                  <a14:compatExt spid="_x0000_s2664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4" name="Drop Down 20" hidden="1">
              <a:extLst>
                <a:ext uri="{63B3BB69-23CF-44E3-9099-C40C66FF867C}">
                  <a14:compatExt spid="_x0000_s2664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5" name="Drop Down 21" hidden="1">
              <a:extLst>
                <a:ext uri="{63B3BB69-23CF-44E3-9099-C40C66FF867C}">
                  <a14:compatExt spid="_x0000_s2664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6" name="Drop Down 22" hidden="1">
              <a:extLst>
                <a:ext uri="{63B3BB69-23CF-44E3-9099-C40C66FF867C}">
                  <a14:compatExt spid="_x0000_s2664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7" name="Drop Down 23" hidden="1">
              <a:extLst>
                <a:ext uri="{63B3BB69-23CF-44E3-9099-C40C66FF867C}">
                  <a14:compatExt spid="_x0000_s2664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8" name="Drop Down 24" hidden="1">
              <a:extLst>
                <a:ext uri="{63B3BB69-23CF-44E3-9099-C40C66FF867C}">
                  <a14:compatExt spid="_x0000_s2664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9" name="Drop Down 25" hidden="1">
              <a:extLst>
                <a:ext uri="{63B3BB69-23CF-44E3-9099-C40C66FF867C}">
                  <a14:compatExt spid="_x0000_s2664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0" name="Drop Down 26" hidden="1">
              <a:extLst>
                <a:ext uri="{63B3BB69-23CF-44E3-9099-C40C66FF867C}">
                  <a14:compatExt spid="_x0000_s2665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1" name="Drop Down 27" hidden="1">
              <a:extLst>
                <a:ext uri="{63B3BB69-23CF-44E3-9099-C40C66FF867C}">
                  <a14:compatExt spid="_x0000_s2665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2" name="Drop Down 28" hidden="1">
              <a:extLst>
                <a:ext uri="{63B3BB69-23CF-44E3-9099-C40C66FF867C}">
                  <a14:compatExt spid="_x0000_s2665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3" name="Drop Down 29" hidden="1">
              <a:extLst>
                <a:ext uri="{63B3BB69-23CF-44E3-9099-C40C66FF867C}">
                  <a14:compatExt spid="_x0000_s2665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4" name="Drop Down 30" hidden="1">
              <a:extLst>
                <a:ext uri="{63B3BB69-23CF-44E3-9099-C40C66FF867C}">
                  <a14:compatExt spid="_x0000_s2665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5" name="Drop Down 31" hidden="1">
              <a:extLst>
                <a:ext uri="{63B3BB69-23CF-44E3-9099-C40C66FF867C}">
                  <a14:compatExt spid="_x0000_s2665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6" name="Drop Down 32" hidden="1">
              <a:extLst>
                <a:ext uri="{63B3BB69-23CF-44E3-9099-C40C66FF867C}">
                  <a14:compatExt spid="_x0000_s2665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7" name="Drop Down 33" hidden="1">
              <a:extLst>
                <a:ext uri="{63B3BB69-23CF-44E3-9099-C40C66FF867C}">
                  <a14:compatExt spid="_x0000_s2665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8" name="Drop Down 34" hidden="1">
              <a:extLst>
                <a:ext uri="{63B3BB69-23CF-44E3-9099-C40C66FF867C}">
                  <a14:compatExt spid="_x0000_s2665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9" name="Drop Down 35" hidden="1">
              <a:extLst>
                <a:ext uri="{63B3BB69-23CF-44E3-9099-C40C66FF867C}">
                  <a14:compatExt spid="_x0000_s2665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0" name="Drop Down 36" hidden="1">
              <a:extLst>
                <a:ext uri="{63B3BB69-23CF-44E3-9099-C40C66FF867C}">
                  <a14:compatExt spid="_x0000_s2666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1" name="Drop Down 37" hidden="1">
              <a:extLst>
                <a:ext uri="{63B3BB69-23CF-44E3-9099-C40C66FF867C}">
                  <a14:compatExt spid="_x0000_s2666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2" name="Drop Down 38" hidden="1">
              <a:extLst>
                <a:ext uri="{63B3BB69-23CF-44E3-9099-C40C66FF867C}">
                  <a14:compatExt spid="_x0000_s2666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3" name="Drop Down 39" hidden="1">
              <a:extLst>
                <a:ext uri="{63B3BB69-23CF-44E3-9099-C40C66FF867C}">
                  <a14:compatExt spid="_x0000_s2666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4" name="Drop Down 40" hidden="1">
              <a:extLst>
                <a:ext uri="{63B3BB69-23CF-44E3-9099-C40C66FF867C}">
                  <a14:compatExt spid="_x0000_s2666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5" name="Drop Down 41" hidden="1">
              <a:extLst>
                <a:ext uri="{63B3BB69-23CF-44E3-9099-C40C66FF867C}">
                  <a14:compatExt spid="_x0000_s2666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6" name="Drop Down 42" hidden="1">
              <a:extLst>
                <a:ext uri="{63B3BB69-23CF-44E3-9099-C40C66FF867C}">
                  <a14:compatExt spid="_x0000_s2666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7" name="Drop Down 43" hidden="1">
              <a:extLst>
                <a:ext uri="{63B3BB69-23CF-44E3-9099-C40C66FF867C}">
                  <a14:compatExt spid="_x0000_s2666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8" name="Drop Down 44" hidden="1">
              <a:extLst>
                <a:ext uri="{63B3BB69-23CF-44E3-9099-C40C66FF867C}">
                  <a14:compatExt spid="_x0000_s2666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9" name="Drop Down 45" hidden="1">
              <a:extLst>
                <a:ext uri="{63B3BB69-23CF-44E3-9099-C40C66FF867C}">
                  <a14:compatExt spid="_x0000_s2666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0" name="Drop Down 46" hidden="1">
              <a:extLst>
                <a:ext uri="{63B3BB69-23CF-44E3-9099-C40C66FF867C}">
                  <a14:compatExt spid="_x0000_s2667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1" name="Drop Down 47" hidden="1">
              <a:extLst>
                <a:ext uri="{63B3BB69-23CF-44E3-9099-C40C66FF867C}">
                  <a14:compatExt spid="_x0000_s2667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2" name="Drop Down 48" hidden="1">
              <a:extLst>
                <a:ext uri="{63B3BB69-23CF-44E3-9099-C40C66FF867C}">
                  <a14:compatExt spid="_x0000_s2667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3" name="Drop Down 49" hidden="1">
              <a:extLst>
                <a:ext uri="{63B3BB69-23CF-44E3-9099-C40C66FF867C}">
                  <a14:compatExt spid="_x0000_s2667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4" name="Drop Down 50" hidden="1">
              <a:extLst>
                <a:ext uri="{63B3BB69-23CF-44E3-9099-C40C66FF867C}">
                  <a14:compatExt spid="_x0000_s2667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5" name="Drop Down 51" hidden="1">
              <a:extLst>
                <a:ext uri="{63B3BB69-23CF-44E3-9099-C40C66FF867C}">
                  <a14:compatExt spid="_x0000_s2667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6" name="Drop Down 52" hidden="1">
              <a:extLst>
                <a:ext uri="{63B3BB69-23CF-44E3-9099-C40C66FF867C}">
                  <a14:compatExt spid="_x0000_s2667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7" name="Drop Down 53" hidden="1">
              <a:extLst>
                <a:ext uri="{63B3BB69-23CF-44E3-9099-C40C66FF867C}">
                  <a14:compatExt spid="_x0000_s2667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8" name="Drop Down 54" hidden="1">
              <a:extLst>
                <a:ext uri="{63B3BB69-23CF-44E3-9099-C40C66FF867C}">
                  <a14:compatExt spid="_x0000_s2667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9" name="Drop Down 55" hidden="1">
              <a:extLst>
                <a:ext uri="{63B3BB69-23CF-44E3-9099-C40C66FF867C}">
                  <a14:compatExt spid="_x0000_s2667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0" name="Drop Down 56" hidden="1">
              <a:extLst>
                <a:ext uri="{63B3BB69-23CF-44E3-9099-C40C66FF867C}">
                  <a14:compatExt spid="_x0000_s2668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1" name="Drop Down 57" hidden="1">
              <a:extLst>
                <a:ext uri="{63B3BB69-23CF-44E3-9099-C40C66FF867C}">
                  <a14:compatExt spid="_x0000_s2668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2" name="Drop Down 58" hidden="1">
              <a:extLst>
                <a:ext uri="{63B3BB69-23CF-44E3-9099-C40C66FF867C}">
                  <a14:compatExt spid="_x0000_s2668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3" name="Drop Down 59" hidden="1">
              <a:extLst>
                <a:ext uri="{63B3BB69-23CF-44E3-9099-C40C66FF867C}">
                  <a14:compatExt spid="_x0000_s2668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4" name="Drop Down 60" hidden="1">
              <a:extLst>
                <a:ext uri="{63B3BB69-23CF-44E3-9099-C40C66FF867C}">
                  <a14:compatExt spid="_x0000_s2668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5" name="Drop Down 61" hidden="1">
              <a:extLst>
                <a:ext uri="{63B3BB69-23CF-44E3-9099-C40C66FF867C}">
                  <a14:compatExt spid="_x0000_s2668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6" name="Drop Down 62" hidden="1">
              <a:extLst>
                <a:ext uri="{63B3BB69-23CF-44E3-9099-C40C66FF867C}">
                  <a14:compatExt spid="_x0000_s2668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7" name="Drop Down 63" hidden="1">
              <a:extLst>
                <a:ext uri="{63B3BB69-23CF-44E3-9099-C40C66FF867C}">
                  <a14:compatExt spid="_x0000_s2668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688" name="Drop Down 64" hidden="1">
              <a:extLst>
                <a:ext uri="{63B3BB69-23CF-44E3-9099-C40C66FF867C}">
                  <a14:compatExt spid="_x0000_s2668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9" name="Drop Down 65" hidden="1">
              <a:extLst>
                <a:ext uri="{63B3BB69-23CF-44E3-9099-C40C66FF867C}">
                  <a14:compatExt spid="_x0000_s2668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0" name="Drop Down 66" hidden="1">
              <a:extLst>
                <a:ext uri="{63B3BB69-23CF-44E3-9099-C40C66FF867C}">
                  <a14:compatExt spid="_x0000_s2669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1" name="Drop Down 67" hidden="1">
              <a:extLst>
                <a:ext uri="{63B3BB69-23CF-44E3-9099-C40C66FF867C}">
                  <a14:compatExt spid="_x0000_s2669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2" name="Drop Down 68" hidden="1">
              <a:extLst>
                <a:ext uri="{63B3BB69-23CF-44E3-9099-C40C66FF867C}">
                  <a14:compatExt spid="_x0000_s2669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3" name="Drop Down 69" hidden="1">
              <a:extLst>
                <a:ext uri="{63B3BB69-23CF-44E3-9099-C40C66FF867C}">
                  <a14:compatExt spid="_x0000_s2669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4" name="Drop Down 70" hidden="1">
              <a:extLst>
                <a:ext uri="{63B3BB69-23CF-44E3-9099-C40C66FF867C}">
                  <a14:compatExt spid="_x0000_s2669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5" name="Drop Down 71" hidden="1">
              <a:extLst>
                <a:ext uri="{63B3BB69-23CF-44E3-9099-C40C66FF867C}">
                  <a14:compatExt spid="_x0000_s2669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6" name="Drop Down 72" hidden="1">
              <a:extLst>
                <a:ext uri="{63B3BB69-23CF-44E3-9099-C40C66FF867C}">
                  <a14:compatExt spid="_x0000_s2669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7" name="Drop Down 73" hidden="1">
              <a:extLst>
                <a:ext uri="{63B3BB69-23CF-44E3-9099-C40C66FF867C}">
                  <a14:compatExt spid="_x0000_s2669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8" name="Drop Down 74" hidden="1">
              <a:extLst>
                <a:ext uri="{63B3BB69-23CF-44E3-9099-C40C66FF867C}">
                  <a14:compatExt spid="_x0000_s2669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9" name="Drop Down 75" hidden="1">
              <a:extLst>
                <a:ext uri="{63B3BB69-23CF-44E3-9099-C40C66FF867C}">
                  <a14:compatExt spid="_x0000_s2669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0" name="Drop Down 76" hidden="1">
              <a:extLst>
                <a:ext uri="{63B3BB69-23CF-44E3-9099-C40C66FF867C}">
                  <a14:compatExt spid="_x0000_s2670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1" name="Drop Down 77" hidden="1">
              <a:extLst>
                <a:ext uri="{63B3BB69-23CF-44E3-9099-C40C66FF867C}">
                  <a14:compatExt spid="_x0000_s2670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2" name="Drop Down 78" hidden="1">
              <a:extLst>
                <a:ext uri="{63B3BB69-23CF-44E3-9099-C40C66FF867C}">
                  <a14:compatExt spid="_x0000_s2670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3" name="Drop Down 79" hidden="1">
              <a:extLst>
                <a:ext uri="{63B3BB69-23CF-44E3-9099-C40C66FF867C}">
                  <a14:compatExt spid="_x0000_s2670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4" name="Drop Down 80" hidden="1">
              <a:extLst>
                <a:ext uri="{63B3BB69-23CF-44E3-9099-C40C66FF867C}">
                  <a14:compatExt spid="_x0000_s2670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5" name="Drop Down 81" hidden="1">
              <a:extLst>
                <a:ext uri="{63B3BB69-23CF-44E3-9099-C40C66FF867C}">
                  <a14:compatExt spid="_x0000_s2670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6" name="Drop Down 82" hidden="1">
              <a:extLst>
                <a:ext uri="{63B3BB69-23CF-44E3-9099-C40C66FF867C}">
                  <a14:compatExt spid="_x0000_s2670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7" name="Drop Down 83" hidden="1">
              <a:extLst>
                <a:ext uri="{63B3BB69-23CF-44E3-9099-C40C66FF867C}">
                  <a14:compatExt spid="_x0000_s2670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8" name="Drop Down 84" hidden="1">
              <a:extLst>
                <a:ext uri="{63B3BB69-23CF-44E3-9099-C40C66FF867C}">
                  <a14:compatExt spid="_x0000_s2670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9" name="Drop Down 85" hidden="1">
              <a:extLst>
                <a:ext uri="{63B3BB69-23CF-44E3-9099-C40C66FF867C}">
                  <a14:compatExt spid="_x0000_s2670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0" name="Drop Down 86" hidden="1">
              <a:extLst>
                <a:ext uri="{63B3BB69-23CF-44E3-9099-C40C66FF867C}">
                  <a14:compatExt spid="_x0000_s2671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1" name="Drop Down 87" hidden="1">
              <a:extLst>
                <a:ext uri="{63B3BB69-23CF-44E3-9099-C40C66FF867C}">
                  <a14:compatExt spid="_x0000_s2671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2" name="Drop Down 88" hidden="1">
              <a:extLst>
                <a:ext uri="{63B3BB69-23CF-44E3-9099-C40C66FF867C}">
                  <a14:compatExt spid="_x0000_s2671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3" name="Drop Down 89" hidden="1">
              <a:extLst>
                <a:ext uri="{63B3BB69-23CF-44E3-9099-C40C66FF867C}">
                  <a14:compatExt spid="_x0000_s2671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4" name="Drop Down 90" hidden="1">
              <a:extLst>
                <a:ext uri="{63B3BB69-23CF-44E3-9099-C40C66FF867C}">
                  <a14:compatExt spid="_x0000_s2671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5" name="Drop Down 91" hidden="1">
              <a:extLst>
                <a:ext uri="{63B3BB69-23CF-44E3-9099-C40C66FF867C}">
                  <a14:compatExt spid="_x0000_s2671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6" name="Drop Down 92" hidden="1">
              <a:extLst>
                <a:ext uri="{63B3BB69-23CF-44E3-9099-C40C66FF867C}">
                  <a14:compatExt spid="_x0000_s2671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7" name="Drop Down 93" hidden="1">
              <a:extLst>
                <a:ext uri="{63B3BB69-23CF-44E3-9099-C40C66FF867C}">
                  <a14:compatExt spid="_x0000_s2671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8" name="Drop Down 94" hidden="1">
              <a:extLst>
                <a:ext uri="{63B3BB69-23CF-44E3-9099-C40C66FF867C}">
                  <a14:compatExt spid="_x0000_s2671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9" name="Drop Down 95" hidden="1">
              <a:extLst>
                <a:ext uri="{63B3BB69-23CF-44E3-9099-C40C66FF867C}">
                  <a14:compatExt spid="_x0000_s2671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0" name="Drop Down 96" hidden="1">
              <a:extLst>
                <a:ext uri="{63B3BB69-23CF-44E3-9099-C40C66FF867C}">
                  <a14:compatExt spid="_x0000_s2672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1" name="Drop Down 97" hidden="1">
              <a:extLst>
                <a:ext uri="{63B3BB69-23CF-44E3-9099-C40C66FF867C}">
                  <a14:compatExt spid="_x0000_s2672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2" name="Drop Down 98" hidden="1">
              <a:extLst>
                <a:ext uri="{63B3BB69-23CF-44E3-9099-C40C66FF867C}">
                  <a14:compatExt spid="_x0000_s2672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3" name="Drop Down 99" hidden="1">
              <a:extLst>
                <a:ext uri="{63B3BB69-23CF-44E3-9099-C40C66FF867C}">
                  <a14:compatExt spid="_x0000_s2672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4" name="Drop Down 100" hidden="1">
              <a:extLst>
                <a:ext uri="{63B3BB69-23CF-44E3-9099-C40C66FF867C}">
                  <a14:compatExt spid="_x0000_s2672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5" name="Drop Down 101" hidden="1">
              <a:extLst>
                <a:ext uri="{63B3BB69-23CF-44E3-9099-C40C66FF867C}">
                  <a14:compatExt spid="_x0000_s2672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6" name="Drop Down 102" hidden="1">
              <a:extLst>
                <a:ext uri="{63B3BB69-23CF-44E3-9099-C40C66FF867C}">
                  <a14:compatExt spid="_x0000_s2672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7" name="Drop Down 103" hidden="1">
              <a:extLst>
                <a:ext uri="{63B3BB69-23CF-44E3-9099-C40C66FF867C}">
                  <a14:compatExt spid="_x0000_s2672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8" name="Drop Down 104" hidden="1">
              <a:extLst>
                <a:ext uri="{63B3BB69-23CF-44E3-9099-C40C66FF867C}">
                  <a14:compatExt spid="_x0000_s2672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9" name="Drop Down 105" hidden="1">
              <a:extLst>
                <a:ext uri="{63B3BB69-23CF-44E3-9099-C40C66FF867C}">
                  <a14:compatExt spid="_x0000_s2672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0" name="Drop Down 106" hidden="1">
              <a:extLst>
                <a:ext uri="{63B3BB69-23CF-44E3-9099-C40C66FF867C}">
                  <a14:compatExt spid="_x0000_s2673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1" name="Drop Down 107" hidden="1">
              <a:extLst>
                <a:ext uri="{63B3BB69-23CF-44E3-9099-C40C66FF867C}">
                  <a14:compatExt spid="_x0000_s2673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2" name="Drop Down 108" hidden="1">
              <a:extLst>
                <a:ext uri="{63B3BB69-23CF-44E3-9099-C40C66FF867C}">
                  <a14:compatExt spid="_x0000_s2673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3" name="Drop Down 109" hidden="1">
              <a:extLst>
                <a:ext uri="{63B3BB69-23CF-44E3-9099-C40C66FF867C}">
                  <a14:compatExt spid="_x0000_s2673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4" name="Drop Down 110" hidden="1">
              <a:extLst>
                <a:ext uri="{63B3BB69-23CF-44E3-9099-C40C66FF867C}">
                  <a14:compatExt spid="_x0000_s2673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5" name="Drop Down 111" hidden="1">
              <a:extLst>
                <a:ext uri="{63B3BB69-23CF-44E3-9099-C40C66FF867C}">
                  <a14:compatExt spid="_x0000_s2673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6" name="Drop Down 112" hidden="1">
              <a:extLst>
                <a:ext uri="{63B3BB69-23CF-44E3-9099-C40C66FF867C}">
                  <a14:compatExt spid="_x0000_s2673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7" name="Drop Down 113" hidden="1">
              <a:extLst>
                <a:ext uri="{63B3BB69-23CF-44E3-9099-C40C66FF867C}">
                  <a14:compatExt spid="_x0000_s2673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8" name="Drop Down 114" hidden="1">
              <a:extLst>
                <a:ext uri="{63B3BB69-23CF-44E3-9099-C40C66FF867C}">
                  <a14:compatExt spid="_x0000_s2673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9" name="Drop Down 115" hidden="1">
              <a:extLst>
                <a:ext uri="{63B3BB69-23CF-44E3-9099-C40C66FF867C}">
                  <a14:compatExt spid="_x0000_s2673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0" name="Drop Down 116" hidden="1">
              <a:extLst>
                <a:ext uri="{63B3BB69-23CF-44E3-9099-C40C66FF867C}">
                  <a14:compatExt spid="_x0000_s2674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1" name="Drop Down 117" hidden="1">
              <a:extLst>
                <a:ext uri="{63B3BB69-23CF-44E3-9099-C40C66FF867C}">
                  <a14:compatExt spid="_x0000_s2674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2" name="Drop Down 118" hidden="1">
              <a:extLst>
                <a:ext uri="{63B3BB69-23CF-44E3-9099-C40C66FF867C}">
                  <a14:compatExt spid="_x0000_s2674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3" name="Drop Down 119" hidden="1">
              <a:extLst>
                <a:ext uri="{63B3BB69-23CF-44E3-9099-C40C66FF867C}">
                  <a14:compatExt spid="_x0000_s2674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4" name="Drop Down 120" hidden="1">
              <a:extLst>
                <a:ext uri="{63B3BB69-23CF-44E3-9099-C40C66FF867C}">
                  <a14:compatExt spid="_x0000_s2674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5" name="Drop Down 121" hidden="1">
              <a:extLst>
                <a:ext uri="{63B3BB69-23CF-44E3-9099-C40C66FF867C}">
                  <a14:compatExt spid="_x0000_s2674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6" name="Drop Down 122" hidden="1">
              <a:extLst>
                <a:ext uri="{63B3BB69-23CF-44E3-9099-C40C66FF867C}">
                  <a14:compatExt spid="_x0000_s2674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7" name="Drop Down 123" hidden="1">
              <a:extLst>
                <a:ext uri="{63B3BB69-23CF-44E3-9099-C40C66FF867C}">
                  <a14:compatExt spid="_x0000_s2674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8" name="Drop Down 124" hidden="1">
              <a:extLst>
                <a:ext uri="{63B3BB69-23CF-44E3-9099-C40C66FF867C}">
                  <a14:compatExt spid="_x0000_s2674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9" name="Drop Down 125" hidden="1">
              <a:extLst>
                <a:ext uri="{63B3BB69-23CF-44E3-9099-C40C66FF867C}">
                  <a14:compatExt spid="_x0000_s2674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0" name="Drop Down 126" hidden="1">
              <a:extLst>
                <a:ext uri="{63B3BB69-23CF-44E3-9099-C40C66FF867C}">
                  <a14:compatExt spid="_x0000_s2675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1" name="Drop Down 127" hidden="1">
              <a:extLst>
                <a:ext uri="{63B3BB69-23CF-44E3-9099-C40C66FF867C}">
                  <a14:compatExt spid="_x0000_s2675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752475</xdr:colOff>
          <xdr:row>43</xdr:row>
          <xdr:rowOff>9525</xdr:rowOff>
        </xdr:from>
        <xdr:to>
          <xdr:col>6</xdr:col>
          <xdr:colOff>1009650</xdr:colOff>
          <xdr:row>44</xdr:row>
          <xdr:rowOff>19050</xdr:rowOff>
        </xdr:to>
        <xdr:sp macro="" textlink="">
          <xdr:nvSpPr>
            <xdr:cNvPr id="26752" name="Drop Down 128" hidden="1">
              <a:extLst>
                <a:ext uri="{63B3BB69-23CF-44E3-9099-C40C66FF867C}">
                  <a14:compatExt spid="_x0000_s26752"/>
                </a:ext>
                <a:ext uri="{FF2B5EF4-FFF2-40B4-BE49-F238E27FC236}">
                  <a16:creationId xmlns:a16="http://schemas.microsoft.com/office/drawing/2014/main" id="{00000000-0008-0000-0300-00008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136880</xdr:rowOff>
    </xdr:to>
    <xdr:pic>
      <xdr:nvPicPr>
        <xdr:cNvPr id="130" name="그림 12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5434472" y="10504715"/>
          <a:ext cx="0" cy="1412208"/>
        </a:xfrm>
        <a:prstGeom prst="rect">
          <a:avLst/>
        </a:prstGeom>
      </xdr:spPr>
    </xdr:pic>
    <xdr:clientData/>
  </xdr:twoCellAnchor>
  <xdr:oneCellAnchor>
    <xdr:from>
      <xdr:col>33</xdr:col>
      <xdr:colOff>392206</xdr:colOff>
      <xdr:row>79</xdr:row>
      <xdr:rowOff>123265</xdr:rowOff>
    </xdr:from>
    <xdr:ext cx="0" cy="5022170"/>
    <xdr:pic>
      <xdr:nvPicPr>
        <xdr:cNvPr id="131" name="그림 1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823331" y="15268015"/>
          <a:ext cx="0" cy="5022170"/>
        </a:xfrm>
        <a:prstGeom prst="rect">
          <a:avLst/>
        </a:prstGeom>
      </xdr:spPr>
    </xdr:pic>
    <xdr:clientData/>
  </xdr:oneCellAnchor>
  <xdr:oneCellAnchor>
    <xdr:from>
      <xdr:col>34</xdr:col>
      <xdr:colOff>392206</xdr:colOff>
      <xdr:row>79</xdr:row>
      <xdr:rowOff>123265</xdr:rowOff>
    </xdr:from>
    <xdr:ext cx="0" cy="5022170"/>
    <xdr:pic>
      <xdr:nvPicPr>
        <xdr:cNvPr id="132" name="그림 1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99606" y="15268015"/>
          <a:ext cx="0" cy="5022170"/>
        </a:xfrm>
        <a:prstGeom prst="rect">
          <a:avLst/>
        </a:prstGeom>
      </xdr:spPr>
    </xdr:pic>
    <xdr:clientData/>
  </xdr:oneCellAnchor>
  <xdr:oneCellAnchor>
    <xdr:from>
      <xdr:col>35</xdr:col>
      <xdr:colOff>392206</xdr:colOff>
      <xdr:row>79</xdr:row>
      <xdr:rowOff>123265</xdr:rowOff>
    </xdr:from>
    <xdr:ext cx="0" cy="5022170"/>
    <xdr:pic>
      <xdr:nvPicPr>
        <xdr:cNvPr id="133" name="그림 1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423531" y="15268015"/>
          <a:ext cx="0" cy="5022170"/>
        </a:xfrm>
        <a:prstGeom prst="rect">
          <a:avLst/>
        </a:prstGeom>
      </xdr:spPr>
    </xdr:pic>
    <xdr:clientData/>
  </xdr:oneCellAnchor>
  <xdr:oneCellAnchor>
    <xdr:from>
      <xdr:col>36</xdr:col>
      <xdr:colOff>392206</xdr:colOff>
      <xdr:row>79</xdr:row>
      <xdr:rowOff>123265</xdr:rowOff>
    </xdr:from>
    <xdr:ext cx="0" cy="5022170"/>
    <xdr:pic>
      <xdr:nvPicPr>
        <xdr:cNvPr id="134" name="그림 1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376031"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5" name="그림 1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6" name="그림 1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38</xdr:col>
      <xdr:colOff>0</xdr:colOff>
      <xdr:row>79</xdr:row>
      <xdr:rowOff>123265</xdr:rowOff>
    </xdr:from>
    <xdr:ext cx="0" cy="5022170"/>
    <xdr:pic>
      <xdr:nvPicPr>
        <xdr:cNvPr id="137" name="그림 1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8" name="그림 1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9" name="그림 1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0" name="그림 1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1" name="그림 1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2" name="그림 1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3" name="그림 1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4" name="그림 1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5" name="그림 1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6" name="그림 1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7" name="그림 1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8" name="그림 1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9" name="그림 1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82</xdr:row>
      <xdr:rowOff>0</xdr:rowOff>
    </xdr:from>
    <xdr:ext cx="0" cy="5022170"/>
    <xdr:pic>
      <xdr:nvPicPr>
        <xdr:cNvPr id="150" name="그림 1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744825"/>
          <a:ext cx="0" cy="5022170"/>
        </a:xfrm>
        <a:prstGeom prst="rect">
          <a:avLst/>
        </a:prstGeom>
      </xdr:spPr>
    </xdr:pic>
    <xdr:clientData/>
  </xdr:oneCellAnchor>
  <xdr:oneCellAnchor>
    <xdr:from>
      <xdr:col>38</xdr:col>
      <xdr:colOff>0</xdr:colOff>
      <xdr:row>79</xdr:row>
      <xdr:rowOff>123265</xdr:rowOff>
    </xdr:from>
    <xdr:ext cx="0" cy="5022170"/>
    <xdr:pic>
      <xdr:nvPicPr>
        <xdr:cNvPr id="151" name="그림 1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2" name="그림 1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3" name="그림 1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392206</xdr:colOff>
      <xdr:row>79</xdr:row>
      <xdr:rowOff>123265</xdr:rowOff>
    </xdr:from>
    <xdr:ext cx="0" cy="5022170"/>
    <xdr:pic>
      <xdr:nvPicPr>
        <xdr:cNvPr id="154" name="그림 1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62380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5" name="그림 1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6" name="그림 1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7" name="그림 1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8" name="그림 1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59" name="그림 1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60" name="그림 1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1" name="그림 1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2" name="그림 1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44</xdr:col>
      <xdr:colOff>392206</xdr:colOff>
      <xdr:row>79</xdr:row>
      <xdr:rowOff>123265</xdr:rowOff>
    </xdr:from>
    <xdr:ext cx="0" cy="5022170"/>
    <xdr:pic>
      <xdr:nvPicPr>
        <xdr:cNvPr id="163" name="그림 16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785981" y="15268015"/>
          <a:ext cx="0" cy="5022170"/>
        </a:xfrm>
        <a:prstGeom prst="rect">
          <a:avLst/>
        </a:prstGeom>
      </xdr:spPr>
    </xdr:pic>
    <xdr:clientData/>
  </xdr:oneCellAnchor>
  <xdr:oneCellAnchor>
    <xdr:from>
      <xdr:col>45</xdr:col>
      <xdr:colOff>392206</xdr:colOff>
      <xdr:row>79</xdr:row>
      <xdr:rowOff>123265</xdr:rowOff>
    </xdr:from>
    <xdr:ext cx="0" cy="5022170"/>
    <xdr:pic>
      <xdr:nvPicPr>
        <xdr:cNvPr id="164" name="그림 16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233656" y="15268015"/>
          <a:ext cx="0" cy="5022170"/>
        </a:xfrm>
        <a:prstGeom prst="rect">
          <a:avLst/>
        </a:prstGeom>
      </xdr:spPr>
    </xdr:pic>
    <xdr:clientData/>
  </xdr:oneCellAnchor>
  <xdr:oneCellAnchor>
    <xdr:from>
      <xdr:col>47</xdr:col>
      <xdr:colOff>392206</xdr:colOff>
      <xdr:row>69</xdr:row>
      <xdr:rowOff>123265</xdr:rowOff>
    </xdr:from>
    <xdr:ext cx="0" cy="5022170"/>
    <xdr:pic>
      <xdr:nvPicPr>
        <xdr:cNvPr id="165" name="그림 16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557506" y="13229665"/>
          <a:ext cx="0" cy="5022170"/>
        </a:xfrm>
        <a:prstGeom prst="rect">
          <a:avLst/>
        </a:prstGeom>
      </xdr:spPr>
    </xdr:pic>
    <xdr:clientData/>
  </xdr:oneCellAnchor>
  <xdr:oneCellAnchor>
    <xdr:from>
      <xdr:col>48</xdr:col>
      <xdr:colOff>392206</xdr:colOff>
      <xdr:row>69</xdr:row>
      <xdr:rowOff>123265</xdr:rowOff>
    </xdr:from>
    <xdr:ext cx="0" cy="5022170"/>
    <xdr:pic>
      <xdr:nvPicPr>
        <xdr:cNvPr id="166" name="그림 16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948031" y="13229665"/>
          <a:ext cx="0" cy="5022170"/>
        </a:xfrm>
        <a:prstGeom prst="rect">
          <a:avLst/>
        </a:prstGeom>
      </xdr:spPr>
    </xdr:pic>
    <xdr:clientData/>
  </xdr:oneCellAnchor>
  <xdr:oneCellAnchor>
    <xdr:from>
      <xdr:col>50</xdr:col>
      <xdr:colOff>392206</xdr:colOff>
      <xdr:row>69</xdr:row>
      <xdr:rowOff>123265</xdr:rowOff>
    </xdr:from>
    <xdr:ext cx="0" cy="5022170"/>
    <xdr:pic>
      <xdr:nvPicPr>
        <xdr:cNvPr id="167" name="그림 16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290931" y="13229665"/>
          <a:ext cx="0" cy="5022170"/>
        </a:xfrm>
        <a:prstGeom prst="rect">
          <a:avLst/>
        </a:prstGeom>
      </xdr:spPr>
    </xdr:pic>
    <xdr:clientData/>
  </xdr:oneCellAnchor>
  <xdr:oneCellAnchor>
    <xdr:from>
      <xdr:col>51</xdr:col>
      <xdr:colOff>392206</xdr:colOff>
      <xdr:row>69</xdr:row>
      <xdr:rowOff>123265</xdr:rowOff>
    </xdr:from>
    <xdr:ext cx="0" cy="5022170"/>
    <xdr:pic>
      <xdr:nvPicPr>
        <xdr:cNvPr id="168" name="그림 16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681456" y="13229665"/>
          <a:ext cx="0" cy="5022170"/>
        </a:xfrm>
        <a:prstGeom prst="rect">
          <a:avLst/>
        </a:prstGeom>
      </xdr:spPr>
    </xdr:pic>
    <xdr:clientData/>
  </xdr:oneCellAnchor>
  <xdr:oneCellAnchor>
    <xdr:from>
      <xdr:col>52</xdr:col>
      <xdr:colOff>392206</xdr:colOff>
      <xdr:row>69</xdr:row>
      <xdr:rowOff>123265</xdr:rowOff>
    </xdr:from>
    <xdr:ext cx="0" cy="5022170"/>
    <xdr:pic>
      <xdr:nvPicPr>
        <xdr:cNvPr id="169" name="그림 16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014831"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0" name="그림 16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1" name="그림 17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2" name="그림 17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3" name="그림 17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55</xdr:col>
      <xdr:colOff>0</xdr:colOff>
      <xdr:row>69</xdr:row>
      <xdr:rowOff>123265</xdr:rowOff>
    </xdr:from>
    <xdr:ext cx="0" cy="5022170"/>
    <xdr:pic>
      <xdr:nvPicPr>
        <xdr:cNvPr id="174" name="그림 17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5" name="그림 17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6" name="그림 17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7" name="그림 17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8" name="그림 17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9" name="그림 17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0" name="그림 17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1" name="그림 18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753" name="Drop Down 129" hidden="1">
              <a:extLst>
                <a:ext uri="{63B3BB69-23CF-44E3-9099-C40C66FF867C}">
                  <a14:compatExt spid="_x0000_s26753"/>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5" name="Drop Down 131" hidden="1">
              <a:extLst>
                <a:ext uri="{63B3BB69-23CF-44E3-9099-C40C66FF867C}">
                  <a14:compatExt spid="_x0000_s2675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6" name="Drop Down 132" hidden="1">
              <a:extLst>
                <a:ext uri="{63B3BB69-23CF-44E3-9099-C40C66FF867C}">
                  <a14:compatExt spid="_x0000_s2675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7" name="Drop Down 133" hidden="1">
              <a:extLst>
                <a:ext uri="{63B3BB69-23CF-44E3-9099-C40C66FF867C}">
                  <a14:compatExt spid="_x0000_s2675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8" name="Drop Down 134" hidden="1">
              <a:extLst>
                <a:ext uri="{63B3BB69-23CF-44E3-9099-C40C66FF867C}">
                  <a14:compatExt spid="_x0000_s2675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9" name="Drop Down 135" hidden="1">
              <a:extLst>
                <a:ext uri="{63B3BB69-23CF-44E3-9099-C40C66FF867C}">
                  <a14:compatExt spid="_x0000_s2675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0" name="Drop Down 136" hidden="1">
              <a:extLst>
                <a:ext uri="{63B3BB69-23CF-44E3-9099-C40C66FF867C}">
                  <a14:compatExt spid="_x0000_s2676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1" name="Drop Down 137" hidden="1">
              <a:extLst>
                <a:ext uri="{63B3BB69-23CF-44E3-9099-C40C66FF867C}">
                  <a14:compatExt spid="_x0000_s2676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2" name="Drop Down 138" hidden="1">
              <a:extLst>
                <a:ext uri="{63B3BB69-23CF-44E3-9099-C40C66FF867C}">
                  <a14:compatExt spid="_x0000_s2676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3" name="Drop Down 139" hidden="1">
              <a:extLst>
                <a:ext uri="{63B3BB69-23CF-44E3-9099-C40C66FF867C}">
                  <a14:compatExt spid="_x0000_s2676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4" name="Drop Down 140" hidden="1">
              <a:extLst>
                <a:ext uri="{63B3BB69-23CF-44E3-9099-C40C66FF867C}">
                  <a14:compatExt spid="_x0000_s2676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5" name="Drop Down 141" hidden="1">
              <a:extLst>
                <a:ext uri="{63B3BB69-23CF-44E3-9099-C40C66FF867C}">
                  <a14:compatExt spid="_x0000_s2676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6" name="Drop Down 142" hidden="1">
              <a:extLst>
                <a:ext uri="{63B3BB69-23CF-44E3-9099-C40C66FF867C}">
                  <a14:compatExt spid="_x0000_s2676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7" name="Drop Down 143" hidden="1">
              <a:extLst>
                <a:ext uri="{63B3BB69-23CF-44E3-9099-C40C66FF867C}">
                  <a14:compatExt spid="_x0000_s2676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8" name="Drop Down 144" hidden="1">
              <a:extLst>
                <a:ext uri="{63B3BB69-23CF-44E3-9099-C40C66FF867C}">
                  <a14:compatExt spid="_x0000_s2676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9" name="Drop Down 145" hidden="1">
              <a:extLst>
                <a:ext uri="{63B3BB69-23CF-44E3-9099-C40C66FF867C}">
                  <a14:compatExt spid="_x0000_s2676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0" name="Drop Down 146" hidden="1">
              <a:extLst>
                <a:ext uri="{63B3BB69-23CF-44E3-9099-C40C66FF867C}">
                  <a14:compatExt spid="_x0000_s2677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1" name="Drop Down 147" hidden="1">
              <a:extLst>
                <a:ext uri="{63B3BB69-23CF-44E3-9099-C40C66FF867C}">
                  <a14:compatExt spid="_x0000_s2677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2" name="Drop Down 148" hidden="1">
              <a:extLst>
                <a:ext uri="{63B3BB69-23CF-44E3-9099-C40C66FF867C}">
                  <a14:compatExt spid="_x0000_s2677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3" name="Drop Down 149" hidden="1">
              <a:extLst>
                <a:ext uri="{63B3BB69-23CF-44E3-9099-C40C66FF867C}">
                  <a14:compatExt spid="_x0000_s2677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4" name="Drop Down 150" hidden="1">
              <a:extLst>
                <a:ext uri="{63B3BB69-23CF-44E3-9099-C40C66FF867C}">
                  <a14:compatExt spid="_x0000_s2677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5" name="Drop Down 151" hidden="1">
              <a:extLst>
                <a:ext uri="{63B3BB69-23CF-44E3-9099-C40C66FF867C}">
                  <a14:compatExt spid="_x0000_s2677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6" name="Drop Down 152" hidden="1">
              <a:extLst>
                <a:ext uri="{63B3BB69-23CF-44E3-9099-C40C66FF867C}">
                  <a14:compatExt spid="_x0000_s2677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7" name="Drop Down 153" hidden="1">
              <a:extLst>
                <a:ext uri="{63B3BB69-23CF-44E3-9099-C40C66FF867C}">
                  <a14:compatExt spid="_x0000_s2677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8" name="Drop Down 154" hidden="1">
              <a:extLst>
                <a:ext uri="{63B3BB69-23CF-44E3-9099-C40C66FF867C}">
                  <a14:compatExt spid="_x0000_s2677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9" name="Drop Down 155" hidden="1">
              <a:extLst>
                <a:ext uri="{63B3BB69-23CF-44E3-9099-C40C66FF867C}">
                  <a14:compatExt spid="_x0000_s2677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0" name="Drop Down 156" hidden="1">
              <a:extLst>
                <a:ext uri="{63B3BB69-23CF-44E3-9099-C40C66FF867C}">
                  <a14:compatExt spid="_x0000_s2678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1" name="Drop Down 157" hidden="1">
              <a:extLst>
                <a:ext uri="{63B3BB69-23CF-44E3-9099-C40C66FF867C}">
                  <a14:compatExt spid="_x0000_s2678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2" name="Drop Down 158" hidden="1">
              <a:extLst>
                <a:ext uri="{63B3BB69-23CF-44E3-9099-C40C66FF867C}">
                  <a14:compatExt spid="_x0000_s2678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3" name="Drop Down 159" hidden="1">
              <a:extLst>
                <a:ext uri="{63B3BB69-23CF-44E3-9099-C40C66FF867C}">
                  <a14:compatExt spid="_x0000_s2678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4" name="Drop Down 160" hidden="1">
              <a:extLst>
                <a:ext uri="{63B3BB69-23CF-44E3-9099-C40C66FF867C}">
                  <a14:compatExt spid="_x0000_s2678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5" name="Drop Down 161" hidden="1">
              <a:extLst>
                <a:ext uri="{63B3BB69-23CF-44E3-9099-C40C66FF867C}">
                  <a14:compatExt spid="_x0000_s2678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6" name="Drop Down 162" hidden="1">
              <a:extLst>
                <a:ext uri="{63B3BB69-23CF-44E3-9099-C40C66FF867C}">
                  <a14:compatExt spid="_x0000_s2678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7" name="Drop Down 163" hidden="1">
              <a:extLst>
                <a:ext uri="{63B3BB69-23CF-44E3-9099-C40C66FF867C}">
                  <a14:compatExt spid="_x0000_s2678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8" name="Drop Down 164" hidden="1">
              <a:extLst>
                <a:ext uri="{63B3BB69-23CF-44E3-9099-C40C66FF867C}">
                  <a14:compatExt spid="_x0000_s2678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9" name="Drop Down 165" hidden="1">
              <a:extLst>
                <a:ext uri="{63B3BB69-23CF-44E3-9099-C40C66FF867C}">
                  <a14:compatExt spid="_x0000_s2678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0" name="Drop Down 166" hidden="1">
              <a:extLst>
                <a:ext uri="{63B3BB69-23CF-44E3-9099-C40C66FF867C}">
                  <a14:compatExt spid="_x0000_s2679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1" name="Drop Down 167" hidden="1">
              <a:extLst>
                <a:ext uri="{63B3BB69-23CF-44E3-9099-C40C66FF867C}">
                  <a14:compatExt spid="_x0000_s2679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2" name="Drop Down 168" hidden="1">
              <a:extLst>
                <a:ext uri="{63B3BB69-23CF-44E3-9099-C40C66FF867C}">
                  <a14:compatExt spid="_x0000_s2679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3" name="Drop Down 169" hidden="1">
              <a:extLst>
                <a:ext uri="{63B3BB69-23CF-44E3-9099-C40C66FF867C}">
                  <a14:compatExt spid="_x0000_s2679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4" name="Drop Down 170" hidden="1">
              <a:extLst>
                <a:ext uri="{63B3BB69-23CF-44E3-9099-C40C66FF867C}">
                  <a14:compatExt spid="_x0000_s2679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5" name="Drop Down 171" hidden="1">
              <a:extLst>
                <a:ext uri="{63B3BB69-23CF-44E3-9099-C40C66FF867C}">
                  <a14:compatExt spid="_x0000_s2679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6" name="Drop Down 172" hidden="1">
              <a:extLst>
                <a:ext uri="{63B3BB69-23CF-44E3-9099-C40C66FF867C}">
                  <a14:compatExt spid="_x0000_s2679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7" name="Drop Down 173" hidden="1">
              <a:extLst>
                <a:ext uri="{63B3BB69-23CF-44E3-9099-C40C66FF867C}">
                  <a14:compatExt spid="_x0000_s2679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8" name="Drop Down 174" hidden="1">
              <a:extLst>
                <a:ext uri="{63B3BB69-23CF-44E3-9099-C40C66FF867C}">
                  <a14:compatExt spid="_x0000_s2679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9" name="Drop Down 175" hidden="1">
              <a:extLst>
                <a:ext uri="{63B3BB69-23CF-44E3-9099-C40C66FF867C}">
                  <a14:compatExt spid="_x0000_s2679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0" name="Drop Down 176" hidden="1">
              <a:extLst>
                <a:ext uri="{63B3BB69-23CF-44E3-9099-C40C66FF867C}">
                  <a14:compatExt spid="_x0000_s2680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1" name="Drop Down 177" hidden="1">
              <a:extLst>
                <a:ext uri="{63B3BB69-23CF-44E3-9099-C40C66FF867C}">
                  <a14:compatExt spid="_x0000_s2680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2" name="Drop Down 178" hidden="1">
              <a:extLst>
                <a:ext uri="{63B3BB69-23CF-44E3-9099-C40C66FF867C}">
                  <a14:compatExt spid="_x0000_s2680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3" name="Drop Down 179" hidden="1">
              <a:extLst>
                <a:ext uri="{63B3BB69-23CF-44E3-9099-C40C66FF867C}">
                  <a14:compatExt spid="_x0000_s2680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4" name="Drop Down 180" hidden="1">
              <a:extLst>
                <a:ext uri="{63B3BB69-23CF-44E3-9099-C40C66FF867C}">
                  <a14:compatExt spid="_x0000_s2680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5" name="Drop Down 181" hidden="1">
              <a:extLst>
                <a:ext uri="{63B3BB69-23CF-44E3-9099-C40C66FF867C}">
                  <a14:compatExt spid="_x0000_s2680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6" name="Drop Down 182" hidden="1">
              <a:extLst>
                <a:ext uri="{63B3BB69-23CF-44E3-9099-C40C66FF867C}">
                  <a14:compatExt spid="_x0000_s2680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7" name="Drop Down 183" hidden="1">
              <a:extLst>
                <a:ext uri="{63B3BB69-23CF-44E3-9099-C40C66FF867C}">
                  <a14:compatExt spid="_x0000_s2680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8" name="Drop Down 184" hidden="1">
              <a:extLst>
                <a:ext uri="{63B3BB69-23CF-44E3-9099-C40C66FF867C}">
                  <a14:compatExt spid="_x0000_s2680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9" name="Drop Down 185" hidden="1">
              <a:extLst>
                <a:ext uri="{63B3BB69-23CF-44E3-9099-C40C66FF867C}">
                  <a14:compatExt spid="_x0000_s2680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0" name="Drop Down 186" hidden="1">
              <a:extLst>
                <a:ext uri="{63B3BB69-23CF-44E3-9099-C40C66FF867C}">
                  <a14:compatExt spid="_x0000_s2681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1" name="Drop Down 187" hidden="1">
              <a:extLst>
                <a:ext uri="{63B3BB69-23CF-44E3-9099-C40C66FF867C}">
                  <a14:compatExt spid="_x0000_s2681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2" name="Drop Down 188" hidden="1">
              <a:extLst>
                <a:ext uri="{63B3BB69-23CF-44E3-9099-C40C66FF867C}">
                  <a14:compatExt spid="_x0000_s2681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3" name="Drop Down 189" hidden="1">
              <a:extLst>
                <a:ext uri="{63B3BB69-23CF-44E3-9099-C40C66FF867C}">
                  <a14:compatExt spid="_x0000_s2681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4" name="Drop Down 190" hidden="1">
              <a:extLst>
                <a:ext uri="{63B3BB69-23CF-44E3-9099-C40C66FF867C}">
                  <a14:compatExt spid="_x0000_s2681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5" name="Drop Down 191" hidden="1">
              <a:extLst>
                <a:ext uri="{63B3BB69-23CF-44E3-9099-C40C66FF867C}">
                  <a14:compatExt spid="_x0000_s2681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6" name="Drop Down 192" hidden="1">
              <a:extLst>
                <a:ext uri="{63B3BB69-23CF-44E3-9099-C40C66FF867C}">
                  <a14:compatExt spid="_x0000_s2681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7" name="Drop Down 193" hidden="1">
              <a:extLst>
                <a:ext uri="{63B3BB69-23CF-44E3-9099-C40C66FF867C}">
                  <a14:compatExt spid="_x0000_s2681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18" name="Drop Down 194" hidden="1">
              <a:extLst>
                <a:ext uri="{63B3BB69-23CF-44E3-9099-C40C66FF867C}">
                  <a14:compatExt spid="_x0000_s2681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9" name="Drop Down 195" hidden="1">
              <a:extLst>
                <a:ext uri="{63B3BB69-23CF-44E3-9099-C40C66FF867C}">
                  <a14:compatExt spid="_x0000_s2681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0" name="Drop Down 196" hidden="1">
              <a:extLst>
                <a:ext uri="{63B3BB69-23CF-44E3-9099-C40C66FF867C}">
                  <a14:compatExt spid="_x0000_s2682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1" name="Drop Down 197" hidden="1">
              <a:extLst>
                <a:ext uri="{63B3BB69-23CF-44E3-9099-C40C66FF867C}">
                  <a14:compatExt spid="_x0000_s2682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2" name="Drop Down 198" hidden="1">
              <a:extLst>
                <a:ext uri="{63B3BB69-23CF-44E3-9099-C40C66FF867C}">
                  <a14:compatExt spid="_x0000_s2682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3" name="Drop Down 199" hidden="1">
              <a:extLst>
                <a:ext uri="{63B3BB69-23CF-44E3-9099-C40C66FF867C}">
                  <a14:compatExt spid="_x0000_s2682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4" name="Drop Down 200" hidden="1">
              <a:extLst>
                <a:ext uri="{63B3BB69-23CF-44E3-9099-C40C66FF867C}">
                  <a14:compatExt spid="_x0000_s2682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5" name="Drop Down 201" hidden="1">
              <a:extLst>
                <a:ext uri="{63B3BB69-23CF-44E3-9099-C40C66FF867C}">
                  <a14:compatExt spid="_x0000_s2682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6" name="Drop Down 202" hidden="1">
              <a:extLst>
                <a:ext uri="{63B3BB69-23CF-44E3-9099-C40C66FF867C}">
                  <a14:compatExt spid="_x0000_s2682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7" name="Drop Down 203" hidden="1">
              <a:extLst>
                <a:ext uri="{63B3BB69-23CF-44E3-9099-C40C66FF867C}">
                  <a14:compatExt spid="_x0000_s2682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8" name="Drop Down 204" hidden="1">
              <a:extLst>
                <a:ext uri="{63B3BB69-23CF-44E3-9099-C40C66FF867C}">
                  <a14:compatExt spid="_x0000_s2682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9" name="Drop Down 205" hidden="1">
              <a:extLst>
                <a:ext uri="{63B3BB69-23CF-44E3-9099-C40C66FF867C}">
                  <a14:compatExt spid="_x0000_s2682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0" name="Drop Down 206" hidden="1">
              <a:extLst>
                <a:ext uri="{63B3BB69-23CF-44E3-9099-C40C66FF867C}">
                  <a14:compatExt spid="_x0000_s2683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1" name="Drop Down 207" hidden="1">
              <a:extLst>
                <a:ext uri="{63B3BB69-23CF-44E3-9099-C40C66FF867C}">
                  <a14:compatExt spid="_x0000_s2683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2" name="Drop Down 208" hidden="1">
              <a:extLst>
                <a:ext uri="{63B3BB69-23CF-44E3-9099-C40C66FF867C}">
                  <a14:compatExt spid="_x0000_s2683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3" name="Drop Down 209" hidden="1">
              <a:extLst>
                <a:ext uri="{63B3BB69-23CF-44E3-9099-C40C66FF867C}">
                  <a14:compatExt spid="_x0000_s2683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4" name="Drop Down 210" hidden="1">
              <a:extLst>
                <a:ext uri="{63B3BB69-23CF-44E3-9099-C40C66FF867C}">
                  <a14:compatExt spid="_x0000_s2683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5" name="Drop Down 211" hidden="1">
              <a:extLst>
                <a:ext uri="{63B3BB69-23CF-44E3-9099-C40C66FF867C}">
                  <a14:compatExt spid="_x0000_s2683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6" name="Drop Down 212" hidden="1">
              <a:extLst>
                <a:ext uri="{63B3BB69-23CF-44E3-9099-C40C66FF867C}">
                  <a14:compatExt spid="_x0000_s2683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7" name="Drop Down 213" hidden="1">
              <a:extLst>
                <a:ext uri="{63B3BB69-23CF-44E3-9099-C40C66FF867C}">
                  <a14:compatExt spid="_x0000_s2683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8" name="Drop Down 214" hidden="1">
              <a:extLst>
                <a:ext uri="{63B3BB69-23CF-44E3-9099-C40C66FF867C}">
                  <a14:compatExt spid="_x0000_s2683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9" name="Drop Down 215" hidden="1">
              <a:extLst>
                <a:ext uri="{63B3BB69-23CF-44E3-9099-C40C66FF867C}">
                  <a14:compatExt spid="_x0000_s2683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0" name="Drop Down 216" hidden="1">
              <a:extLst>
                <a:ext uri="{63B3BB69-23CF-44E3-9099-C40C66FF867C}">
                  <a14:compatExt spid="_x0000_s2684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1" name="Drop Down 217" hidden="1">
              <a:extLst>
                <a:ext uri="{63B3BB69-23CF-44E3-9099-C40C66FF867C}">
                  <a14:compatExt spid="_x0000_s2684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2" name="Drop Down 218" hidden="1">
              <a:extLst>
                <a:ext uri="{63B3BB69-23CF-44E3-9099-C40C66FF867C}">
                  <a14:compatExt spid="_x0000_s2684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3" name="Drop Down 219" hidden="1">
              <a:extLst>
                <a:ext uri="{63B3BB69-23CF-44E3-9099-C40C66FF867C}">
                  <a14:compatExt spid="_x0000_s2684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4" name="Drop Down 220" hidden="1">
              <a:extLst>
                <a:ext uri="{63B3BB69-23CF-44E3-9099-C40C66FF867C}">
                  <a14:compatExt spid="_x0000_s2684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5" name="Drop Down 221" hidden="1">
              <a:extLst>
                <a:ext uri="{63B3BB69-23CF-44E3-9099-C40C66FF867C}">
                  <a14:compatExt spid="_x0000_s2684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6" name="Drop Down 222" hidden="1">
              <a:extLst>
                <a:ext uri="{63B3BB69-23CF-44E3-9099-C40C66FF867C}">
                  <a14:compatExt spid="_x0000_s2684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7" name="Drop Down 223" hidden="1">
              <a:extLst>
                <a:ext uri="{63B3BB69-23CF-44E3-9099-C40C66FF867C}">
                  <a14:compatExt spid="_x0000_s2684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8" name="Drop Down 224" hidden="1">
              <a:extLst>
                <a:ext uri="{63B3BB69-23CF-44E3-9099-C40C66FF867C}">
                  <a14:compatExt spid="_x0000_s2684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9" name="Drop Down 225" hidden="1">
              <a:extLst>
                <a:ext uri="{63B3BB69-23CF-44E3-9099-C40C66FF867C}">
                  <a14:compatExt spid="_x0000_s2684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0" name="Drop Down 226" hidden="1">
              <a:extLst>
                <a:ext uri="{63B3BB69-23CF-44E3-9099-C40C66FF867C}">
                  <a14:compatExt spid="_x0000_s2685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1" name="Drop Down 227" hidden="1">
              <a:extLst>
                <a:ext uri="{63B3BB69-23CF-44E3-9099-C40C66FF867C}">
                  <a14:compatExt spid="_x0000_s2685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2" name="Drop Down 228" hidden="1">
              <a:extLst>
                <a:ext uri="{63B3BB69-23CF-44E3-9099-C40C66FF867C}">
                  <a14:compatExt spid="_x0000_s2685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3" name="Drop Down 229" hidden="1">
              <a:extLst>
                <a:ext uri="{63B3BB69-23CF-44E3-9099-C40C66FF867C}">
                  <a14:compatExt spid="_x0000_s2685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4" name="Drop Down 230" hidden="1">
              <a:extLst>
                <a:ext uri="{63B3BB69-23CF-44E3-9099-C40C66FF867C}">
                  <a14:compatExt spid="_x0000_s2685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5" name="Drop Down 231" hidden="1">
              <a:extLst>
                <a:ext uri="{63B3BB69-23CF-44E3-9099-C40C66FF867C}">
                  <a14:compatExt spid="_x0000_s2685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6" name="Drop Down 232" hidden="1">
              <a:extLst>
                <a:ext uri="{63B3BB69-23CF-44E3-9099-C40C66FF867C}">
                  <a14:compatExt spid="_x0000_s2685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7" name="Drop Down 233" hidden="1">
              <a:extLst>
                <a:ext uri="{63B3BB69-23CF-44E3-9099-C40C66FF867C}">
                  <a14:compatExt spid="_x0000_s2685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8" name="Drop Down 234" hidden="1">
              <a:extLst>
                <a:ext uri="{63B3BB69-23CF-44E3-9099-C40C66FF867C}">
                  <a14:compatExt spid="_x0000_s2685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9" name="Drop Down 235" hidden="1">
              <a:extLst>
                <a:ext uri="{63B3BB69-23CF-44E3-9099-C40C66FF867C}">
                  <a14:compatExt spid="_x0000_s2685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0" name="Drop Down 236" hidden="1">
              <a:extLst>
                <a:ext uri="{63B3BB69-23CF-44E3-9099-C40C66FF867C}">
                  <a14:compatExt spid="_x0000_s2686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1" name="Drop Down 237" hidden="1">
              <a:extLst>
                <a:ext uri="{63B3BB69-23CF-44E3-9099-C40C66FF867C}">
                  <a14:compatExt spid="_x0000_s2686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2" name="Drop Down 238" hidden="1">
              <a:extLst>
                <a:ext uri="{63B3BB69-23CF-44E3-9099-C40C66FF867C}">
                  <a14:compatExt spid="_x0000_s2686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3" name="Drop Down 239" hidden="1">
              <a:extLst>
                <a:ext uri="{63B3BB69-23CF-44E3-9099-C40C66FF867C}">
                  <a14:compatExt spid="_x0000_s2686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4" name="Drop Down 240" hidden="1">
              <a:extLst>
                <a:ext uri="{63B3BB69-23CF-44E3-9099-C40C66FF867C}">
                  <a14:compatExt spid="_x0000_s2686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5" name="Drop Down 241" hidden="1">
              <a:extLst>
                <a:ext uri="{63B3BB69-23CF-44E3-9099-C40C66FF867C}">
                  <a14:compatExt spid="_x0000_s2686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6" name="Drop Down 242" hidden="1">
              <a:extLst>
                <a:ext uri="{63B3BB69-23CF-44E3-9099-C40C66FF867C}">
                  <a14:compatExt spid="_x0000_s2686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7" name="Drop Down 243" hidden="1">
              <a:extLst>
                <a:ext uri="{63B3BB69-23CF-44E3-9099-C40C66FF867C}">
                  <a14:compatExt spid="_x0000_s2686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8" name="Drop Down 244" hidden="1">
              <a:extLst>
                <a:ext uri="{63B3BB69-23CF-44E3-9099-C40C66FF867C}">
                  <a14:compatExt spid="_x0000_s2686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9" name="Drop Down 245" hidden="1">
              <a:extLst>
                <a:ext uri="{63B3BB69-23CF-44E3-9099-C40C66FF867C}">
                  <a14:compatExt spid="_x0000_s2686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0" name="Drop Down 246" hidden="1">
              <a:extLst>
                <a:ext uri="{63B3BB69-23CF-44E3-9099-C40C66FF867C}">
                  <a14:compatExt spid="_x0000_s2687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1" name="Drop Down 247" hidden="1">
              <a:extLst>
                <a:ext uri="{63B3BB69-23CF-44E3-9099-C40C66FF867C}">
                  <a14:compatExt spid="_x0000_s2687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2" name="Drop Down 248" hidden="1">
              <a:extLst>
                <a:ext uri="{63B3BB69-23CF-44E3-9099-C40C66FF867C}">
                  <a14:compatExt spid="_x0000_s2687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3" name="Drop Down 249" hidden="1">
              <a:extLst>
                <a:ext uri="{63B3BB69-23CF-44E3-9099-C40C66FF867C}">
                  <a14:compatExt spid="_x0000_s2687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4" name="Drop Down 250" hidden="1">
              <a:extLst>
                <a:ext uri="{63B3BB69-23CF-44E3-9099-C40C66FF867C}">
                  <a14:compatExt spid="_x0000_s2687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5" name="Drop Down 251" hidden="1">
              <a:extLst>
                <a:ext uri="{63B3BB69-23CF-44E3-9099-C40C66FF867C}">
                  <a14:compatExt spid="_x0000_s2687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6" name="Drop Down 252" hidden="1">
              <a:extLst>
                <a:ext uri="{63B3BB69-23CF-44E3-9099-C40C66FF867C}">
                  <a14:compatExt spid="_x0000_s2687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7" name="Drop Down 253" hidden="1">
              <a:extLst>
                <a:ext uri="{63B3BB69-23CF-44E3-9099-C40C66FF867C}">
                  <a14:compatExt spid="_x0000_s2687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8" name="Drop Down 254" hidden="1">
              <a:extLst>
                <a:ext uri="{63B3BB69-23CF-44E3-9099-C40C66FF867C}">
                  <a14:compatExt spid="_x0000_s2687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9" name="Drop Down 255" hidden="1">
              <a:extLst>
                <a:ext uri="{63B3BB69-23CF-44E3-9099-C40C66FF867C}">
                  <a14:compatExt spid="_x0000_s2687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0" name="Drop Down 256" hidden="1">
              <a:extLst>
                <a:ext uri="{63B3BB69-23CF-44E3-9099-C40C66FF867C}">
                  <a14:compatExt spid="_x0000_s2688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1" name="Drop Down 257" hidden="1">
              <a:extLst>
                <a:ext uri="{63B3BB69-23CF-44E3-9099-C40C66FF867C}">
                  <a14:compatExt spid="_x0000_s2688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121912</xdr:rowOff>
    </xdr:to>
    <xdr:pic>
      <xdr:nvPicPr>
        <xdr:cNvPr id="310" name="그림 30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2100722" y="9933215"/>
          <a:ext cx="0" cy="1397240"/>
        </a:xfrm>
        <a:prstGeom prst="rect">
          <a:avLst/>
        </a:prstGeom>
      </xdr:spPr>
    </xdr:pic>
    <xdr:clientData/>
  </xdr:twoCellAnchor>
  <xdr:oneCellAnchor>
    <xdr:from>
      <xdr:col>33</xdr:col>
      <xdr:colOff>392206</xdr:colOff>
      <xdr:row>83</xdr:row>
      <xdr:rowOff>123265</xdr:rowOff>
    </xdr:from>
    <xdr:ext cx="0" cy="5022170"/>
    <xdr:pic>
      <xdr:nvPicPr>
        <xdr:cNvPr id="311" name="그림 31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194681"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2" name="그림 31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3" name="그림 31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35</xdr:col>
      <xdr:colOff>392206</xdr:colOff>
      <xdr:row>83</xdr:row>
      <xdr:rowOff>123265</xdr:rowOff>
    </xdr:from>
    <xdr:ext cx="0" cy="5022170"/>
    <xdr:pic>
      <xdr:nvPicPr>
        <xdr:cNvPr id="314" name="그림 31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36</xdr:col>
      <xdr:colOff>392206</xdr:colOff>
      <xdr:row>83</xdr:row>
      <xdr:rowOff>123265</xdr:rowOff>
    </xdr:from>
    <xdr:ext cx="0" cy="5022170"/>
    <xdr:pic>
      <xdr:nvPicPr>
        <xdr:cNvPr id="315" name="그림 31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71855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6" name="그림 31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7" name="그림 31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38</xdr:col>
      <xdr:colOff>0</xdr:colOff>
      <xdr:row>83</xdr:row>
      <xdr:rowOff>123265</xdr:rowOff>
    </xdr:from>
    <xdr:ext cx="0" cy="5022170"/>
    <xdr:pic>
      <xdr:nvPicPr>
        <xdr:cNvPr id="318" name="그림 31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19" name="그림 31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0" name="그림 31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1" name="그림 32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2" name="그림 32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3" name="그림 32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4" name="그림 32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5" name="그림 32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6" name="그림 32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7" name="그림 32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8" name="그림 32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9" name="그림 32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0" name="그림 32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86</xdr:row>
      <xdr:rowOff>0</xdr:rowOff>
    </xdr:from>
    <xdr:ext cx="0" cy="5022170"/>
    <xdr:pic>
      <xdr:nvPicPr>
        <xdr:cNvPr id="331" name="그림 3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5097125"/>
          <a:ext cx="0" cy="5022170"/>
        </a:xfrm>
        <a:prstGeom prst="rect">
          <a:avLst/>
        </a:prstGeom>
      </xdr:spPr>
    </xdr:pic>
    <xdr:clientData/>
  </xdr:oneCellAnchor>
  <xdr:oneCellAnchor>
    <xdr:from>
      <xdr:col>38</xdr:col>
      <xdr:colOff>0</xdr:colOff>
      <xdr:row>83</xdr:row>
      <xdr:rowOff>123265</xdr:rowOff>
    </xdr:from>
    <xdr:ext cx="0" cy="5022170"/>
    <xdr:pic>
      <xdr:nvPicPr>
        <xdr:cNvPr id="332" name="그림 3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3" name="그림 3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4" name="그림 3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392206</xdr:colOff>
      <xdr:row>83</xdr:row>
      <xdr:rowOff>123265</xdr:rowOff>
    </xdr:from>
    <xdr:ext cx="0" cy="5022170"/>
    <xdr:pic>
      <xdr:nvPicPr>
        <xdr:cNvPr id="335" name="그림 3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5377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6" name="그림 3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7" name="그림 3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8" name="그림 3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9" name="그림 3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0" name="그림 3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1" name="그림 3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2" name="그림 3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3" name="그림 3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44</xdr:col>
      <xdr:colOff>392206</xdr:colOff>
      <xdr:row>83</xdr:row>
      <xdr:rowOff>123265</xdr:rowOff>
    </xdr:from>
    <xdr:ext cx="0" cy="5022170"/>
    <xdr:pic>
      <xdr:nvPicPr>
        <xdr:cNvPr id="344" name="그림 3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185531" y="14706040"/>
          <a:ext cx="0" cy="5022170"/>
        </a:xfrm>
        <a:prstGeom prst="rect">
          <a:avLst/>
        </a:prstGeom>
      </xdr:spPr>
    </xdr:pic>
    <xdr:clientData/>
  </xdr:oneCellAnchor>
  <xdr:oneCellAnchor>
    <xdr:from>
      <xdr:col>45</xdr:col>
      <xdr:colOff>392206</xdr:colOff>
      <xdr:row>83</xdr:row>
      <xdr:rowOff>123265</xdr:rowOff>
    </xdr:from>
    <xdr:ext cx="0" cy="5022170"/>
    <xdr:pic>
      <xdr:nvPicPr>
        <xdr:cNvPr id="345" name="그림 3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633206" y="14706040"/>
          <a:ext cx="0" cy="5022170"/>
        </a:xfrm>
        <a:prstGeom prst="rect">
          <a:avLst/>
        </a:prstGeom>
      </xdr:spPr>
    </xdr:pic>
    <xdr:clientData/>
  </xdr:oneCellAnchor>
  <xdr:oneCellAnchor>
    <xdr:from>
      <xdr:col>47</xdr:col>
      <xdr:colOff>392206</xdr:colOff>
      <xdr:row>73</xdr:row>
      <xdr:rowOff>123265</xdr:rowOff>
    </xdr:from>
    <xdr:ext cx="0" cy="5022170"/>
    <xdr:pic>
      <xdr:nvPicPr>
        <xdr:cNvPr id="346" name="그림 3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48</xdr:col>
      <xdr:colOff>392206</xdr:colOff>
      <xdr:row>73</xdr:row>
      <xdr:rowOff>123265</xdr:rowOff>
    </xdr:from>
    <xdr:ext cx="0" cy="5022170"/>
    <xdr:pic>
      <xdr:nvPicPr>
        <xdr:cNvPr id="347" name="그림 3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50</xdr:col>
      <xdr:colOff>392206</xdr:colOff>
      <xdr:row>73</xdr:row>
      <xdr:rowOff>123265</xdr:rowOff>
    </xdr:from>
    <xdr:ext cx="0" cy="5022170"/>
    <xdr:pic>
      <xdr:nvPicPr>
        <xdr:cNvPr id="348" name="그림 3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51</xdr:col>
      <xdr:colOff>392206</xdr:colOff>
      <xdr:row>73</xdr:row>
      <xdr:rowOff>123265</xdr:rowOff>
    </xdr:from>
    <xdr:ext cx="0" cy="5022170"/>
    <xdr:pic>
      <xdr:nvPicPr>
        <xdr:cNvPr id="349" name="그림 3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52</xdr:col>
      <xdr:colOff>392206</xdr:colOff>
      <xdr:row>73</xdr:row>
      <xdr:rowOff>123265</xdr:rowOff>
    </xdr:from>
    <xdr:ext cx="0" cy="5022170"/>
    <xdr:pic>
      <xdr:nvPicPr>
        <xdr:cNvPr id="350" name="그림 3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1" name="그림 3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2" name="그림 3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3" name="그림 3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4" name="그림 3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5" name="그림 3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6" name="그림 3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7" name="그림 3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8" name="그림 3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9" name="그림 3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0" name="그림 3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1" name="그림 3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2" name="그림 3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82" name="Drop Down 258" hidden="1">
              <a:extLst>
                <a:ext uri="{63B3BB69-23CF-44E3-9099-C40C66FF867C}">
                  <a14:compatExt spid="_x0000_s26882"/>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22</xdr:col>
      <xdr:colOff>38100</xdr:colOff>
      <xdr:row>9</xdr:row>
      <xdr:rowOff>190500</xdr:rowOff>
    </xdr:from>
    <xdr:to>
      <xdr:col>56</xdr:col>
      <xdr:colOff>19050</xdr:colOff>
      <xdr:row>9</xdr:row>
      <xdr:rowOff>198346</xdr:rowOff>
    </xdr:to>
    <xdr:cxnSp macro="">
      <xdr:nvCxnSpPr>
        <xdr:cNvPr id="364" name="직선 연결선 363">
          <a:extLst>
            <a:ext uri="{FF2B5EF4-FFF2-40B4-BE49-F238E27FC236}">
              <a16:creationId xmlns:a16="http://schemas.microsoft.com/office/drawing/2014/main" id="{00000000-0008-0000-0200-000004000000}"/>
            </a:ext>
          </a:extLst>
        </xdr:cNvPr>
        <xdr:cNvCxnSpPr/>
      </xdr:nvCxnSpPr>
      <xdr:spPr>
        <a:xfrm flipV="1">
          <a:off x="13773150" y="1933575"/>
          <a:ext cx="10029825" cy="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5</xdr:col>
          <xdr:colOff>609600</xdr:colOff>
          <xdr:row>82</xdr:row>
          <xdr:rowOff>9525</xdr:rowOff>
        </xdr:from>
        <xdr:to>
          <xdr:col>6</xdr:col>
          <xdr:colOff>914400</xdr:colOff>
          <xdr:row>83</xdr:row>
          <xdr:rowOff>0</xdr:rowOff>
        </xdr:to>
        <xdr:sp macro="" textlink="">
          <xdr:nvSpPr>
            <xdr:cNvPr id="26883" name="Drop Down 259" hidden="1">
              <a:extLst>
                <a:ext uri="{63B3BB69-23CF-44E3-9099-C40C66FF867C}">
                  <a14:compatExt spid="_x0000_s26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466725</xdr:colOff>
      <xdr:row>6</xdr:row>
      <xdr:rowOff>11768</xdr:rowOff>
    </xdr:from>
    <xdr:to>
      <xdr:col>23</xdr:col>
      <xdr:colOff>476250</xdr:colOff>
      <xdr:row>7</xdr:row>
      <xdr:rowOff>164729</xdr:rowOff>
    </xdr:to>
    <xdr:sp macro="" textlink="">
      <xdr:nvSpPr>
        <xdr:cNvPr id="366" name="직사각형 365"/>
        <xdr:cNvSpPr/>
      </xdr:nvSpPr>
      <xdr:spPr>
        <a:xfrm>
          <a:off x="13611225" y="1259543"/>
          <a:ext cx="647700" cy="324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000" b="1">
              <a:solidFill>
                <a:srgbClr val="0000FF"/>
              </a:solidFill>
              <a:latin typeface="+mn-ea"/>
              <a:ea typeface="+mn-ea"/>
            </a:rPr>
            <a:t>Actual</a:t>
          </a:r>
          <a:endParaRPr lang="ko-KR" altLang="en-US" sz="1000" b="1">
            <a:solidFill>
              <a:srgbClr val="0000FF"/>
            </a:solidFill>
            <a:latin typeface="+mn-ea"/>
            <a:ea typeface="+mn-ea"/>
          </a:endParaRPr>
        </a:p>
      </xdr:txBody>
    </xdr:sp>
    <xdr:clientData/>
  </xdr:twoCellAnchor>
  <xdr:twoCellAnchor>
    <xdr:from>
      <xdr:col>23</xdr:col>
      <xdr:colOff>351304</xdr:colOff>
      <xdr:row>5</xdr:row>
      <xdr:rowOff>42863</xdr:rowOff>
    </xdr:from>
    <xdr:to>
      <xdr:col>23</xdr:col>
      <xdr:colOff>529164</xdr:colOff>
      <xdr:row>9</xdr:row>
      <xdr:rowOff>128028</xdr:rowOff>
    </xdr:to>
    <xdr:sp macro="" textlink="">
      <xdr:nvSpPr>
        <xdr:cNvPr id="367" name="왼쪽 중괄호 366"/>
        <xdr:cNvSpPr/>
      </xdr:nvSpPr>
      <xdr:spPr>
        <a:xfrm>
          <a:off x="14133979" y="1119188"/>
          <a:ext cx="177860" cy="770965"/>
        </a:xfrm>
        <a:prstGeom prst="leftBrace">
          <a:avLst/>
        </a:prstGeom>
        <a:ln w="190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723900</xdr:colOff>
      <xdr:row>22</xdr:row>
      <xdr:rowOff>66676</xdr:rowOff>
    </xdr:from>
    <xdr:to>
      <xdr:col>25</xdr:col>
      <xdr:colOff>142874</xdr:colOff>
      <xdr:row>32</xdr:row>
      <xdr:rowOff>104775</xdr:rowOff>
    </xdr:to>
    <xdr:sp macro="" textlink="">
      <xdr:nvSpPr>
        <xdr:cNvPr id="2" name="TextBox 1"/>
        <xdr:cNvSpPr txBox="1"/>
      </xdr:nvSpPr>
      <xdr:spPr>
        <a:xfrm>
          <a:off x="14678025" y="3895726"/>
          <a:ext cx="3276599" cy="2514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i="1"/>
            <a:t>케이원은 아님</a:t>
          </a:r>
          <a:r>
            <a:rPr lang="en-US" altLang="ko-KR" sz="1000" i="1"/>
            <a:t>,....</a:t>
          </a:r>
        </a:p>
        <a:p>
          <a:r>
            <a:rPr lang="ko-KR" altLang="en-US" sz="1000" i="1"/>
            <a:t>사업베타를 쓴 이유</a:t>
          </a:r>
          <a:r>
            <a:rPr lang="en-US" altLang="ko-KR" sz="1000" i="1"/>
            <a:t>) </a:t>
          </a:r>
          <a:r>
            <a:rPr lang="ko-KR" altLang="en-US" sz="1000" i="1"/>
            <a:t>상장 리츠는 대부분 오피스로 물류리츠에 대한 물건의 유사성이 다소 적다고 판단되며 해당 </a:t>
          </a:r>
          <a:r>
            <a:rPr lang="en-US" altLang="ko-KR" sz="1000" i="1"/>
            <a:t>1</a:t>
          </a:r>
          <a:r>
            <a:rPr lang="ko-KR" altLang="en-US" sz="1000" i="1"/>
            <a:t>종 및 </a:t>
          </a:r>
          <a:r>
            <a:rPr lang="en-US" altLang="ko-KR" sz="1000" i="1"/>
            <a:t>2</a:t>
          </a:r>
          <a:r>
            <a:rPr lang="ko-KR" altLang="en-US" sz="1000" i="1"/>
            <a:t>종의 배당금의 흐름</a:t>
          </a:r>
          <a:r>
            <a:rPr lang="en-US" altLang="ko-KR" sz="1000" i="1"/>
            <a:t>, </a:t>
          </a:r>
          <a:r>
            <a:rPr lang="ko-KR" altLang="en-US" sz="1000" i="1"/>
            <a:t>향후 공모 예정 등의 상황으로 볼 때 사업이 가지게 되는 위험이 반영되고 기준시점 현재 건설중인 자산이며</a:t>
          </a:r>
          <a:r>
            <a:rPr lang="en-US" altLang="ko-KR" sz="1000" i="1"/>
            <a:t>, </a:t>
          </a:r>
          <a:r>
            <a:rPr lang="ko-KR" altLang="en-US" sz="1000" i="1"/>
            <a:t>현재 해당 주주가 가지게 되는 요구수익률이 반영된 </a:t>
          </a:r>
          <a:r>
            <a:rPr lang="en-US" altLang="ko-KR" sz="1000" i="1"/>
            <a:t>IRR</a:t>
          </a:r>
          <a:r>
            <a:rPr lang="ko-KR" altLang="en-US" sz="1000" i="1"/>
            <a:t>을 적용하여 할인 하는 것이 보다 타당하다고 판단되어 적용하였음 </a:t>
          </a:r>
          <a:r>
            <a:rPr lang="en-US" altLang="ko-KR" sz="1000" i="1">
              <a:solidFill>
                <a:srgbClr val="FF0000"/>
              </a:solidFill>
            </a:rPr>
            <a:t>(</a:t>
          </a:r>
          <a:r>
            <a:rPr lang="ko-KR" altLang="en-US" sz="1000" i="1">
              <a:solidFill>
                <a:srgbClr val="FF0000"/>
              </a:solidFill>
            </a:rPr>
            <a:t>코크렙</a:t>
          </a:r>
          <a:r>
            <a:rPr lang="en-US" altLang="ko-KR" sz="1000" i="1">
              <a:solidFill>
                <a:srgbClr val="FF0000"/>
              </a:solidFill>
            </a:rPr>
            <a:t>) &gt;&gt; </a:t>
          </a:r>
          <a:r>
            <a:rPr lang="ko-KR" altLang="en-US" sz="1000" i="1">
              <a:solidFill>
                <a:srgbClr val="FF0000"/>
              </a:solidFill>
            </a:rPr>
            <a:t>필요한 내용만 쓰기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569;&#52292;&#54861;\&#50868;&#50689;\&#44288;&#47144;&#51088;&#47308;\SM\Inspection%20&amp;%20Checklist\QPQ_20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ikyongsoo\DATA\&#51088;&#47308;&#44160;&#53664;\1&#49324;&#50629;&#49457;&#44160;&#53664;&#51088;&#47308;\&#44053;&#45224;&#44396;&#52397;&#44060;&#48156;\&#51312;&#45804;&#52397;&#48512;&#51648;&#44060;&#48156;\&#49340;&#49457;&#47932;&#49328;\&#49352;&#54028;&#51068;\A&#49373;&#47749;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9884;&#4944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Capital\Project\02%20%20Income%20%20Producing\&#45817;&#49328;&#46041;%20&#47000;&#46020;%20&#50724;&#54588;&#49828;&#53588;%23396\round2\&#48373;&#49324;&#48376;%20Raedo%20Officetel_CF_Office(&#50724;&#53356;&#50864;&#46300;&#51228;&#50504;_ja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51333;&#48124;\&#52572;&#45824;&#47532;&#50629;&#47924;\My%20Documents\&#51088;&#44552;&#54016;\9909&#51088;&#44552;&#54016;&#44228;&#51221;&#47749;&#4946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lsv01\&#65328;&#65325;\Everyone\Asset%20Management\NCR%20Yokohama%20East\Asset%20Mgmt\Report\Oct-03\Shinjuku%232\Shinjuku%232%2010-03%20Executive%20Summary.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koor\12-97\mas1997\MAS12-9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fs1\am2\Documents%20and%20Settings\dshin\My%20Documents\K-1%20REIT\Origination\Model%20Life_1021Actu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8149;&#51648;&#49440;\d\Documents%20and%20Settings\dshin\My%20Documents\K-1%20REIT\Origination\Model%20Life_1021Actua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imco81\10_reim\Project\&#50724;&#54588;&#49828;&#53588;\&#48512;&#54217;&#50724;&#54588;&#49828;&#53588;\&#48512;&#54217;&#50669;&#50724;&#54588;&#49828;&#5358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9324;&#50629;&#52509;&#44292;\doosan\dscsuper\EXCEL\&#54624;&#47021;&#51060;\&#54840;&#50896;&#46160;&#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9884;&#4944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Samsung%20Heavy\Samsung%20Heavy%20Industry%20Bldg.Inf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8149;&#51648;&#49440;\d\Korea\KCAT\Bid\Samsung%20Heavy\Samsung%20Heavy%20Industry%20Bldg.Inf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51228;&#50504;&#49436;\&#51008;&#49437;&#48716;&#46377;\&#47196;&#45812;&#53076;&#52509;&#44292;&#51228;&#50504;&#44204;&#51201;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10.10.10\f.ai&#48376;&#48512;\&#51228;&#50504;&#49436;\&#51008;&#49437;&#48716;&#46377;\&#47196;&#45812;&#53076;&#52509;&#44292;&#51228;&#50504;&#44204;&#51201;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ccrpfs1\NCCR\Documents%20and%20Settings\jonathans\Desktop\InvestExistingV5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DOCUME~1\gilg\LOCALS~1\Temp\India%20Report%2001_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Radware%2007%200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KDB%20final%20cash%20flo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fs1\am2\Documents%20and%20Settings\spark02\&#48148;&#53461;%20&#54868;&#47732;\Euljiro%202-ga_NCC%20CF_Jul%2026_@15M%20per%20py_3M%20downtime_sp_updat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RESEKRAMCFIPR\share\Asset_Management\01%20Project\01%20Under%20Management\01%20Samboo%20Building\04%20Asset%20Management\02%20Report\06%20September%202006\CPI\Am%20Report%20Package%20-%20September%202006\6.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William\gra\Ace\valuatio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My%20Documents\Security\Database\&#54620;&#51652;&#49437;\&#53804;&#51088;\&#49688;&#51061;&#50857;&#48512;&#46041;&#49328;\Valuation%20Form.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333;&#54633;&#50629;&#47924;\&#49352;%20&#54260;&#45908;\MJR\&#44277;&#50976;\&#54620;&#44397;&#51473;&#44277;&#50629;&#49884;&#4944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9-20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F832A71\SITUATION%20ALPINE%2003%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51648;&#49440;\d\&#44277;&#50976;\&#51228;&#50504;&#49436;\&#51008;&#49437;&#48716;&#46377;\&#47196;&#45812;&#53076;&#52509;&#44292;&#51228;&#50504;&#44204;&#51201;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2-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8372;&#5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9884;&#4944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9884;&#4944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8372;&#5050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fs1\am2\P_Diners\Citi%20Model%200924_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48149;&#51648;&#49440;\d\P_Diners\Citi%20Model%200924_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1&#44592;&#47568;\&#54620;&#51068;&#49328;&#50629;\&#54924;&#49324;&#51088;&#47308;\&#44208;&#49328;&#44288;&#47144;\BOND.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My%20Documents\excercise\Report(kamco-jv-amc)%20&#51060;&#44172;%20&#51652;&#5167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My%20Documents\excercise\Report(kamco-jv-amc)%20&#51060;&#44172;%20&#51652;&#5167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nccrpfs1\NCCR\Acquisitions\Templates\LA%20Templates\Standard%20Existing%20Asset%20Folder%20Set\Underwriting\Base\InvestExistingV5.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Templete_CA_Valuation%20Form.(NP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226A4255\Situation%2001-2003%20ext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1610%20&#50696;&#48708;%20&#48516;&#49437;&#51201;%20&#44160;&#53664;&#51312;&#49436;&#51032;%20&#50892;&#53356;&#49884;&#5394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RESEKRAMCFIPR\share\Documents%20and%20Settings\&#44608;&#48276;&#49688;\Local%20Settings\Temporary%20Internet%20Files\OLK86\Tentative%20Rent%20Roll%20(Sep112006)%20(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49828;&#53440;&#46356;&#50500;&#48716;&#46377;\&#49892;&#49324;&#44288;&#47144;\&#51116;&#47924;&#49892;&#49324;\&#47605;&#49828;14&#54840;-final-confirm\&#47605;&#49828;14&#54840;_20050825-final.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45936;&#51060;&#53092;3\&#50864;&#52404;&#53685;\&#51333;&#54633;&#50629;&#47924;\&#49352;%20&#54260;&#45908;\MJR\&#44277;&#50976;\&#54620;&#44397;&#51473;&#44277;&#50629;&#49884;&#4944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WINDOWS\Local%20Settings\Temporary%20Internet%20Files\Content.IE5\0TYBC9MZ\valuatio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8149;&#51648;&#49440;\d\WINDOWS\Local%20Settings\Temporary%20Internet%20Files\Content.IE5\0TYBC9MZ\valuatio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8149;&#51648;&#49440;\d\&#49352;%20&#54260;&#45908;\&#50868;&#50689;&#54016;%20FILE(&#54801;&#47141;&#50629;&#52404;&#44288;&#47144;)\&#54801;&#47141;&#54924;&#49324;\2003&#45380;&#51088;&#47308;\2003&#44228;&#50557;&#44288;&#47144;&#51088;&#47308;(Excel)\&#50629;&#52404;&#48324;&#44228;&#50557;&#54788;&#54889;\&#49368;&#49828;&#48716;&#46377;&#44288;&#47532;\7&#44228;&#50557;(04-1&#50900;)\My%20Documents\&#54801;&#47141;&#50629;&#52404;\2001&#44228;&#50557;&#44288;&#47144;&#51088;&#47308;\&#53328;&#48708;&#49828;\2001&#49884;&#49444;&#46020;&#44553;(&#53328;&#48708;&#498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44288;&#47532;\&#47196;&#52972;%20&#46356;&#49828;&#53356;%20(e)\&#50508;&#54028;&#47928;&#49436;\kaa\Repair%20&amp;%20Capex\2008&#45380;Repair%20&amp;%20Capex\200501\Documents%20and%20Settings\bae\My%20Documents\&#48512;&#46041;&#49328;&#44288;&#47532;&#48372;&#44256;&#49436;(&#54869;&#51221;)\&#53076;&#53356;&#47129;3&#54840;%20&#51228;2&#44592;\2004.05\5&#50900;&#48372;&#44256;&#49436;\Documents%20and%20Settings\bae\My%20Documents\&#48512;&#46041;&#49328;&#44288;&#47532;&#48372;&#44256;&#49436;"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fs\AA\Documents%20and%20Settings\koramco\My%20Documents\My%20Works\Accouting\Budget\Budget&#51012;%20&#50948;&#54620;%20SAC&#49324;&#50629;&#48516;&#49437;-%20&#51089;&#50629;&#51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0.10.10.10\f.ai&#48376;&#48512;\Documents%20and%20Settings\koramco\Local%20Settings\Temporary%20Internet%20Files\Content.IE5\A1K7YL25\Budget&#51012;%20&#50948;&#54620;%20&#53685;&#54633;FM(&#52264;,&#51088;,&#48372;,F,&#49884;&#51089;&#51068;&#51088;,&#48516;&#44592;&#48320;&#4422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fs1\am2\P_Bella\Bella%20Model%201007.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48149;&#51648;&#49440;\d\P_Bella\Bella%20Model%201007.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ccrpfs1\NCCR\sample%20file\Everyone\Acquisitions\04%20Projects\Open\Dynacel%20Oimachi\&#12467;&#12500;&#12540;Dynacel%20Oimachi%20Static%20Single%20Asset%20CF%20(2004101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fs1\am2\Documents%20and%20Settings\jwkim\&#48148;&#53461;%20&#54868;&#47732;\K_1\budget\CONSOL\2004_Budget%20Don_0311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8149;&#51648;&#49440;\d\Documents%20and%20Settings\jwkim\&#48148;&#53461;%20&#54868;&#47732;\K_1\budget\CONSOL\2004_Budget%20Don_0311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0Project\KDB\&#54217;&#44032;&#54868;&#51068;\Report-form(KDB).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0Project\KDB\&#54217;&#44032;&#54868;&#51068;\Report-form(KDB).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ccrpfs1\NCCR\Documents%20and%20Settings\jonathans\Application%20Data\Microsoft\Excel\InvestExistingV5%20(version%2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uation%2009-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47196;&#45812;&#53076;&#52509;&#44292;&#51228;&#50504;&#44204;&#51201;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47196;&#45812;&#53076;&#52509;&#44292;&#51228;&#50504;&#44204;&#51201;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APPS\EXCEL\CAAP\ABB15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mw443\d\OTHER\96&#48152;&#44592;~1\6M\PUBLIC\FS96.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8372;&#505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8;&#50689;&#49892;1\&#44277;&#50976;%20&#47928;&#49436;\&#51333;&#54633;&#50629;&#47924;\&#49352;%20&#54260;&#45908;\MJR\&#44277;&#50976;\&#54620;&#44397;&#51473;&#44277;&#50629;&#48372;&#5050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D:\00.Work\03.RealEstate\113.&#52649;&#47924;&#47196;%20&#51228;&#51068;&#48337;&#50896;\00.Financial%20Models\&#52649;&#47924;&#47196;&#51228;&#51068;&#48337;&#50896;_FM_20201015_v1.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fs\KAA_AA\Documents%20and%20Settings\koramco\My%20Documents\My%20Works\Accouting\Budget\Budget&#51012;%20&#50948;&#54620;%20SAC&#49324;&#50629;&#48516;&#49437;-%20&#51089;&#50629;&#51473;.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00;&#51109;&#51088;&#47308;\databank\Office\forecast\abroption%20projection_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200;&#51109;&#51088;&#47308;\databank\Office\forecast\abroption%20projection_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Local%20Settings\Temporary%20Internet%20Files\Content.IE5\K90DMFS5\&#53685;&#54633;FM(&#52264;,&#51088;,&#48372;,F,&#49884;&#51089;&#51068;&#51088;,&#48516;&#44592;&#48320;&#4422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Local%20Settings\Temp\_AZTMP84_\040908_SCAS%20V1.5_&#49373;&#47749;.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Kfs1\AM2\Dokumente%20und%20Einstellungen\PC04\Lokale%20Einstellungen\Temporary%20Internet%20Files\OLK7\Reporting%20Packag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Kfs1\am2\&#50900;&#52264;&#44208;&#49328;\9604&#50900;&#52264;.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10.10.10\f.ai&#48376;&#48512;\&#50900;&#52264;&#44208;&#49328;\9604&#50900;&#5226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312;&#44049;&#51452;\&#44277;&#50976;\&#54868;&#51068;&#44277;&#50976;\&#53076;&#46988;&#53076;\&#51473;&#45824;&#54596;&#46041;&#48337;&#50896;\&#46020;&#49900;&#44277;&#54637;&#53552;&#48120;&#45328;\T.cap&#51004;&#47196;%20&#47588;&#44033;(3.7%25)\&#48512;&#49324;&#51109;&#45784;&#48372;&#44256;(1.12)\Valuation\&#54217;&#44032;&#54268;\&#53076;&#46988;&#53076;&#54217;&#44032;&#54268;\Reits-CF\&#45824;&#50864;&#44148;&#49444;%20CF.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Hansol\Hansol%2010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8149;&#51648;&#49440;\d\Korea\KCAT\Bid\Hansol\Hansol%20103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55;&#51008;%20&#54028;&#51068;\Korea\KCAT\Bid\Samsung%20Heavy\Samsung%20Heavy%20Industry%20Bldg.Inf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Everyone\NCC_Acquisitions\05%20Projects\Open\Shibuya%20KI%20Bldg\FINANCIAL%20ANALYSIS\Shibuya%20ARGUS\Shibuya%20KI%20Bldg%20ARGUS%20with%20Sensitivity%20Analysis%20tes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8372;&#505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1\8667cdr\LOCALS~1\Temp\469879379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RESEKRAMCFIPR\share\DOCUME~1\8667cdr\LOCALS~1\Temp\46987937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50724;&#54788;&#49437;\&#50900;&#44036;&#48372;&#44256;&#49436;\Windows\Temporary%20Internet%20Files\OLKB355\&#49324;&#50629;&#51109;\&#47196;&#45812;&#53076;&#53440;&#50892;\&#50900;&#47568;&#48372;&#44256;&#49436;\MJR\&#44277;&#50976;\&#54620;&#44397;&#51473;&#44277;&#50629;&#49884;&#4944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10.10.10\f.ai&#48376;&#48512;\Windows\Temporary%20Internet%20Files\OLKB355\&#49324;&#50629;&#51109;\&#47196;&#45812;&#53076;&#53440;&#50892;\&#50900;&#47568;&#48372;&#44256;&#49436;\MJR\&#44277;&#50976;\&#54620;&#44397;&#51473;&#44277;&#50629;&#49884;&#4944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ssetservice\Asset%20Service%20Database%20(E)\Korea\KCAT\Bid\Samsung%20Heavy\Samsung%20Heavy%20Industry%20Bldg.Info.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otal1\&#36035;&#36024;&#20107;&#26989;&#37096;\TEMP\YTD010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2&#48152;&#44592;\&#49464;&#53076;&#45769;&#49828;\&#48512;&#50808;&#48512;&#5229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44592;&#47568;AS&#45796;&#50868;&#47196;&#46300;\&#49933;&#50857;&#51088;&#46041;&#52264;\5131%20&#54788;&#44552;&#44284;&#50696;&#4455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Local%20Settings\Temporary%20Internet%20Files\Content.IE5\NGKIO3PC\&#51060;&#44592;&#50689;\6212%20&#48372;&#49688;&#51032;&#44228;&#49328;ver3.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5110%20&#54788;&#44552;&#44284;&#50696;&#44552;%20LS&#51032;%20&#50892;&#53356;&#49884;&#53944;"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5110%20%20&#54788;&#44552;&#44284;%20&#50696;&#44552;%20lead-&#51652;&#55141;&#51032;%20&#50892;&#53356;&#49884;&#53944;"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nccrpfs1\NCCR\Everyone\Asset%20Management\Report(&#65315;&#65331;&#65323;%20etc)\Feb-04\NCR1\8%20Todoroki\Todoroki%20Feb-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Templates\JS%20Tokyo%20Base%20CF%20(non-argus)v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924;&#49324;&#51228;&#49884;\&#49436;&#50872;&#49324;&#47924;&#49548;\My%20Documents\&#44208;&#49328;&#50629;&#47924;\01.12&#50900;&#47568;&#44208;&#49328;\&#49688;&#49888;&#48169;\2001&#45380;%20&#44208;&#49328;&#51088;&#47308;\My%20Documents\&#51064;&#49688;&#52264;&#51077;&#44552;\&#51068;&#51068;&#51221;&#4932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fs1\am2\Documents%20and%20Settings\JHEUN\&#48148;&#53461;%20&#54868;&#47732;\SCT%20CF\GS_CF_SKC_5yr.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760%20&#44048;&#44032;&#49345;&#44033;&#48708;(&#45572;&#44228;&#50529;)&#47749;&#49464;&#49436;"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02%20NPS2&#54840;\&#48512;&#44032;&#49464;&#47749;&#49464;\&#48512;&#44032;&#49464;recon_nps2(10.2&#48516;&#4459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48152;&#44592;&#44160;&#53664;\&#46041;&#50896;&#52285;&#53804;\&#54788;&#44552;&#55120;&#47492;&#54364;.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4592;&#47568;AS&#45796;&#50868;&#47196;&#46300;\&#46041;&#50896;&#51613;&#44428;\2263%20WTB(31%2012%20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788;&#44552;&#50696;&#52824;&#44552;.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2261%20wtb_1Q03&#51032;%20&#50892;&#53356;&#49884;&#53944;"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8110%20&#50689;&#50629;&#49688;&#51061;%20LS&#51032;%20&#50892;&#53356;&#49884;&#53944;"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Worksheet%20in%205720%20&#50976;&#54805;&#51088;&#49328;%20LEAD" TargetMode="External"/></Relationships>
</file>

<file path=xl/externalLinks/_rels/externalLink110.xml.rels><?xml version="1.0" encoding="UTF-8" standalone="yes"?>
<Relationships xmlns="http://schemas.openxmlformats.org/package/2006/relationships"><Relationship Id="rId1" Type="http://schemas.microsoft.com/office/2006/relationships/xlExternalLinkPath/xlPathMissing" Target="8150%20&#48512;&#44032;&#49464;&#44160;&#53664;&#51032;%20&#50892;&#53356;&#49884;&#53944;"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SIMPAC\5131%20&#54788;&#44552;%20&#48143;%20&#50696;&#52824;&#4455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49440;&#54812;\NPS\NPS1&#54840;&#49884;&#44536;&#47560;\NPS1&#54840;%20&#44277;&#53685;\&#51116;&#47924;&#51228;&#54364;\5&#44592;\NPS&#49464;&#47924;&#51312;&#51221;&#51088;&#47308;\&#44048;&#49324;&#51456;&#48708;\&#51116;&#47924;&#51228;&#54364;&#50752;%20&#44228;&#51221;&#48324;&#47749;&#4946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51221;&#51008;\&#51088;&#47308;&#49892;\Lead%20Sheet\&#48516;&#44592;\&#44592;&#53440;&#44256;&#51221;&#51088;&#49328;L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OVAL\OVAL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My%20Documents\HJNOH\2.service\&#45684;&#53076;&#50500;\&#52292;&#44428;&#51088;&#48176;&#48516;\&#47932;&#44148;&#48324;_&#52292;&#4792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Documents%20and%20Settings\teahykim\My%20Documents\Audit\&#49933;&#50857;&#51088;&#46041;&#52264;\2002&#45380;3&#48516;&#44592;\&#44228;&#51221;&#47749;&#49464;&#49436;\&#49436;&#50872;\&#49436;&#50872;&#44208;&#49328;&#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WINDOWS\&#48148;&#53461;%20&#54868;&#47732;\&#44608;&#44221;&#49688;\sekyong\excel\1)&#44592;&#48376;&#49436;&#4988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RESEKRAMCFIPR\share\DOCUME~1\samspc\LOCALS~1\Temp\&#44537;&#46041;&#48716;&#46377;\MR\200909\MR(Kukdong)_090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11&#50629;&#47924;&#48372;&#44256;11\&#51008;&#50689;%20(&#50628;&#51648;&#44277;&#51452;)&#51032;%2011&#50900;%20&#50900;&#44036;&#48372;&#44256;&#49436;2\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Kfs1\am2\&#47532;&#52768;&#49324;&#50629;&#44288;&#47144;\K1%20CR-REIT&#44288;&#47144;\&#49688;&#51061;&#47456;%20&#48143;%20&#44060;&#48324;&#47932;&#44148;%20&#48516;&#49437;\VAI&#53804;&#51088;&#44288;&#47144;%20&#52509;&#44292;\&#49345;&#49464;&#53804;&#51088;&#48516;&#49437;&#52509;&#44292;(1100&#50613;&#50896;).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149;&#51648;&#49440;\d\&#47532;&#52768;&#49324;&#50629;&#44288;&#47144;\K1%20CR-REIT&#44288;&#47144;\&#49688;&#51061;&#47456;%20&#48143;%20&#44060;&#48324;&#47932;&#44148;%20&#48516;&#49437;\VAI&#53804;&#51088;&#44288;&#47144;%20&#52509;&#44292;\&#49345;&#49464;&#53804;&#51088;&#48516;&#49437;&#52509;&#44292;(1100&#50613;&#50896;).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imhd\My%20Documents\&#54616;&#53216;&#54840;&#46020;&#51228;&#51068;\2003_1&#48516;&#44592;\&#51473;&#50521;&#44148;&#49444;\DATA\&#44208;&#49328;\97&#45380;\97&#44592;&#4945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50896;&#51068;&#51088;&#47308;\WINDOWS\&#48148;&#53461;%20&#54868;&#47732;\&#44608;&#44221;&#49688;\sekyong\excel\1)&#44592;&#48376;&#49436;&#49885;.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16BC3FE\My%20Docume"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5ADAACB2\&#53076;&#53356;&#47129;3&#54840;%20&#51228;2"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J:\MY%20JOB\&#44592;&#53440;&#51089;&#50629;\&#53076;&#53356;&#47129;8&#54840;\&#53076;&#53356;&#47129;8&#54840;(&#44144;&#50577;_0224_&#50724;&#5498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501\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51060;&#44053;&#49437;\ytn&#50629;&#47924;&#44277;&#50976;\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Users\Administrator\AppData\Local\Microsoft\Windows\Temporary%20Internet%20Files\Low\GS%20Tower\Kukdong%20Building\&#44537;&#46041;&#48716;&#46377;\Budget\2012&#45380;(6~7&#44592;)\&#52572;&#51333;\&#50696;&#49328;&#50504;Sheet_&#51648;&#51060;&#50644;&#54588;&#50640;&#49828;&#51228;1&#54840;_&#51228;6_7&#44592;_Final(0802).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KJOMS\98&#45380;&#44208;&#49328;&#47749;&#49464;\WOO&#51333;&#47749;\&#44208;&#49328;&#51088;&#47308;\&#50896;&#44032;&#52572;&#5133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Sang%20Kyo\&#44208;&#49328;\2001&#45380;&#44208;&#49328;\&#44208;&#49328;&#44048;&#49324;\&#50896;&#51068;&#51088;&#47308;\WINDOWS\&#48148;&#53461;%20&#54868;&#47732;\&#44608;&#44221;&#49688;\sekyong\excel\1)&#44592;&#48376;&#49436;&#4988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My%20Documents\My%20Works\KOCREF%232\SAC&#49324;&#50629;&#49457;&#48516;&#49437;\fm(&#46020;&#50880;&#51228;&#50808;)-Final\fm(8.4&#46020;&#50880;&#48716;&#46377;&#51228;&#5080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32&#50696;&#49328;_20041230\Documents%20and%20Settings\jieheechoi\Local%20Settings\Temp\_AZTMP0_\&#53685;&#54633;&#50696;&#49328;(200403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0.10.10.10\f.ai&#48376;&#48512;\%232&#50696;&#49328;_20041230\Documents%20and%20Settings\jieheechoi\Local%20Settings\Temp\_AZTMP0_\&#53685;&#54633;&#50696;&#49328;(20040308).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fs\kaa_am3\Windows\Temporary%20Internet%20Files\OLKB355\&#49324;&#50629;&#51109;\&#47196;&#45812;&#53076;&#53440;&#50892;\&#50900;&#47568;&#48372;&#44256;&#49436;\MJR\&#44277;&#50976;\&#47196;&#45812;&#53076;&#52509;&#44292;&#51228;&#50504;&#44204;&#512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Server02\am_team\Windows\Temporary%20Internet%20Files\OLKB355\&#49324;&#50629;&#51109;\&#47196;&#45812;&#53076;&#53440;&#50892;\&#50900;&#47568;&#48372;&#44256;&#49436;\MJR\&#44277;&#50976;\&#47196;&#45812;&#53076;&#52509;&#44292;&#51228;&#50504;&#44204;&#51201;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WINDOWS\&#48148;&#53461;%20&#54868;&#47732;\&#44608;&#44221;&#49688;\sekyong\excel\1)&#44592;&#48376;&#49436;&#49885;.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7749;&#49464;\2002&#45380;&#44208;&#49328;\&#51473;&#44036;&#44048;&#49324;(2002&#45380;11&#50900;)\&#51473;&#44036;&#44208;&#49328;&#49436;\WINDOWS\&#48148;&#53461;%20&#54868;&#47732;\&#44608;&#44221;&#49688;\sekyong\excel\1)&#44592;&#48376;&#49436;&#49885;.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2001&#45380;&#44208;&#49328;\&#44208;&#49328;&#44048;&#49324;\&#44048;&#49324;&#50857;\WINDOWS\&#48148;&#53461;%20&#54868;&#47732;\&#44608;&#44221;&#49688;\sekyong\excel\1)&#44592;&#48376;&#49436;&#49885;.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ileserver\&#49436;&#44221;&#55148;\My%20Works\KOCREF%20NPS%20%231\&#49324;&#50629;&#44228;&#54925;\K%23NPS-&#51116;&#47924;&#47784;&#45944;-20060913-STP&#49688;&#5122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RESEKRAMCFIPR\share\Documents%20and%20Settings\KimsangX\&#48148;&#53461;%20&#54868;&#47732;\&#50641;&#49472;&#44277;&#48512;\&#50641;&#49472;%20&#49436;&#49885;\&#44553;&#50668;&#44228;&#49328;&#49436;_&#44208;&#4428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8149;&#50857;&#54840;\&#48149;&#50857;&#54840;\Big\&#46020;&#44553;(&#49688;&#51221;)\&#45800;&#44032;&#49328;&#52636;(00d).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Kfs1\am2\Hard%20Asset\Galaxy\R2K\&#50689;&#46321;&#54252;&#49345;&#4403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1648;&#49440;\d\Hard%20Asset\Galaxy\R2K\&#50689;&#46321;&#54252;&#49345;&#4403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Nccrpfs1\nccr\88&#22793;&#21063;&#36939;&#29992;\14&#65403;&#65437;&#65411;&#65431;&#65405;&#20195;&#12293;&#26408;&#19978;&#21407;\&#20195;&#12293;&#26408;&#19978;&#21407;Report03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54620;&#44397;&#51473;&#44277;&#50629;&#49884;&#49444;.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9884;&#49444;.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oramco\My%20Documents\My%20Works\Accouting\Budget\Budget&#51012;%20&#50948;&#54620;%20SAC&#49324;&#50629;&#48516;&#49437;-%20&#51089;&#50629;&#51473;.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50896;&#51068;21\&#53945;&#51221;&#51116;&#44256;12.3\won&#44208;&#49328;\&#53945;&#51221;\WINDOWS\&#48148;&#53461;%20&#54868;&#47732;\&#44608;&#44221;&#49688;\sekyong\excel\1)&#44592;&#48376;&#49436;&#4988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52572;&#50672;&#55148;\&#44277;&#50976;\&#51228;&#50504;&#49436;\&#51008;&#49437;&#48716;&#46377;\&#47196;&#45812;&#53076;&#52509;&#44292;&#51228;&#50504;&#44204;&#51201;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2001&#45380;)\&#44208;&#49328;\2001&#45380;&#44208;&#49328;\&#44208;&#49328;&#44048;&#49324;\&#44048;&#49324;&#50857;\WINDOWS\&#48148;&#53461;%20&#54868;&#47732;\&#44608;&#44221;&#49688;\sekyong\excel\1)&#44592;&#48376;&#49436;&#4988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52572;&#51008;&#50689;\ktb'\My%20Documents\LSF3&#48372;&#44256;\&#52397;&#48169;&#48716;&#46377;%20&#51216;&#44160;&#44208;&#44284;%20&#48372;&#44256;.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28;&#50504;&#49436;\&#51008;&#49437;&#48716;&#46377;\&#47196;&#45812;&#53076;&#52509;&#44292;&#51228;&#50504;&#44204;&#51201;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47196;&#45812;&#53076;&#52509;&#44292;&#51228;&#50504;&#44204;&#5120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A:\won&#44208;&#49328;\&#49345;&#54408;\WINDOWS\&#48148;&#53461;%20&#54868;&#47732;\&#44608;&#44221;&#49688;\sekyong\excel\1)&#44592;&#48376;&#49436;&#4988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44048;&#49324;&#50857;\WINDOWS\&#48148;&#53461;%20&#54868;&#47732;\&#44608;&#44221;&#49688;\sekyong\excel\1)&#44592;&#48376;&#49436;&#4988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44048;&#49324;\98&#44048;&#49324;\&#50500;&#45224;&#44148;&#49444;\98&#47749;&#49464;\ACE\&#51228;&#51312;&#50896;&#4403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My%20Documents\&#51221;&#51008;&#44221;\&#48512;&#46041;&#49328;&#54144;&#46300;\NPS2&#54840;\&#53076;&#46988;&#53076;&#51088;&#47308;\KN%232-&#51116;&#47924;&#47784;&#45944;-20070103(&#52572;&#5133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44221;&#47532;&#48512;3\C\&#46041;&#49688;&#50896;&#51088;&#47308;&#49892;\&#44208;&#49328;\2003&#45380;\Sang%20Kyo\&#44208;&#49328;\2001&#45380;&#44208;&#49328;\&#44208;&#49328;&#44048;&#49324;\&#44048;&#49324;&#50857;\WINDOWS\&#48148;&#53461;%20&#54868;&#47732;\&#44608;&#44221;&#49688;\sekyong\excel\1)&#44592;&#48376;&#49436;&#4988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0.10.10.10\f.ai&#48376;&#48512;\Documents%20and%20Settings\Hansol\My%20Documents\hansolm&#44288;&#47532;&#49548;\&#54924;&#44228;&#50696;&#49328;&#44288;&#47144;\&#54620;&#49556;(&#51665;&#54665;&#49892;&#51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finenet3.ibk.com/EXCELDATA/BS/999/data/96&#48277;&#51064;&#4946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J:\DOCUME~1\ricky\LOCALS~1\Temp\notesFFF692\Documents%20and%20Settings\&#45236;&#52980;a\Local%20Settings\Temporary%20Internet%20Files\Content.IE5\QTT2NY90\&#53685;&#54633;&#50696;&#49328;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8149;&#51648;&#49440;\d\DOCUME~1\ricky\LOCALS~1\Temp\notesFFF692\Documents%20and%20Settings\&#45236;&#52980;a\Local%20Settings\Temporary%20Internet%20Files\Content.IE5\QTT2NY90\&#53685;&#54633;&#50696;&#49328;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44608;&#51116;&#51473;\C\&#44221;&#47532;\&#44208;&#49328;\2003&#45380;\WINDOWS\&#48148;&#53461;%20&#54868;&#47732;\&#44608;&#44221;&#49688;\sekyong\excel\1)&#44592;&#48376;&#49436;&#4988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8372;&#505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44608;&#51116;&#51473;\&#44208;&#49328;\2002.&#48152;&#44592;&#44208;&#49328;\WINDOWS\&#48148;&#53461;%20&#54868;&#47732;\&#44608;&#44221;&#49688;\sekyong\excel\1)&#44592;&#48376;&#49436;&#49885;.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44208;&#49328;\2001&#45380;&#44208;&#49328;\&#44208;&#49328;&#44048;&#49324;\&#44048;&#49324;&#50857;\WINDOWS\&#48148;&#53461;%20&#54868;&#47732;\&#44608;&#44221;&#49688;\sekyong\excel\1)&#44592;&#48376;&#49436;&#4988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44221;&#47532;2\&#44221;&#47532;2\My%20Documents\&#44592;&#51061;\Sang%20Kyo\&#44208;&#49328;\2001&#45380;&#44208;&#49328;\&#44208;&#49328;&#44048;&#49324;\&#50896;&#51068;&#51088;&#47308;\WINDOWS\&#48148;&#53461;%20&#54868;&#47732;\&#44608;&#44221;&#49688;\sekyong\excel\1)&#44592;&#4837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Osk01\oskshare\Documents%20and%20Settings\yiida\Local%20Settings\Temporary%20Internet%20Files\OLK2B\Daikyo%20Operating%20expens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48149;&#51216;&#55148;\&#49688;&#51061;&#49457;&#48512;&#46041;&#49328;%202\&#53804;&#51088;&#44160;&#53664;\&#54028;&#51452;&#53440;&#50868;&#54616;&#50864;&#49828;\&#54028;&#51452;&#49552;&#51061;(&#49440;&#48516;&#50577;).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mail3.hanmir.com/Windows/Temporary%20Internet%20Files/OLKB355/&#49324;&#50629;&#51109;/&#47196;&#45812;&#53076;&#53440;&#50892;/&#50900;&#47568;&#48372;&#44256;&#49436;/MJR/&#44277;&#50976;/&#47196;&#45812;&#53076;&#52509;&#44292;&#51228;&#50504;&#44204;&#51201;3.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00.1.246.45\2004sp(&#51008;&#50689;)\2000&#50629;&#47924;\StraPlan\2002sp\02%20&#45824;&#44396;&#51648;&#51216;\&#54616;&#49436;.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1Month+Sheet2!"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Sang%20Kyo\&#44208;&#49328;&#49436;&#50857;\&#44208;&#49328;\2001&#45380;&#44208;&#49328;\&#44208;&#49328;&#44048;&#49324;\&#44048;&#49324;&#50857;\WINDOWS\&#48148;&#53461;%20&#54868;&#47732;\&#44608;&#44221;&#49688;\sekyong\excel\1)&#44592;&#48376;&#49436;&#4988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9892;&#49324;2\Sang%20Kyo\&#44208;&#49328;\2001&#45380;&#44208;&#49328;\&#44208;&#49328;&#44048;&#49324;\&#50896;&#51068;&#51088;&#47308;\WINDOWS\&#48148;&#53461;%20&#54868;&#47732;\&#44608;&#44221;&#49688;\sekyong\excel\1)&#44592;&#48376;&#49436;&#4988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Jimco81\10_reim\Documents%20and%20Settings\user\My%20Documents\REIM\00&#50868;&#50857;&#51473;&#54144;&#46300;\12&#44221;&#44592;%20&#50668;&#51452;%20(&#45824;&#50864;&#51088;&#54032;)\&#51088;&#44552;&#44288;&#47532;\&#52572;&#51333;\&#51088;&#44552;&#44288;&#47532;&#49884;&#48044;&#47112;&#51060;&#49496;_&#50668;&#51452;_&#52572;&#51333;12&#54840;_06112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47196;&#45812;&#53076;&#52509;&#44292;&#51228;&#50504;&#44204;&#51201;3.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9884;&#4944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8372;&#5050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4861;&#44592;&#48276;\c\Documents%20and%20Settings\koramco\My%20Documents\My%20Works\Accouting\Budget\Budget&#51012;%20&#50948;&#54620;%20SAC&#49324;&#50629;&#48516;&#49437;-%20&#51089;&#50629;&#51473;.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10.10.10\f.ai&#48376;&#48512;\&#49324;&#50629;&#52509;&#44292;\doosan\dscsuper\EXCEL\&#54624;&#47021;&#51060;\&#54840;&#50896;&#46160;&#4932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Name val="Facility Information"/>
      <sheetName val="General"/>
      <sheetName val="Training"/>
      <sheetName val="People"/>
      <sheetName val="Risk"/>
      <sheetName val="Quality"/>
      <sheetName val="PPA - Score Sheet"/>
      <sheetName val="Graphs"/>
      <sheetName val="Action Plan"/>
      <sheetName val="Special Notes"/>
      <sheetName val="Module1"/>
      <sheetName val="Module2"/>
      <sheetName val="Module3"/>
      <sheetName val="7기예산"/>
      <sheetName val="임대수익_시그마"/>
      <sheetName val="관리수익_시그마"/>
      <sheetName val="위탁관리비"/>
      <sheetName val="임대수익_시티"/>
      <sheetName val="수광비_시그마"/>
      <sheetName val="공사"/>
      <sheetName val="기타제세공과"/>
      <sheetName val="보증금_시그마"/>
      <sheetName val="보험료"/>
      <sheetName val="감가상각비"/>
      <sheetName val="예산결과"/>
      <sheetName val="지급수수료-변경시"/>
      <sheetName val="지급수수료-현행"/>
      <sheetName val="일반관리비"/>
      <sheetName val="이자수익"/>
      <sheetName val="Operational Activities"/>
      <sheetName val="revenue rate"/>
      <sheetName val="Sale_Actual"/>
      <sheetName val="QPQ_2001"/>
      <sheetName val="Utility Cost Trend"/>
      <sheetName val="재무가정"/>
      <sheetName val="Project Assumptions"/>
      <sheetName val="Development Costs"/>
      <sheetName val="CostData"/>
      <sheetName val="IncomeData"/>
      <sheetName val="PropertyData"/>
      <sheetName val="2.임대차현황_C"/>
      <sheetName val="Summary"/>
      <sheetName val="Utility Usage YTN TOWER"/>
      <sheetName val="Facility_Information"/>
      <sheetName val="PPA_-_Score_Sheet"/>
      <sheetName val="Action_Plan"/>
      <sheetName val="Special_Notes"/>
      <sheetName val="revenue_rate"/>
      <sheetName val="노무비"/>
      <sheetName val="인원계획-미화"/>
      <sheetName val="Management Fee"/>
      <sheetName val="FY14-FY15 Income AIA포함"/>
      <sheetName val="비용지출승인(통합)_201612"/>
      <sheetName val="비용지출승인(통합)_201703"/>
      <sheetName val="비용지출승인(통합)_201705"/>
      <sheetName val="비용지출승인(통합)_201708"/>
      <sheetName val="이자율"/>
      <sheetName val="동양"/>
      <sheetName val="내역서"/>
      <sheetName val="대비"/>
      <sheetName val="1Month+Sheet2!"/>
      <sheetName val="단가표"/>
      <sheetName val="Data(인원)"/>
      <sheetName val="데이타"/>
      <sheetName val="익월작업계힉"/>
      <sheetName val="2공구산출내역"/>
      <sheetName val="일위대가표"/>
      <sheetName val="유효성체크"/>
      <sheetName val="표준견적서"/>
      <sheetName val="수목표준대가"/>
      <sheetName val="총무팀"/>
      <sheetName val="마포-임현"/>
      <sheetName val="1"/>
      <sheetName val="10"/>
      <sheetName val="11"/>
      <sheetName val="12"/>
      <sheetName val="13"/>
      <sheetName val="14"/>
      <sheetName val="15"/>
      <sheetName val="16"/>
      <sheetName val="2"/>
      <sheetName val="3"/>
      <sheetName val="4"/>
      <sheetName val="5"/>
      <sheetName val="6"/>
      <sheetName val="7"/>
      <sheetName val="8"/>
      <sheetName val="9"/>
      <sheetName val="유원장"/>
      <sheetName val="S&amp;R"/>
      <sheetName val="놀이광장"/>
      <sheetName val="Template"/>
      <sheetName val="식재인부"/>
      <sheetName val="N賃率-職"/>
      <sheetName val="Cash receipt"/>
      <sheetName val="노단212"/>
      <sheetName val="00년도"/>
      <sheetName val="공장"/>
      <sheetName val="Sheet1"/>
      <sheetName val="인건비"/>
      <sheetName val="Cash_receipt"/>
      <sheetName val="주차"/>
      <sheetName val="2016년08월"/>
      <sheetName val="2016년8월"/>
      <sheetName val="비용지출승인(통합)_201808"/>
      <sheetName val="IS"/>
      <sheetName val="Utilities"/>
      <sheetName val="비용지출승인(통합)_201901"/>
      <sheetName val="비용지출승인(통합)_201905"/>
      <sheetName val="출력용"/>
    </sheetNames>
    <sheetDataSet>
      <sheetData sheetId="0" refreshError="1">
        <row r="1">
          <cell r="A1" t="str">
            <v>ServiceMaster Management Services</v>
          </cell>
        </row>
        <row r="2">
          <cell r="A2" t="str">
            <v>Quality Performance Quotient</v>
          </cell>
          <cell r="B2" t="str">
            <v xml:space="preserve"> </v>
          </cell>
          <cell r="C2" t="str">
            <v xml:space="preserve"> </v>
          </cell>
        </row>
        <row r="3">
          <cell r="A3" t="str">
            <v/>
          </cell>
          <cell r="C3" t="str">
            <v xml:space="preserve"> </v>
          </cell>
        </row>
        <row r="4">
          <cell r="A4" t="str">
            <v>Directions and Guidelines - 2001</v>
          </cell>
          <cell r="C4" t="str">
            <v xml:space="preserve"> </v>
          </cell>
        </row>
        <row r="5">
          <cell r="A5" t="str">
            <v>Evaluator:</v>
          </cell>
          <cell r="C5" t="str">
            <v xml:space="preserve"> </v>
          </cell>
        </row>
        <row r="6">
          <cell r="A6" t="str">
            <v>Title:</v>
          </cell>
          <cell r="B6" t="str">
            <v>Purpose</v>
          </cell>
          <cell r="C6" t="str">
            <v xml:space="preserve"> </v>
          </cell>
        </row>
        <row r="7">
          <cell r="A7">
            <v>1</v>
          </cell>
          <cell r="B7" t="str">
            <v>The purpose of this instruction is to introduce and provide guidelines for the “Quality Performance Quotient” (QPQ).  The QPQ has five major components:</v>
          </cell>
        </row>
        <row r="8">
          <cell r="A8" t="str">
            <v xml:space="preserve"> </v>
          </cell>
        </row>
        <row r="9">
          <cell r="A9">
            <v>1</v>
          </cell>
          <cell r="B9" t="str">
            <v>General - This section refers to all parts of our business</v>
          </cell>
          <cell r="C9">
            <v>1</v>
          </cell>
        </row>
        <row r="10">
          <cell r="A10">
            <v>2</v>
          </cell>
          <cell r="B10" t="str">
            <v>Training - Training items relative to everyone</v>
          </cell>
          <cell r="C10">
            <v>1</v>
          </cell>
        </row>
        <row r="11">
          <cell r="A11">
            <v>3</v>
          </cell>
          <cell r="B11" t="str">
            <v>People - ServiceMaster Hourly Employees Only</v>
          </cell>
          <cell r="C11">
            <v>1</v>
          </cell>
        </row>
        <row r="12">
          <cell r="A12">
            <v>4</v>
          </cell>
          <cell r="B12" t="str">
            <v>Risk - Covers risk and liability issues</v>
          </cell>
          <cell r="C12">
            <v>1</v>
          </cell>
        </row>
        <row r="13">
          <cell r="A13">
            <v>5</v>
          </cell>
          <cell r="B13" t="str">
            <v>Quality - Basic ServiceMaster programs</v>
          </cell>
          <cell r="C13">
            <v>1</v>
          </cell>
        </row>
        <row r="14">
          <cell r="A14">
            <v>6</v>
          </cell>
          <cell r="B14" t="str">
            <v>b.</v>
          </cell>
          <cell r="C14">
            <v>1</v>
          </cell>
        </row>
        <row r="15">
          <cell r="A15">
            <v>7</v>
          </cell>
          <cell r="B15" t="str">
            <v>This program is in an electronic form using Microsoft Excel 97.  You may run hard copies for use in the field, than transfer the results to the electronic version and it will automatically total the results.  Always save a blank for future use!</v>
          </cell>
          <cell r="C15">
            <v>1</v>
          </cell>
        </row>
        <row r="16">
          <cell r="A16">
            <v>8</v>
          </cell>
          <cell r="B16" t="str">
            <v>COVER PAGE - PROGRAM SET UP</v>
          </cell>
          <cell r="C16">
            <v>1</v>
          </cell>
        </row>
        <row r="17">
          <cell r="A17">
            <v>9</v>
          </cell>
          <cell r="B17" t="str">
            <v>1.  Select Services</v>
          </cell>
          <cell r="C17">
            <v>1</v>
          </cell>
        </row>
        <row r="18">
          <cell r="A18">
            <v>10</v>
          </cell>
          <cell r="B18" t="str">
            <v>2.  Select Payroll   (May be both Facility and ServiceMaster)</v>
          </cell>
          <cell r="C18">
            <v>1</v>
          </cell>
        </row>
        <row r="19">
          <cell r="A19">
            <v>11</v>
          </cell>
          <cell r="B19" t="str">
            <v>3.  Select Market</v>
          </cell>
          <cell r="C19">
            <v>1</v>
          </cell>
        </row>
        <row r="20">
          <cell r="A20">
            <v>12</v>
          </cell>
          <cell r="B20" t="str">
            <v>4.  Click on Red and Grey box - Program will automatically score questions you are responsible for as a "1"</v>
          </cell>
          <cell r="C20">
            <v>1</v>
          </cell>
        </row>
        <row r="21">
          <cell r="A21">
            <v>13</v>
          </cell>
          <cell r="B21" t="str">
            <v>5.  To start over click Green and Grey box - Program will automatically "N/A" every question</v>
          </cell>
          <cell r="C21">
            <v>1</v>
          </cell>
        </row>
        <row r="22">
          <cell r="A22">
            <v>14</v>
          </cell>
          <cell r="B22" t="str">
            <v>6.  To Print - Click Yellow and Grey Box - Program will print entire QPQ, Score Sheet, Action Plan, and Graphs</v>
          </cell>
          <cell r="C22">
            <v>1</v>
          </cell>
        </row>
        <row r="23">
          <cell r="A23">
            <v>15</v>
          </cell>
          <cell r="B23" t="str">
            <v>7.  To create "Action Plan" Go to Action Plan tab and click Black and Grey box.</v>
          </cell>
          <cell r="C23">
            <v>1</v>
          </cell>
        </row>
        <row r="24">
          <cell r="A24">
            <v>16</v>
          </cell>
          <cell r="C24">
            <v>1</v>
          </cell>
        </row>
        <row r="25">
          <cell r="A25">
            <v>15</v>
          </cell>
        </row>
        <row r="26">
          <cell r="B26" t="str">
            <v>Scoring Guidelines</v>
          </cell>
        </row>
        <row r="28">
          <cell r="A28" t="str">
            <v>A.</v>
          </cell>
          <cell r="B28" t="str">
            <v xml:space="preserve">Fill in boxes to the left of the question with a number :( 0-1-2.) If a question does not apply, type "2" to ensure the points in the possible point box will not be counted in the total score. </v>
          </cell>
        </row>
        <row r="30">
          <cell r="A30" t="str">
            <v>B.</v>
          </cell>
          <cell r="B30" t="str">
            <v xml:space="preserve">The Total points and Possible points boxes will fill in automatically when the left box is filled. </v>
          </cell>
        </row>
        <row r="31">
          <cell r="A31">
            <v>17</v>
          </cell>
          <cell r="C31">
            <v>1</v>
          </cell>
        </row>
        <row r="32">
          <cell r="A32" t="str">
            <v>C.</v>
          </cell>
          <cell r="B32" t="str">
            <v xml:space="preserve">One of the following values should be used for scoring in the left boxes for each question.  </v>
          </cell>
          <cell r="C32">
            <v>1</v>
          </cell>
        </row>
        <row r="33">
          <cell r="A33">
            <v>0</v>
          </cell>
          <cell r="B33" t="str">
            <v>Complete or substantial failure to comply with standard</v>
          </cell>
          <cell r="C33">
            <v>0</v>
          </cell>
        </row>
        <row r="34">
          <cell r="A34">
            <v>1</v>
          </cell>
          <cell r="B34" t="str">
            <v xml:space="preserve">Complete or substantial compliance with standard </v>
          </cell>
          <cell r="C34">
            <v>1</v>
          </cell>
        </row>
        <row r="35">
          <cell r="A35">
            <v>2</v>
          </cell>
          <cell r="B35" t="str">
            <v>Used for NOT APPLICABLE (N/A)</v>
          </cell>
          <cell r="C35" t="str">
            <v>N/A</v>
          </cell>
        </row>
        <row r="36">
          <cell r="A36">
            <v>22</v>
          </cell>
          <cell r="C36">
            <v>1</v>
          </cell>
        </row>
        <row r="37">
          <cell r="A37">
            <v>23</v>
          </cell>
          <cell r="C37">
            <v>1</v>
          </cell>
        </row>
        <row r="38">
          <cell r="A38">
            <v>0</v>
          </cell>
          <cell r="C38">
            <v>1</v>
          </cell>
        </row>
        <row r="39">
          <cell r="A39">
            <v>25</v>
          </cell>
          <cell r="C39">
            <v>1</v>
          </cell>
        </row>
        <row r="40">
          <cell r="A40" t="str">
            <v>D.</v>
          </cell>
          <cell r="B40" t="str">
            <v>Enter previous PPA/QPQ/QPE scores on QPQ Score Sheet (Right Hand Column)</v>
          </cell>
          <cell r="C40">
            <v>1</v>
          </cell>
        </row>
        <row r="41">
          <cell r="A41" t="str">
            <v>E.</v>
          </cell>
          <cell r="B41" t="str">
            <v>Insert Previous scores in Col E on Score Page</v>
          </cell>
          <cell r="C41">
            <v>1</v>
          </cell>
        </row>
        <row r="42">
          <cell r="A42">
            <v>28</v>
          </cell>
          <cell r="C42">
            <v>1</v>
          </cell>
        </row>
        <row r="43">
          <cell r="A43">
            <v>29</v>
          </cell>
          <cell r="C43">
            <v>1</v>
          </cell>
        </row>
        <row r="44">
          <cell r="A44">
            <v>30</v>
          </cell>
          <cell r="B44" t="str">
            <v/>
          </cell>
          <cell r="C44">
            <v>1</v>
          </cell>
        </row>
        <row r="45">
          <cell r="A45" t="str">
            <v>References</v>
          </cell>
          <cell r="C45">
            <v>1</v>
          </cell>
        </row>
        <row r="46">
          <cell r="A46">
            <v>32</v>
          </cell>
          <cell r="C46">
            <v>1</v>
          </cell>
        </row>
        <row r="47">
          <cell r="A47" t="str">
            <v>ANSI: A13.1</v>
          </cell>
          <cell r="B47" t="str">
            <v xml:space="preserve">Scheme for the identification of Piping Systems </v>
          </cell>
          <cell r="C47">
            <v>1</v>
          </cell>
        </row>
        <row r="48">
          <cell r="A48">
            <v>34</v>
          </cell>
          <cell r="C48">
            <v>1</v>
          </cell>
        </row>
        <row r="49">
          <cell r="A49" t="str">
            <v>NFPA 10</v>
          </cell>
          <cell r="B49" t="str">
            <v>Standard for Portable Fire Extinguishers</v>
          </cell>
          <cell r="C49">
            <v>1</v>
          </cell>
        </row>
        <row r="50">
          <cell r="A50">
            <v>36</v>
          </cell>
          <cell r="C50">
            <v>1</v>
          </cell>
        </row>
        <row r="51">
          <cell r="A51" t="str">
            <v>NFPA 13</v>
          </cell>
          <cell r="B51" t="str">
            <v>Standard for the Installation of Sprinkler Systems</v>
          </cell>
        </row>
        <row r="53">
          <cell r="A53" t="str">
            <v>NFPA 13A</v>
          </cell>
          <cell r="B53" t="str">
            <v>Recommended Practice for the Inspection, Testing and Maintenance of Sprinkler Systems</v>
          </cell>
        </row>
        <row r="54">
          <cell r="A54">
            <v>37</v>
          </cell>
          <cell r="C54">
            <v>1</v>
          </cell>
        </row>
        <row r="55">
          <cell r="A55" t="str">
            <v>NFPA 70</v>
          </cell>
          <cell r="B55" t="str">
            <v>National Electrical Code</v>
          </cell>
          <cell r="C55">
            <v>1</v>
          </cell>
        </row>
        <row r="56">
          <cell r="A56">
            <v>39</v>
          </cell>
          <cell r="C56">
            <v>1</v>
          </cell>
        </row>
        <row r="57">
          <cell r="A57" t="str">
            <v>NFPA 96</v>
          </cell>
          <cell r="B57" t="str">
            <v>Standard for the Installation of Equipment for the</v>
          </cell>
          <cell r="C57">
            <v>1</v>
          </cell>
        </row>
        <row r="58">
          <cell r="A58">
            <v>41</v>
          </cell>
          <cell r="B58" t="str">
            <v>Removal of Smoke and Grease - Laden vapors from</v>
          </cell>
          <cell r="C58">
            <v>1</v>
          </cell>
        </row>
        <row r="59">
          <cell r="A59">
            <v>42</v>
          </cell>
          <cell r="B59" t="str">
            <v>Commercial Cooking Equipment</v>
          </cell>
          <cell r="C59">
            <v>1</v>
          </cell>
        </row>
        <row r="60">
          <cell r="A60">
            <v>43</v>
          </cell>
          <cell r="C60">
            <v>1</v>
          </cell>
        </row>
        <row r="61">
          <cell r="A61" t="str">
            <v>NFPA 99</v>
          </cell>
          <cell r="B61" t="str">
            <v>Health Care Facilities</v>
          </cell>
          <cell r="C61">
            <v>1</v>
          </cell>
        </row>
        <row r="62">
          <cell r="A62">
            <v>45</v>
          </cell>
          <cell r="C62">
            <v>1</v>
          </cell>
        </row>
        <row r="63">
          <cell r="A63" t="str">
            <v>NFPA 101</v>
          </cell>
          <cell r="B63" t="str">
            <v>Code for Safety of Life from fire in Buildings and</v>
          </cell>
          <cell r="C63">
            <v>1</v>
          </cell>
        </row>
        <row r="64">
          <cell r="A64">
            <v>47</v>
          </cell>
          <cell r="B64" t="str">
            <v>Structures. (Life Safety Code 101)</v>
          </cell>
          <cell r="C64">
            <v>1</v>
          </cell>
        </row>
        <row r="65">
          <cell r="A65">
            <v>48</v>
          </cell>
          <cell r="C65">
            <v>1</v>
          </cell>
        </row>
        <row r="66">
          <cell r="A66" t="str">
            <v>OSHA</v>
          </cell>
          <cell r="B66" t="str">
            <v>General Industry Safety and Health Standards</v>
          </cell>
          <cell r="C66">
            <v>1</v>
          </cell>
        </row>
        <row r="67">
          <cell r="A67" t="str">
            <v>29 CFR 1910</v>
          </cell>
          <cell r="C67">
            <v>1</v>
          </cell>
        </row>
      </sheetData>
      <sheetData sheetId="1">
        <row r="1">
          <cell r="F1" t="str">
            <v>ServiceMaster Management Services</v>
          </cell>
        </row>
      </sheetData>
      <sheetData sheetId="2" refreshError="1">
        <row r="1">
          <cell r="A1" t="str">
            <v>ServiceMaster Management Services</v>
          </cell>
          <cell r="F1" t="str">
            <v>ServiceMaster Management Services</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row>
        <row r="5">
          <cell r="A5" t="str">
            <v>Evaluator:</v>
          </cell>
          <cell r="C5">
            <v>0</v>
          </cell>
          <cell r="F5">
            <v>0</v>
          </cell>
          <cell r="G5" t="str">
            <v>Date:</v>
          </cell>
          <cell r="H5">
            <v>0</v>
          </cell>
        </row>
        <row r="6">
          <cell r="A6" t="str">
            <v>Title:</v>
          </cell>
          <cell r="B6" t="str">
            <v>Purpose</v>
          </cell>
          <cell r="C6" t="str">
            <v xml:space="preserve"> </v>
          </cell>
          <cell r="F6" t="str">
            <v>GENERAL</v>
          </cell>
          <cell r="H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row>
        <row r="8">
          <cell r="A8">
            <v>0</v>
          </cell>
          <cell r="D8">
            <v>1</v>
          </cell>
          <cell r="F8" t="str">
            <v>ALL</v>
          </cell>
          <cell r="G8" t="str">
            <v>Score</v>
          </cell>
          <cell r="H8">
            <v>1</v>
          </cell>
        </row>
        <row r="9">
          <cell r="A9">
            <v>1</v>
          </cell>
          <cell r="B9" t="str">
            <v>General - This section refers to all parts of our business</v>
          </cell>
          <cell r="C9">
            <v>1</v>
          </cell>
          <cell r="D9" t="str">
            <v xml:space="preserve"> </v>
          </cell>
          <cell r="F9" t="str">
            <v xml:space="preserve">Are all copies of licenses, permits and inspections required by Federal, State and Local Agencies posted or available? </v>
          </cell>
          <cell r="G9">
            <v>1</v>
          </cell>
          <cell r="H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row>
        <row r="11">
          <cell r="A11" t="str">
            <v>Quality</v>
          </cell>
          <cell r="B11" t="str">
            <v>People - ServiceMaster Hourly Employees Only</v>
          </cell>
          <cell r="C11">
            <v>1</v>
          </cell>
          <cell r="D11">
            <v>1</v>
          </cell>
          <cell r="F11" t="str">
            <v>Does the Manager take an active part in Joint Review Meeting?  Are there minutes from the meeting on file?</v>
          </cell>
          <cell r="G11">
            <v>1</v>
          </cell>
          <cell r="H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row>
        <row r="13">
          <cell r="A13" t="str">
            <v>Performance</v>
          </cell>
          <cell r="B13" t="str">
            <v>a.</v>
          </cell>
          <cell r="C13">
            <v>1</v>
          </cell>
          <cell r="D13">
            <v>1</v>
          </cell>
          <cell r="F13" t="str">
            <v>Is the Manager's office area (desk, files, etc.) neat, clean, and orderly?</v>
          </cell>
          <cell r="G13">
            <v>1</v>
          </cell>
          <cell r="H13">
            <v>1</v>
          </cell>
        </row>
        <row r="14">
          <cell r="A14">
            <v>6</v>
          </cell>
          <cell r="B14" t="str">
            <v>b.</v>
          </cell>
          <cell r="C14">
            <v>1</v>
          </cell>
          <cell r="D14">
            <v>1</v>
          </cell>
          <cell r="F14" t="str">
            <v>Was an Annual Performance Review presented to the facility Administration within the past year?</v>
          </cell>
          <cell r="G14">
            <v>1</v>
          </cell>
          <cell r="H14">
            <v>1</v>
          </cell>
        </row>
        <row r="15">
          <cell r="A15" t="str">
            <v>Quotient</v>
          </cell>
          <cell r="B15" t="str">
            <v>c.</v>
          </cell>
          <cell r="C15">
            <v>1</v>
          </cell>
          <cell r="D15">
            <v>0</v>
          </cell>
          <cell r="F15" t="str">
            <v>Are copies of previous APRs available for review?  Is a file maintained for developing the next APR?</v>
          </cell>
          <cell r="G15">
            <v>1</v>
          </cell>
          <cell r="H15">
            <v>1</v>
          </cell>
        </row>
        <row r="16">
          <cell r="A16">
            <v>8</v>
          </cell>
          <cell r="B16" t="str">
            <v>COVER PAGE - PROGRAM SET UP</v>
          </cell>
          <cell r="C16">
            <v>1</v>
          </cell>
          <cell r="D16">
            <v>1</v>
          </cell>
          <cell r="F16" t="str">
            <v>Has the Manager prepared budget data for consideration by facility Administration?</v>
          </cell>
          <cell r="G16">
            <v>1</v>
          </cell>
          <cell r="H16">
            <v>7</v>
          </cell>
        </row>
        <row r="17">
          <cell r="A17" t="str">
            <v>ServiceMaster Management Services</v>
          </cell>
          <cell r="B17" t="str">
            <v>1.  Select Services</v>
          </cell>
          <cell r="C17">
            <v>1</v>
          </cell>
          <cell r="D17">
            <v>1</v>
          </cell>
          <cell r="F17" t="str">
            <v>Is the ServiceMaster budget at or below target?</v>
          </cell>
          <cell r="G17">
            <v>1</v>
          </cell>
          <cell r="H17">
            <v>1</v>
          </cell>
        </row>
        <row r="18">
          <cell r="A18">
            <v>36892</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row>
        <row r="19">
          <cell r="A19">
            <v>11</v>
          </cell>
          <cell r="B19" t="str">
            <v>3.  Select Market</v>
          </cell>
          <cell r="C19">
            <v>1</v>
          </cell>
          <cell r="D19">
            <v>1</v>
          </cell>
          <cell r="F19" t="str">
            <v>Have authorized ServiceMaster purchasing programs have been evaluated for potential benefit?</v>
          </cell>
          <cell r="G19">
            <v>1</v>
          </cell>
          <cell r="H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row>
        <row r="24">
          <cell r="A24">
            <v>16</v>
          </cell>
          <cell r="C24">
            <v>1</v>
          </cell>
          <cell r="D24">
            <v>1</v>
          </cell>
          <cell r="F24" t="str">
            <v>Is there deomonstrated use of the Network to Knowledge by management staff?</v>
          </cell>
          <cell r="G24">
            <v>1</v>
          </cell>
          <cell r="H24">
            <v>0</v>
          </cell>
        </row>
        <row r="25">
          <cell r="A25">
            <v>15</v>
          </cell>
          <cell r="D25">
            <v>1</v>
          </cell>
          <cell r="F25" t="str">
            <v xml:space="preserve">                                                                  Percentage Implemented</v>
          </cell>
          <cell r="G25">
            <v>1</v>
          </cell>
          <cell r="H25" t="str">
            <v>N/A</v>
          </cell>
        </row>
        <row r="26">
          <cell r="B26" t="str">
            <v>Scoring Guidelines</v>
          </cell>
          <cell r="F26" t="str">
            <v xml:space="preserve">                                                             General All</v>
          </cell>
          <cell r="G26">
            <v>15</v>
          </cell>
        </row>
        <row r="27">
          <cell r="F27" t="str">
            <v xml:space="preserve">                                                            Percentage Implemented</v>
          </cell>
          <cell r="G27">
            <v>1</v>
          </cell>
        </row>
      </sheetData>
      <sheetData sheetId="3" refreshError="1">
        <row r="1">
          <cell r="A1" t="str">
            <v>ServiceMaster Management Services</v>
          </cell>
          <cell r="F1" t="str">
            <v>ServiceMaster Management Services</v>
          </cell>
          <cell r="J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cell r="I4">
            <v>0</v>
          </cell>
          <cell r="J4">
            <v>0</v>
          </cell>
        </row>
        <row r="5">
          <cell r="A5" t="str">
            <v>Evaluator:</v>
          </cell>
          <cell r="C5">
            <v>0</v>
          </cell>
          <cell r="F5">
            <v>0</v>
          </cell>
          <cell r="G5" t="str">
            <v>Date:</v>
          </cell>
          <cell r="H5">
            <v>0</v>
          </cell>
          <cell r="I5">
            <v>0</v>
          </cell>
          <cell r="J5" t="str">
            <v>Possible</v>
          </cell>
        </row>
        <row r="6">
          <cell r="A6" t="str">
            <v>Title:</v>
          </cell>
          <cell r="B6" t="str">
            <v>Purpose</v>
          </cell>
          <cell r="C6">
            <v>0</v>
          </cell>
          <cell r="F6" t="str">
            <v>GENERAL</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cell r="I7" t="str">
            <v>Score</v>
          </cell>
          <cell r="J7" t="str">
            <v>Score</v>
          </cell>
        </row>
        <row r="8">
          <cell r="A8">
            <v>0</v>
          </cell>
          <cell r="D8">
            <v>1</v>
          </cell>
          <cell r="F8" t="str">
            <v>ALL</v>
          </cell>
          <cell r="G8" t="str">
            <v>Score</v>
          </cell>
          <cell r="H8">
            <v>1</v>
          </cell>
          <cell r="I8" t="str">
            <v>Score</v>
          </cell>
          <cell r="J8">
            <v>1</v>
          </cell>
        </row>
        <row r="9">
          <cell r="A9">
            <v>1</v>
          </cell>
          <cell r="B9" t="str">
            <v>General - This section refers to all parts of our business</v>
          </cell>
          <cell r="C9">
            <v>1</v>
          </cell>
          <cell r="D9">
            <v>0</v>
          </cell>
          <cell r="F9" t="str">
            <v xml:space="preserve">Are all copies of licenses, permits and inspections required by Federal, State and Local Agencies posted or available? </v>
          </cell>
          <cell r="G9">
            <v>1</v>
          </cell>
          <cell r="H9">
            <v>1</v>
          </cell>
          <cell r="I9">
            <v>1</v>
          </cell>
          <cell r="J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cell r="I10">
            <v>1</v>
          </cell>
          <cell r="J10">
            <v>1</v>
          </cell>
        </row>
        <row r="11">
          <cell r="A11">
            <v>3</v>
          </cell>
          <cell r="B11" t="str">
            <v>People - ServiceMaster Hourly Employees Only</v>
          </cell>
          <cell r="C11">
            <v>1</v>
          </cell>
          <cell r="D11">
            <v>1</v>
          </cell>
          <cell r="F11" t="str">
            <v>Does the Manager take an active part in Joint Review Meeting?  Are there minutes from the meeting on file?</v>
          </cell>
          <cell r="G11">
            <v>1</v>
          </cell>
          <cell r="H11">
            <v>1</v>
          </cell>
          <cell r="I11">
            <v>1</v>
          </cell>
          <cell r="J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cell r="I12">
            <v>1</v>
          </cell>
          <cell r="J12">
            <v>1</v>
          </cell>
        </row>
        <row r="13">
          <cell r="A13">
            <v>5</v>
          </cell>
          <cell r="B13" t="str">
            <v>a.</v>
          </cell>
          <cell r="C13">
            <v>1</v>
          </cell>
          <cell r="D13">
            <v>1</v>
          </cell>
          <cell r="F13" t="str">
            <v>Is the Manager's office area (desk, files, etc.) neat, clean, and orderly?</v>
          </cell>
          <cell r="G13">
            <v>1</v>
          </cell>
          <cell r="H13">
            <v>1</v>
          </cell>
          <cell r="I13">
            <v>1</v>
          </cell>
          <cell r="J13">
            <v>1</v>
          </cell>
        </row>
        <row r="14">
          <cell r="A14">
            <v>6</v>
          </cell>
          <cell r="B14" t="str">
            <v>b.</v>
          </cell>
          <cell r="C14">
            <v>1</v>
          </cell>
          <cell r="D14">
            <v>1</v>
          </cell>
          <cell r="F14" t="str">
            <v>Was an Annual Performance Review presented to the facility Administration within the past year?</v>
          </cell>
          <cell r="G14">
            <v>1</v>
          </cell>
          <cell r="H14">
            <v>1</v>
          </cell>
          <cell r="I14">
            <v>1</v>
          </cell>
          <cell r="J14">
            <v>1</v>
          </cell>
        </row>
        <row r="15">
          <cell r="A15">
            <v>7</v>
          </cell>
          <cell r="B15" t="str">
            <v>c.</v>
          </cell>
          <cell r="C15">
            <v>1</v>
          </cell>
          <cell r="D15">
            <v>0</v>
          </cell>
          <cell r="F15" t="str">
            <v>Are copies of previous APRs available for review?  Is a file maintained for developing the next APR?</v>
          </cell>
          <cell r="G15">
            <v>1</v>
          </cell>
          <cell r="H15">
            <v>1</v>
          </cell>
          <cell r="I15">
            <v>1</v>
          </cell>
          <cell r="J15">
            <v>1</v>
          </cell>
        </row>
        <row r="16">
          <cell r="A16">
            <v>8</v>
          </cell>
          <cell r="B16" t="str">
            <v>COVER PAGE - PROGRAM SET UP</v>
          </cell>
          <cell r="C16">
            <v>1</v>
          </cell>
          <cell r="D16">
            <v>1</v>
          </cell>
          <cell r="F16" t="str">
            <v>Has the Manager prepared budget data for consideration by facility Administration?</v>
          </cell>
          <cell r="G16">
            <v>1</v>
          </cell>
          <cell r="H16">
            <v>7</v>
          </cell>
          <cell r="I16">
            <v>1</v>
          </cell>
          <cell r="J16">
            <v>7</v>
          </cell>
        </row>
        <row r="17">
          <cell r="A17">
            <v>9</v>
          </cell>
          <cell r="B17" t="str">
            <v>1.  Select Services</v>
          </cell>
          <cell r="C17">
            <v>1</v>
          </cell>
          <cell r="D17">
            <v>1</v>
          </cell>
          <cell r="F17" t="str">
            <v>Is the ServiceMaster budget at or below target?</v>
          </cell>
          <cell r="G17">
            <v>1</v>
          </cell>
          <cell r="H17">
            <v>1</v>
          </cell>
          <cell r="I17">
            <v>1</v>
          </cell>
          <cell r="J17">
            <v>1</v>
          </cell>
        </row>
        <row r="18">
          <cell r="A18">
            <v>10</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cell r="I18">
            <v>1</v>
          </cell>
          <cell r="J18">
            <v>1</v>
          </cell>
        </row>
        <row r="19">
          <cell r="A19">
            <v>11</v>
          </cell>
          <cell r="B19" t="str">
            <v>3.  Select Market</v>
          </cell>
          <cell r="C19">
            <v>1</v>
          </cell>
          <cell r="D19">
            <v>1</v>
          </cell>
          <cell r="F19" t="str">
            <v>Have authorized ServiceMaster purchasing programs have been evaluated for potential benefit?</v>
          </cell>
          <cell r="G19">
            <v>1</v>
          </cell>
          <cell r="H19">
            <v>1</v>
          </cell>
          <cell r="I19">
            <v>1</v>
          </cell>
          <cell r="J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cell r="I20">
            <v>1</v>
          </cell>
          <cell r="J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cell r="I21">
            <v>1</v>
          </cell>
          <cell r="J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Is there deomonstrated use of the Network to Knowledge by management staff?</v>
          </cell>
          <cell r="G24">
            <v>1</v>
          </cell>
          <cell r="H24">
            <v>0</v>
          </cell>
          <cell r="I24">
            <v>1</v>
          </cell>
          <cell r="J24">
            <v>0</v>
          </cell>
        </row>
        <row r="25">
          <cell r="A25">
            <v>15</v>
          </cell>
          <cell r="D25">
            <v>1</v>
          </cell>
          <cell r="F25" t="str">
            <v xml:space="preserve">                                                                  Percentage Implemented</v>
          </cell>
          <cell r="G25">
            <v>1</v>
          </cell>
          <cell r="H25" t="str">
            <v>N/A</v>
          </cell>
          <cell r="J25">
            <v>1</v>
          </cell>
        </row>
        <row r="26">
          <cell r="A26">
            <v>16</v>
          </cell>
          <cell r="B26" t="str">
            <v>Scoring Guidelines</v>
          </cell>
          <cell r="D26" t="str">
            <v xml:space="preserve"> </v>
          </cell>
          <cell r="F26" t="str">
            <v xml:space="preserve">                                                             General All</v>
          </cell>
          <cell r="G26">
            <v>15</v>
          </cell>
          <cell r="H26">
            <v>1</v>
          </cell>
          <cell r="I26">
            <v>15</v>
          </cell>
          <cell r="J26">
            <v>1</v>
          </cell>
        </row>
        <row r="27">
          <cell r="A27">
            <v>16</v>
          </cell>
          <cell r="B27" t="str">
            <v>a.</v>
          </cell>
          <cell r="D27">
            <v>1</v>
          </cell>
          <cell r="F27" t="str">
            <v xml:space="preserve">                                                            Percentage Implemented</v>
          </cell>
          <cell r="G27">
            <v>1</v>
          </cell>
          <cell r="H27">
            <v>1</v>
          </cell>
          <cell r="J27">
            <v>1</v>
          </cell>
        </row>
        <row r="28">
          <cell r="A28" t="str">
            <v>A.</v>
          </cell>
          <cell r="B28" t="str">
            <v xml:space="preserve">Fill in boxes to the left of the question with a number :( 0-1-2.) If a question does not apply, type "2" to ensure the points in the possible point box will not be counted in the total score. </v>
          </cell>
          <cell r="D28">
            <v>1</v>
          </cell>
          <cell r="F28" t="str">
            <v>GENERAL</v>
          </cell>
          <cell r="H28">
            <v>1</v>
          </cell>
          <cell r="I28" t="str">
            <v>Possible</v>
          </cell>
          <cell r="J28" t="str">
            <v>Possible</v>
          </cell>
        </row>
        <row r="29">
          <cell r="A29">
            <v>16</v>
          </cell>
          <cell r="B29" t="str">
            <v>c.</v>
          </cell>
          <cell r="D29">
            <v>1</v>
          </cell>
          <cell r="F29" t="str">
            <v>POM</v>
          </cell>
          <cell r="G29" t="str">
            <v>Score</v>
          </cell>
          <cell r="H29">
            <v>0</v>
          </cell>
          <cell r="I29" t="str">
            <v>Score</v>
          </cell>
          <cell r="J29" t="str">
            <v>Score</v>
          </cell>
        </row>
        <row r="30">
          <cell r="A30" t="str">
            <v>B.</v>
          </cell>
          <cell r="B30" t="str">
            <v xml:space="preserve">The Total points and Possible points boxes will fill in automatically when the left box is filled. </v>
          </cell>
          <cell r="D30">
            <v>1</v>
          </cell>
          <cell r="F30" t="str">
            <v>Is the EPA Hazardous Waste Inventory complete?  (SMSTK-204, EC 1.5)</v>
          </cell>
          <cell r="H30">
            <v>1</v>
          </cell>
          <cell r="J30">
            <v>1</v>
          </cell>
        </row>
        <row r="31">
          <cell r="A31">
            <v>17</v>
          </cell>
          <cell r="C31">
            <v>1</v>
          </cell>
          <cell r="D31">
            <v>2</v>
          </cell>
          <cell r="F31" t="str">
            <v>Has a system for chemical treatment (water conditioning) been implemented?</v>
          </cell>
          <cell r="G31">
            <v>1</v>
          </cell>
          <cell r="H31" t="str">
            <v>N/A</v>
          </cell>
          <cell r="I31">
            <v>1</v>
          </cell>
          <cell r="J31">
            <v>0</v>
          </cell>
        </row>
        <row r="32">
          <cell r="A32">
            <v>18</v>
          </cell>
          <cell r="B32" t="str">
            <v xml:space="preserve">One of the following values should be used for scoring in the left boxes for each question.  </v>
          </cell>
          <cell r="C32">
            <v>1</v>
          </cell>
          <cell r="D32">
            <v>2</v>
          </cell>
          <cell r="F32" t="str">
            <v>Are control instructions, test instructions, and material safety data sheets (MSDS) for chemical treatment posted or in a binder at each analytical test equipment location? (Warning labels are required)</v>
          </cell>
          <cell r="G32">
            <v>1</v>
          </cell>
          <cell r="H32" t="str">
            <v>N/A</v>
          </cell>
          <cell r="I32">
            <v>1</v>
          </cell>
          <cell r="J32">
            <v>0</v>
          </cell>
        </row>
        <row r="33">
          <cell r="A33">
            <v>19</v>
          </cell>
          <cell r="B33" t="str">
            <v>Complete or substantial failure to comply with standard</v>
          </cell>
          <cell r="C33">
            <v>1</v>
          </cell>
          <cell r="D33">
            <v>2</v>
          </cell>
          <cell r="F33" t="str">
            <v>Self assessment performed annually and all deficiencies corrected within approved timelines.</v>
          </cell>
          <cell r="G33">
            <v>1</v>
          </cell>
          <cell r="H33" t="str">
            <v>N/A</v>
          </cell>
          <cell r="I33">
            <v>1</v>
          </cell>
          <cell r="J33">
            <v>0</v>
          </cell>
        </row>
        <row r="34">
          <cell r="A34">
            <v>20</v>
          </cell>
          <cell r="B34" t="str">
            <v xml:space="preserve">Complete or substantial compliance with standard </v>
          </cell>
          <cell r="C34">
            <v>1</v>
          </cell>
          <cell r="F34" t="str">
            <v>Five year capital plan prepared and presented to the customer for approval.</v>
          </cell>
          <cell r="G34">
            <v>1</v>
          </cell>
          <cell r="I34">
            <v>1</v>
          </cell>
        </row>
        <row r="35">
          <cell r="A35">
            <v>21</v>
          </cell>
          <cell r="B35" t="str">
            <v>Used for NOT APPLICABLE (N/A)</v>
          </cell>
          <cell r="C35">
            <v>1</v>
          </cell>
          <cell r="F35" t="str">
            <v>A customer satisfaction measurement/correction process is in place.</v>
          </cell>
          <cell r="G35">
            <v>1</v>
          </cell>
          <cell r="H35">
            <v>19</v>
          </cell>
          <cell r="I35">
            <v>1</v>
          </cell>
          <cell r="J35">
            <v>19</v>
          </cell>
        </row>
        <row r="36">
          <cell r="A36">
            <v>22</v>
          </cell>
          <cell r="B36" t="str">
            <v>a.</v>
          </cell>
          <cell r="C36">
            <v>1</v>
          </cell>
          <cell r="D36">
            <v>1</v>
          </cell>
          <cell r="F36" t="str">
            <v>Is all roof in good repair and free of leaks?  Is the roof inventoried and indexed in the PM program? (SOPI 300.8, SOPI 700.5)</v>
          </cell>
          <cell r="G36">
            <v>1</v>
          </cell>
          <cell r="H36">
            <v>1</v>
          </cell>
          <cell r="I36">
            <v>1</v>
          </cell>
          <cell r="J36">
            <v>0</v>
          </cell>
        </row>
        <row r="37">
          <cell r="A37">
            <v>23</v>
          </cell>
          <cell r="B37" t="str">
            <v>b.</v>
          </cell>
          <cell r="C37">
            <v>1</v>
          </cell>
          <cell r="D37">
            <v>1</v>
          </cell>
          <cell r="F37" t="str">
            <v>Are accesses to roofs locked?  (SOPI 300.8, SOPI 700.5)</v>
          </cell>
          <cell r="G37">
            <v>1</v>
          </cell>
          <cell r="H37">
            <v>1</v>
          </cell>
          <cell r="I37">
            <v>1</v>
          </cell>
          <cell r="J37">
            <v>1</v>
          </cell>
        </row>
        <row r="38">
          <cell r="A38">
            <v>24</v>
          </cell>
          <cell r="C38">
            <v>1</v>
          </cell>
          <cell r="D38">
            <v>1</v>
          </cell>
          <cell r="F38" t="str">
            <v>Have roof plans been prepared and kept current and in accordance with SOPI 300.8?</v>
          </cell>
          <cell r="G38">
            <v>1</v>
          </cell>
          <cell r="H38">
            <v>1</v>
          </cell>
          <cell r="I38">
            <v>1</v>
          </cell>
          <cell r="J38">
            <v>1</v>
          </cell>
        </row>
        <row r="39">
          <cell r="A39">
            <v>25</v>
          </cell>
          <cell r="C39">
            <v>1</v>
          </cell>
          <cell r="D39" t="str">
            <v xml:space="preserve"> </v>
          </cell>
          <cell r="F39" t="str">
            <v xml:space="preserve">Was a roof inspection performed within the last 12 months by a qualified outside contractor?   </v>
          </cell>
          <cell r="G39">
            <v>1</v>
          </cell>
          <cell r="I39">
            <v>1</v>
          </cell>
          <cell r="J39" t="str">
            <v>Score</v>
          </cell>
        </row>
        <row r="40">
          <cell r="A40">
            <v>26</v>
          </cell>
          <cell r="B40" t="str">
            <v>Enter previous PPA/QPQ/QPE scores on QPQ Score Sheet (Right Hand Column)</v>
          </cell>
          <cell r="C40">
            <v>1</v>
          </cell>
          <cell r="F40" t="str">
            <v>Has a written Maintenance &amp; Repair Requisition System been approved by Administration and disseminated to the appropriate departments?  (SOPI:400.3)</v>
          </cell>
          <cell r="G40">
            <v>1</v>
          </cell>
          <cell r="I40">
            <v>1</v>
          </cell>
        </row>
        <row r="41">
          <cell r="A41">
            <v>27</v>
          </cell>
          <cell r="B41" t="str">
            <v>Insert Previous scores in Col E on Score Page</v>
          </cell>
          <cell r="C41">
            <v>1</v>
          </cell>
          <cell r="D41" t="str">
            <v xml:space="preserve"> </v>
          </cell>
          <cell r="F41" t="str">
            <v>Are building exteriors (lighting, windows, gutters, and downspouts, etc.) in good repair?</v>
          </cell>
          <cell r="G41">
            <v>1</v>
          </cell>
          <cell r="I41">
            <v>1</v>
          </cell>
        </row>
        <row r="42">
          <cell r="A42">
            <v>28</v>
          </cell>
          <cell r="B42" t="str">
            <v>a.</v>
          </cell>
          <cell r="C42">
            <v>1</v>
          </cell>
          <cell r="D42">
            <v>1</v>
          </cell>
          <cell r="F42" t="str">
            <v>Is Electro-mechanical equipment clean?</v>
          </cell>
          <cell r="G42">
            <v>1</v>
          </cell>
          <cell r="H42">
            <v>1</v>
          </cell>
          <cell r="I42">
            <v>1</v>
          </cell>
          <cell r="J42">
            <v>1</v>
          </cell>
        </row>
        <row r="43">
          <cell r="A43">
            <v>29</v>
          </cell>
          <cell r="B43" t="str">
            <v>b.</v>
          </cell>
          <cell r="C43">
            <v>1</v>
          </cell>
          <cell r="D43">
            <v>1</v>
          </cell>
          <cell r="F43" t="str">
            <v>Is equipment properly labeled?</v>
          </cell>
          <cell r="G43">
            <v>1</v>
          </cell>
          <cell r="H43">
            <v>1</v>
          </cell>
          <cell r="I43">
            <v>1</v>
          </cell>
          <cell r="J43">
            <v>1</v>
          </cell>
        </row>
        <row r="44">
          <cell r="A44">
            <v>30</v>
          </cell>
          <cell r="B44" t="str">
            <v xml:space="preserve"> </v>
          </cell>
          <cell r="C44">
            <v>1</v>
          </cell>
          <cell r="D44" t="str">
            <v xml:space="preserve"> </v>
          </cell>
          <cell r="F44" t="str">
            <v>Are air handling units, HVAC systems, and supply/exhaust fans marked for area service?  (NFPA:92A)</v>
          </cell>
          <cell r="G44">
            <v>1</v>
          </cell>
          <cell r="H44">
            <v>1</v>
          </cell>
          <cell r="I44">
            <v>1</v>
          </cell>
          <cell r="J44">
            <v>1</v>
          </cell>
        </row>
        <row r="45">
          <cell r="A45">
            <v>31</v>
          </cell>
          <cell r="B45" t="str">
            <v>a.</v>
          </cell>
          <cell r="C45">
            <v>1</v>
          </cell>
          <cell r="D45">
            <v>1</v>
          </cell>
          <cell r="F45" t="str">
            <v>Are electrical controls and panels labeled for equipment served?  (NFPA: 70-3.8.4.)</v>
          </cell>
          <cell r="G45">
            <v>1</v>
          </cell>
          <cell r="H45">
            <v>1</v>
          </cell>
          <cell r="I45">
            <v>1</v>
          </cell>
          <cell r="J45">
            <v>1</v>
          </cell>
        </row>
        <row r="46">
          <cell r="A46">
            <v>32</v>
          </cell>
          <cell r="B46" t="str">
            <v>b.</v>
          </cell>
          <cell r="C46">
            <v>1</v>
          </cell>
          <cell r="D46">
            <v>1</v>
          </cell>
          <cell r="F46" t="str">
            <v>Is piping/insulation clean, free of leaks, properly equipped with applicable operating safety devices and identified (marked) as to direction of flow and content?  (ANSI A-13.1)</v>
          </cell>
          <cell r="G46">
            <v>1</v>
          </cell>
          <cell r="H46">
            <v>1</v>
          </cell>
          <cell r="I46">
            <v>1</v>
          </cell>
          <cell r="J46">
            <v>1</v>
          </cell>
        </row>
        <row r="47">
          <cell r="A47">
            <v>33</v>
          </cell>
          <cell r="B47" t="str">
            <v xml:space="preserve">Scheme for the identification of Piping Systems </v>
          </cell>
          <cell r="C47">
            <v>1</v>
          </cell>
          <cell r="D47">
            <v>1</v>
          </cell>
          <cell r="F47" t="str">
            <v>Are valves tagged and numbered, and is valve chart posted in mechanical spaces.(SOPI 300.7)</v>
          </cell>
          <cell r="G47">
            <v>1</v>
          </cell>
          <cell r="H47">
            <v>1</v>
          </cell>
          <cell r="I47">
            <v>1</v>
          </cell>
          <cell r="J47">
            <v>1</v>
          </cell>
        </row>
        <row r="48">
          <cell r="A48">
            <v>34</v>
          </cell>
          <cell r="B48" t="str">
            <v>a</v>
          </cell>
          <cell r="C48">
            <v>1</v>
          </cell>
          <cell r="D48">
            <v>1</v>
          </cell>
          <cell r="F48" t="str">
            <v xml:space="preserve">Are gauges clean, functional, and marked for service range or normal operating range where  appropriate?  </v>
          </cell>
          <cell r="G48">
            <v>1</v>
          </cell>
          <cell r="H48">
            <v>1</v>
          </cell>
          <cell r="I48">
            <v>1</v>
          </cell>
          <cell r="J48">
            <v>1</v>
          </cell>
        </row>
        <row r="49">
          <cell r="A49">
            <v>35</v>
          </cell>
          <cell r="B49" t="str">
            <v>Standard for Portable Fire Extinguishers</v>
          </cell>
          <cell r="C49">
            <v>1</v>
          </cell>
          <cell r="D49">
            <v>1</v>
          </cell>
          <cell r="F49" t="str">
            <v xml:space="preserve">Have applicable plant operating logs (i.e. Boiler, Filter, Fire Extinguisher, Pull Box Station, Mechanical Rounds, Chiller etc.) been developed for operational, functional and data collection purposes, and are they neat, legible and current? (SOPI 300.6) </v>
          </cell>
          <cell r="G49">
            <v>1</v>
          </cell>
          <cell r="H49">
            <v>1</v>
          </cell>
          <cell r="I49">
            <v>1</v>
          </cell>
          <cell r="J49">
            <v>1</v>
          </cell>
        </row>
        <row r="50">
          <cell r="A50">
            <v>36</v>
          </cell>
          <cell r="B50" t="str">
            <v>c.</v>
          </cell>
          <cell r="C50">
            <v>1</v>
          </cell>
          <cell r="D50">
            <v>1</v>
          </cell>
          <cell r="F50" t="str">
            <v xml:space="preserve">Is there documentation verifying that grease removal filters and duct work on kitchen hoods have been inspected and cleaned every 6 months? </v>
          </cell>
          <cell r="G50">
            <v>1</v>
          </cell>
          <cell r="H50">
            <v>1</v>
          </cell>
          <cell r="I50">
            <v>1</v>
          </cell>
          <cell r="J50">
            <v>1</v>
          </cell>
        </row>
        <row r="51">
          <cell r="A51" t="str">
            <v>NFPA 13</v>
          </cell>
          <cell r="B51" t="str">
            <v>Standard for the Installation of Sprinkler Systems</v>
          </cell>
          <cell r="D51" t="str">
            <v xml:space="preserve"> </v>
          </cell>
          <cell r="F51" t="str">
            <v>(Cleaning of surfaces, filters, pans, etc. generally are on a daily basis).</v>
          </cell>
          <cell r="H51">
            <v>1</v>
          </cell>
          <cell r="J51">
            <v>1</v>
          </cell>
        </row>
        <row r="52">
          <cell r="A52">
            <v>21</v>
          </cell>
          <cell r="B52" t="str">
            <v>d.</v>
          </cell>
          <cell r="D52">
            <v>1</v>
          </cell>
          <cell r="F52" t="str">
            <v>GENERAL</v>
          </cell>
          <cell r="H52">
            <v>1</v>
          </cell>
          <cell r="J52">
            <v>1</v>
          </cell>
        </row>
        <row r="53">
          <cell r="A53" t="str">
            <v>NFPA 13A</v>
          </cell>
          <cell r="B53" t="str">
            <v>Recommended Practice for the Inspection, Testing and Maintenance of Sprinkler Systems</v>
          </cell>
          <cell r="D53">
            <v>1</v>
          </cell>
          <cell r="F53" t="str">
            <v>POM (CONTINUED)</v>
          </cell>
          <cell r="H53">
            <v>1</v>
          </cell>
          <cell r="J53">
            <v>1</v>
          </cell>
        </row>
        <row r="54">
          <cell r="A54">
            <v>37</v>
          </cell>
          <cell r="B54" t="str">
            <v>a.</v>
          </cell>
          <cell r="C54">
            <v>1</v>
          </cell>
          <cell r="D54">
            <v>1</v>
          </cell>
          <cell r="F54" t="str">
            <v>Are Daily Rounds and Standard Maintenance Routines conducted in accordance with SOPI 300.4, SOPI 300.5).</v>
          </cell>
          <cell r="G54">
            <v>1</v>
          </cell>
          <cell r="H54">
            <v>1</v>
          </cell>
          <cell r="I54">
            <v>1</v>
          </cell>
          <cell r="J54">
            <v>1</v>
          </cell>
        </row>
        <row r="55">
          <cell r="A55">
            <v>38</v>
          </cell>
          <cell r="B55" t="str">
            <v>National Electrical Code</v>
          </cell>
          <cell r="C55">
            <v>1</v>
          </cell>
          <cell r="D55">
            <v>1</v>
          </cell>
          <cell r="F55" t="str">
            <v>Have current facility blueprints been collected and indexed using the Blueprint Index System  contained in SOPI:300.11 or equivalent system?</v>
          </cell>
          <cell r="G55">
            <v>1</v>
          </cell>
          <cell r="H55">
            <v>1</v>
          </cell>
          <cell r="I55">
            <v>1</v>
          </cell>
          <cell r="J55">
            <v>1</v>
          </cell>
        </row>
        <row r="56">
          <cell r="A56">
            <v>39</v>
          </cell>
          <cell r="B56" t="str">
            <v>c.</v>
          </cell>
          <cell r="C56">
            <v>1</v>
          </cell>
          <cell r="D56">
            <v>1</v>
          </cell>
          <cell r="F56" t="str">
            <v>Is there a filter maintenance procedure in place using the Filter Log #73018 or equivalent facility  form?  (SOPI:300.12 or equivalent system)</v>
          </cell>
          <cell r="G56">
            <v>1</v>
          </cell>
          <cell r="H56">
            <v>1</v>
          </cell>
          <cell r="I56">
            <v>1</v>
          </cell>
          <cell r="J56">
            <v>1</v>
          </cell>
        </row>
        <row r="57">
          <cell r="A57">
            <v>40</v>
          </cell>
          <cell r="B57" t="str">
            <v>Standard for the Installation of Equipment for the</v>
          </cell>
          <cell r="C57">
            <v>1</v>
          </cell>
          <cell r="D57">
            <v>1</v>
          </cell>
          <cell r="F57" t="str">
            <v>Is a Manufacturers' Instruction Library Index maintained in accordance with SOPI:300.13 or equivalent system?</v>
          </cell>
          <cell r="G57">
            <v>1</v>
          </cell>
          <cell r="H57">
            <v>1</v>
          </cell>
          <cell r="I57">
            <v>1</v>
          </cell>
          <cell r="J57">
            <v>1</v>
          </cell>
        </row>
        <row r="58">
          <cell r="A58">
            <v>41</v>
          </cell>
          <cell r="B58" t="str">
            <v>Removal of Smoke and Grease - Laden vapors from</v>
          </cell>
          <cell r="C58">
            <v>1</v>
          </cell>
          <cell r="D58">
            <v>1</v>
          </cell>
          <cell r="F58" t="str">
            <v>Are Work Requests #73015 or equivalent facility forms completed in accordance with SOPI:400.4?</v>
          </cell>
          <cell r="G58">
            <v>1</v>
          </cell>
          <cell r="H58">
            <v>1</v>
          </cell>
          <cell r="I58">
            <v>1</v>
          </cell>
          <cell r="J58">
            <v>1</v>
          </cell>
        </row>
        <row r="59">
          <cell r="A59">
            <v>42</v>
          </cell>
          <cell r="B59" t="str">
            <v>Commercial Cooking Equipment</v>
          </cell>
          <cell r="C59">
            <v>1</v>
          </cell>
          <cell r="D59">
            <v>1</v>
          </cell>
          <cell r="F59" t="str">
            <v xml:space="preserve">Does the Manager review and sign or initial all utility bills?  </v>
          </cell>
          <cell r="G59">
            <v>1</v>
          </cell>
          <cell r="H59">
            <v>1</v>
          </cell>
          <cell r="I59">
            <v>1</v>
          </cell>
          <cell r="J59">
            <v>1</v>
          </cell>
        </row>
        <row r="60">
          <cell r="A60">
            <v>43</v>
          </cell>
          <cell r="B60" t="str">
            <v>b.</v>
          </cell>
          <cell r="C60">
            <v>1</v>
          </cell>
          <cell r="D60">
            <v>1</v>
          </cell>
          <cell r="F60" t="str">
            <v>Are current utility rate schedules and riders on file?</v>
          </cell>
          <cell r="G60">
            <v>1</v>
          </cell>
          <cell r="H60">
            <v>1</v>
          </cell>
          <cell r="I60">
            <v>1</v>
          </cell>
          <cell r="J60">
            <v>1</v>
          </cell>
        </row>
        <row r="61">
          <cell r="A61">
            <v>44</v>
          </cell>
          <cell r="B61" t="str">
            <v>Health Care Facilities</v>
          </cell>
          <cell r="C61">
            <v>1</v>
          </cell>
          <cell r="D61">
            <v>1</v>
          </cell>
          <cell r="F61" t="str">
            <v>Has the Manager verified that the facility is being billed on the most  advantageous utility rate schedules?  (ADM.: 800.19B)</v>
          </cell>
          <cell r="G61">
            <v>1</v>
          </cell>
          <cell r="H61">
            <v>1</v>
          </cell>
          <cell r="I61">
            <v>1</v>
          </cell>
          <cell r="J61">
            <v>1</v>
          </cell>
        </row>
        <row r="62">
          <cell r="A62">
            <v>45</v>
          </cell>
          <cell r="B62" t="str">
            <v>d.</v>
          </cell>
          <cell r="C62">
            <v>1</v>
          </cell>
          <cell r="D62">
            <v>1</v>
          </cell>
          <cell r="F62" t="str">
            <v>Are incomplete preventive maintenance actions listed on the incomplete Work Order Report no more than 2 months delinquent?</v>
          </cell>
          <cell r="G62">
            <v>1</v>
          </cell>
          <cell r="H62">
            <v>1</v>
          </cell>
          <cell r="I62">
            <v>1</v>
          </cell>
          <cell r="J62">
            <v>1</v>
          </cell>
        </row>
        <row r="63">
          <cell r="A63">
            <v>46</v>
          </cell>
          <cell r="B63" t="str">
            <v>Code for Safety of Life from fire in Buildings and</v>
          </cell>
          <cell r="C63">
            <v>1</v>
          </cell>
          <cell r="D63">
            <v>1</v>
          </cell>
          <cell r="F63" t="str">
            <v>Are incomplete corrective maintenance actions listed on the Incomplete Work Order Report no more than 2 months delinquent?</v>
          </cell>
          <cell r="G63">
            <v>1</v>
          </cell>
          <cell r="H63">
            <v>1</v>
          </cell>
          <cell r="I63">
            <v>1</v>
          </cell>
          <cell r="J63">
            <v>1</v>
          </cell>
        </row>
        <row r="64">
          <cell r="A64">
            <v>47</v>
          </cell>
          <cell r="B64" t="str">
            <v>Structures. (Life Safety Code 101)</v>
          </cell>
          <cell r="C64">
            <v>1</v>
          </cell>
          <cell r="D64" t="str">
            <v xml:space="preserve"> </v>
          </cell>
          <cell r="F64" t="str">
            <v>Is the Code Compliance schedule complete and up to date for the facility needs?</v>
          </cell>
          <cell r="G64">
            <v>1</v>
          </cell>
          <cell r="H64">
            <v>1</v>
          </cell>
          <cell r="I64">
            <v>1</v>
          </cell>
          <cell r="J64">
            <v>1</v>
          </cell>
        </row>
        <row r="65">
          <cell r="A65">
            <v>48</v>
          </cell>
          <cell r="C65">
            <v>1</v>
          </cell>
          <cell r="D65">
            <v>1</v>
          </cell>
          <cell r="F65" t="str">
            <v>Are all Account Definitions entered correctly on ISIS?</v>
          </cell>
          <cell r="G65">
            <v>1</v>
          </cell>
          <cell r="H65">
            <v>1</v>
          </cell>
          <cell r="I65">
            <v>1</v>
          </cell>
          <cell r="J65">
            <v>1</v>
          </cell>
        </row>
        <row r="66">
          <cell r="A66">
            <v>49</v>
          </cell>
          <cell r="B66" t="str">
            <v>General Industry Safety and Health Standards</v>
          </cell>
          <cell r="C66">
            <v>1</v>
          </cell>
          <cell r="D66" t="str">
            <v xml:space="preserve"> </v>
          </cell>
          <cell r="F66" t="str">
            <v>Is there a written snow plan, and is it approved by Administration? (Geographical)</v>
          </cell>
          <cell r="G66">
            <v>1</v>
          </cell>
          <cell r="H66">
            <v>1</v>
          </cell>
          <cell r="I66">
            <v>1</v>
          </cell>
          <cell r="J66">
            <v>1</v>
          </cell>
        </row>
        <row r="67">
          <cell r="A67">
            <v>50</v>
          </cell>
          <cell r="C67">
            <v>1</v>
          </cell>
          <cell r="D67">
            <v>1</v>
          </cell>
          <cell r="F67" t="str">
            <v>ISIS is installed and is being effectively used.</v>
          </cell>
          <cell r="G67">
            <v>1</v>
          </cell>
          <cell r="H67">
            <v>42</v>
          </cell>
          <cell r="I67">
            <v>1</v>
          </cell>
          <cell r="J67">
            <v>42</v>
          </cell>
        </row>
        <row r="68">
          <cell r="A68">
            <v>51</v>
          </cell>
          <cell r="C68">
            <v>1</v>
          </cell>
          <cell r="D68">
            <v>1</v>
          </cell>
          <cell r="F68" t="str">
            <v>ServiceMaster Career Development Program is implemented for staff.</v>
          </cell>
          <cell r="G68">
            <v>1</v>
          </cell>
          <cell r="H68">
            <v>1</v>
          </cell>
          <cell r="I68">
            <v>1</v>
          </cell>
          <cell r="J68">
            <v>1</v>
          </cell>
        </row>
        <row r="69">
          <cell r="A69" t="str">
            <v>21.</v>
          </cell>
          <cell r="D69">
            <v>1</v>
          </cell>
          <cell r="F69" t="str">
            <v>Are all Worker's Compensation records and other medical records kept in a separate locked file?</v>
          </cell>
          <cell r="H69">
            <v>1</v>
          </cell>
          <cell r="J69">
            <v>1</v>
          </cell>
        </row>
        <row r="70">
          <cell r="A70" t="str">
            <v>22.</v>
          </cell>
          <cell r="D70">
            <v>1</v>
          </cell>
          <cell r="F70" t="str">
            <v xml:space="preserve">                                                                                Total General - POM</v>
          </cell>
          <cell r="G70">
            <v>32</v>
          </cell>
          <cell r="H70">
            <v>1</v>
          </cell>
          <cell r="I70">
            <v>32</v>
          </cell>
          <cell r="J70" t="str">
            <v>Possible</v>
          </cell>
        </row>
        <row r="71">
          <cell r="A71" t="str">
            <v>23.</v>
          </cell>
          <cell r="D71">
            <v>1</v>
          </cell>
          <cell r="F71" t="str">
            <v xml:space="preserve">                                                                 Percentage Implemented</v>
          </cell>
          <cell r="G71">
            <v>1</v>
          </cell>
          <cell r="H71" t="str">
            <v>Score</v>
          </cell>
          <cell r="I71" t="str">
            <v xml:space="preserve"> </v>
          </cell>
          <cell r="J71" t="str">
            <v>Score</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row>
        <row r="73">
          <cell r="A73">
            <v>27</v>
          </cell>
          <cell r="D73">
            <v>1</v>
          </cell>
          <cell r="F73" t="str">
            <v>GENERAL PLANT OPERATION - EDUCATION ONLY</v>
          </cell>
          <cell r="H73">
            <v>1</v>
          </cell>
          <cell r="J73">
            <v>1</v>
          </cell>
        </row>
        <row r="74">
          <cell r="A74">
            <v>52</v>
          </cell>
          <cell r="C74">
            <v>2</v>
          </cell>
          <cell r="D74">
            <v>1</v>
          </cell>
          <cell r="F74" t="str">
            <v>Are at least 90% of scheduled preventive maintenance actions on the Performance Summary  Report  completed each month?  Verify by inspecting several  pieces of plant equipment as well as to compare estimated P/M hours against actual P/M hours.</v>
          </cell>
          <cell r="G74" t="str">
            <v>N/A</v>
          </cell>
          <cell r="H74">
            <v>1</v>
          </cell>
          <cell r="I74">
            <v>0</v>
          </cell>
          <cell r="J74">
            <v>1</v>
          </cell>
        </row>
        <row r="75">
          <cell r="A75" t="str">
            <v>27.</v>
          </cell>
          <cell r="D75">
            <v>1</v>
          </cell>
          <cell r="F75" t="str">
            <v>POM (CONTINUED)</v>
          </cell>
          <cell r="H75">
            <v>1</v>
          </cell>
          <cell r="J75">
            <v>1</v>
          </cell>
        </row>
        <row r="76">
          <cell r="A76">
            <v>28</v>
          </cell>
          <cell r="B76" t="str">
            <v>a.</v>
          </cell>
          <cell r="D76">
            <v>1</v>
          </cell>
          <cell r="F76" t="str">
            <v xml:space="preserve">                                                                 Total General - POM - EDUCATION ONLY</v>
          </cell>
          <cell r="G76">
            <v>0</v>
          </cell>
          <cell r="H76">
            <v>1</v>
          </cell>
          <cell r="I76">
            <v>0</v>
          </cell>
          <cell r="J76">
            <v>1</v>
          </cell>
        </row>
        <row r="77">
          <cell r="A77">
            <v>28</v>
          </cell>
          <cell r="B77" t="str">
            <v>b.</v>
          </cell>
          <cell r="D77">
            <v>1</v>
          </cell>
          <cell r="F77" t="str">
            <v xml:space="preserve">                                                                 Percentage Implemented</v>
          </cell>
          <cell r="G77" t="str">
            <v>N/A</v>
          </cell>
          <cell r="H77">
            <v>1</v>
          </cell>
          <cell r="J77">
            <v>1</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row>
        <row r="79">
          <cell r="A79">
            <v>30</v>
          </cell>
          <cell r="D79">
            <v>1</v>
          </cell>
          <cell r="F79" t="str">
            <v>GENERAL PLANT OPERATION - HEALTHCARE ONLY</v>
          </cell>
          <cell r="H79">
            <v>1</v>
          </cell>
          <cell r="J79">
            <v>1</v>
          </cell>
        </row>
        <row r="80">
          <cell r="A80">
            <v>53</v>
          </cell>
          <cell r="B80" t="str">
            <v>a.</v>
          </cell>
          <cell r="C80">
            <v>2</v>
          </cell>
          <cell r="D80">
            <v>1</v>
          </cell>
          <cell r="F80" t="str">
            <v>Up-to-date JCAHO Statement of Conditions (SOC) in place and deficiencies being addressed according to published schedule.</v>
          </cell>
          <cell r="G80" t="str">
            <v>N/A</v>
          </cell>
          <cell r="H80">
            <v>1</v>
          </cell>
          <cell r="I80">
            <v>0</v>
          </cell>
          <cell r="J80">
            <v>1</v>
          </cell>
        </row>
        <row r="81">
          <cell r="A81">
            <v>54</v>
          </cell>
          <cell r="B81" t="str">
            <v>b.</v>
          </cell>
          <cell r="C81">
            <v>2</v>
          </cell>
          <cell r="D81">
            <v>1</v>
          </cell>
          <cell r="F81" t="str">
            <v>A minimum of 95% of all Preventive Maintenance Requirements have been consistently completed on a monthly basis.</v>
          </cell>
          <cell r="G81" t="str">
            <v>N/A</v>
          </cell>
          <cell r="H81">
            <v>1</v>
          </cell>
          <cell r="I81">
            <v>0</v>
          </cell>
          <cell r="J81">
            <v>1</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row>
        <row r="83">
          <cell r="A83">
            <v>34</v>
          </cell>
          <cell r="D83">
            <v>2</v>
          </cell>
          <cell r="F83" t="str">
            <v>(For non-restorable heat detectors over 15 years old, follow testing guidelines in NFPA 72E).  (NFPA 72E: 8-3.2, 8-3.3.1)</v>
          </cell>
          <cell r="H83" t="str">
            <v>N/A</v>
          </cell>
          <cell r="J83" t="str">
            <v>Possible</v>
          </cell>
        </row>
        <row r="84">
          <cell r="A84">
            <v>35</v>
          </cell>
          <cell r="D84">
            <v>1</v>
          </cell>
          <cell r="F84" t="str">
            <v xml:space="preserve">                                                                 Total General - POM- Healthcare Only</v>
          </cell>
          <cell r="G84">
            <v>0</v>
          </cell>
          <cell r="H84">
            <v>1</v>
          </cell>
          <cell r="I84">
            <v>0</v>
          </cell>
          <cell r="J84">
            <v>1</v>
          </cell>
        </row>
        <row r="85">
          <cell r="A85">
            <v>36</v>
          </cell>
          <cell r="D85">
            <v>1</v>
          </cell>
          <cell r="F85" t="str">
            <v xml:space="preserve">                                                                 Percentage Implemented</v>
          </cell>
          <cell r="G85" t="str">
            <v>N/A</v>
          </cell>
          <cell r="H85">
            <v>1</v>
          </cell>
          <cell r="J85">
            <v>1</v>
          </cell>
        </row>
        <row r="86">
          <cell r="A86" t="str">
            <v>31.</v>
          </cell>
          <cell r="D86">
            <v>1</v>
          </cell>
          <cell r="F86" t="str">
            <v>GENERAL</v>
          </cell>
          <cell r="H86">
            <v>1</v>
          </cell>
          <cell r="I86" t="str">
            <v>Possible</v>
          </cell>
          <cell r="J86">
            <v>1</v>
          </cell>
        </row>
        <row r="87">
          <cell r="A87">
            <v>37</v>
          </cell>
          <cell r="D87">
            <v>1</v>
          </cell>
          <cell r="F87" t="str">
            <v>POOLS</v>
          </cell>
          <cell r="G87" t="str">
            <v>Score</v>
          </cell>
          <cell r="H87">
            <v>0</v>
          </cell>
          <cell r="I87" t="str">
            <v>Score</v>
          </cell>
          <cell r="J87">
            <v>1</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row>
        <row r="89">
          <cell r="A89">
            <v>55</v>
          </cell>
          <cell r="C89">
            <v>2</v>
          </cell>
          <cell r="D89">
            <v>1</v>
          </cell>
          <cell r="F89" t="str">
            <v>Do the Pool Operators under your supervision have a current CPO certification?</v>
          </cell>
          <cell r="G89" t="str">
            <v>N/A</v>
          </cell>
          <cell r="H89">
            <v>1</v>
          </cell>
          <cell r="I89">
            <v>0</v>
          </cell>
          <cell r="J89">
            <v>1</v>
          </cell>
        </row>
        <row r="90">
          <cell r="A90">
            <v>56</v>
          </cell>
          <cell r="C90">
            <v>2</v>
          </cell>
          <cell r="D90">
            <v>1</v>
          </cell>
          <cell r="F90" t="str">
            <v>Does the Manager have a current "CPO" certification?</v>
          </cell>
          <cell r="G90" t="str">
            <v>N/A</v>
          </cell>
          <cell r="H90">
            <v>1</v>
          </cell>
          <cell r="I90">
            <v>0</v>
          </cell>
          <cell r="J90">
            <v>1</v>
          </cell>
        </row>
        <row r="91">
          <cell r="A91">
            <v>57</v>
          </cell>
          <cell r="C91">
            <v>2</v>
          </cell>
          <cell r="D91">
            <v>1</v>
          </cell>
          <cell r="F91" t="str">
            <v>Are chemical tests completed and logged a minimum of three times daily?</v>
          </cell>
          <cell r="G91" t="str">
            <v>N/A</v>
          </cell>
          <cell r="H91">
            <v>1</v>
          </cell>
          <cell r="I91">
            <v>0</v>
          </cell>
          <cell r="J91">
            <v>1</v>
          </cell>
        </row>
        <row r="92">
          <cell r="A92">
            <v>58</v>
          </cell>
          <cell r="C92">
            <v>2</v>
          </cell>
          <cell r="D92">
            <v>1</v>
          </cell>
          <cell r="F92" t="str">
            <v>If Chlorine Gas used, is the tank room equipped with correct safety equipment such as an audible and visible leak alarm, SCBA outside room, and proper air exchange? (1 to 4 min).</v>
          </cell>
          <cell r="G92" t="str">
            <v>N/A</v>
          </cell>
          <cell r="H92">
            <v>1</v>
          </cell>
          <cell r="I92">
            <v>0</v>
          </cell>
          <cell r="J92">
            <v>1</v>
          </cell>
        </row>
        <row r="93">
          <cell r="A93">
            <v>59</v>
          </cell>
          <cell r="C93">
            <v>2</v>
          </cell>
          <cell r="D93">
            <v>1</v>
          </cell>
          <cell r="F93" t="str">
            <v>Are monthly safety inspections completed and documented on the pool?  This can be fulfilled by the CPO program of ISIS provided the pool mechanicals are completely indexed and the pool chemicals are in complete compliance with RTK.</v>
          </cell>
          <cell r="G93" t="str">
            <v>N/A</v>
          </cell>
          <cell r="H93">
            <v>1</v>
          </cell>
          <cell r="I93">
            <v>0</v>
          </cell>
          <cell r="J93">
            <v>1</v>
          </cell>
        </row>
        <row r="94">
          <cell r="A94">
            <v>60</v>
          </cell>
          <cell r="C94">
            <v>2</v>
          </cell>
          <cell r="D94">
            <v>1</v>
          </cell>
          <cell r="F94" t="str">
            <v>Are Material Safety Data Sheets available for all products used in the pool area?</v>
          </cell>
          <cell r="G94" t="str">
            <v>N/A</v>
          </cell>
          <cell r="H94">
            <v>1</v>
          </cell>
          <cell r="I94">
            <v>0</v>
          </cell>
          <cell r="J94">
            <v>1</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row>
        <row r="96">
          <cell r="A96">
            <v>45</v>
          </cell>
          <cell r="B96" t="str">
            <v>b.</v>
          </cell>
          <cell r="D96">
            <v>1</v>
          </cell>
          <cell r="F96" t="str">
            <v xml:space="preserve">                                                                   Total General - Pools</v>
          </cell>
          <cell r="G96">
            <v>0</v>
          </cell>
          <cell r="H96">
            <v>1</v>
          </cell>
          <cell r="I96">
            <v>0</v>
          </cell>
          <cell r="J96">
            <v>1</v>
          </cell>
        </row>
        <row r="97">
          <cell r="A97">
            <v>46</v>
          </cell>
          <cell r="D97">
            <v>1</v>
          </cell>
          <cell r="F97" t="str">
            <v xml:space="preserve">                                                                   Percentage Implemented</v>
          </cell>
          <cell r="G97" t="str">
            <v>N/A</v>
          </cell>
          <cell r="H97">
            <v>1</v>
          </cell>
          <cell r="J97">
            <v>1</v>
          </cell>
        </row>
        <row r="98">
          <cell r="A98" t="str">
            <v>39.</v>
          </cell>
          <cell r="D98">
            <v>1</v>
          </cell>
          <cell r="F98" t="str">
            <v>RISK</v>
          </cell>
          <cell r="H98">
            <v>1</v>
          </cell>
          <cell r="J98">
            <v>1</v>
          </cell>
        </row>
        <row r="99">
          <cell r="A99" t="str">
            <v>40.</v>
          </cell>
          <cell r="D99">
            <v>1</v>
          </cell>
          <cell r="F99" t="str">
            <v>GENERAL</v>
          </cell>
          <cell r="H99">
            <v>1</v>
          </cell>
          <cell r="I99" t="str">
            <v>Possible</v>
          </cell>
          <cell r="J99">
            <v>1</v>
          </cell>
        </row>
        <row r="100">
          <cell r="A100">
            <v>47</v>
          </cell>
          <cell r="D100">
            <v>1</v>
          </cell>
          <cell r="F100" t="str">
            <v>GROUNDS</v>
          </cell>
          <cell r="G100" t="str">
            <v>Score</v>
          </cell>
          <cell r="H100">
            <v>0</v>
          </cell>
          <cell r="I100" t="str">
            <v>Score</v>
          </cell>
          <cell r="J100">
            <v>1</v>
          </cell>
        </row>
        <row r="101">
          <cell r="A101">
            <v>48</v>
          </cell>
          <cell r="D101">
            <v>1</v>
          </cell>
          <cell r="F101" t="str">
            <v>Is there documentation verifying that grease removal filters and duct work on kitchen hoods have been inspected and cleaned every 6 months? (NFPA 96:8)</v>
          </cell>
          <cell r="H101">
            <v>1</v>
          </cell>
          <cell r="J101">
            <v>1</v>
          </cell>
        </row>
        <row r="102">
          <cell r="A102">
            <v>61</v>
          </cell>
          <cell r="C102">
            <v>2</v>
          </cell>
          <cell r="D102">
            <v>1</v>
          </cell>
          <cell r="F102" t="str">
            <v xml:space="preserve">Is the ServiceMaster Grounds Management Planning Calendar complete, up-to-date, and displayed?  </v>
          </cell>
          <cell r="G102" t="str">
            <v>N/A</v>
          </cell>
          <cell r="H102">
            <v>1</v>
          </cell>
          <cell r="I102">
            <v>0</v>
          </cell>
          <cell r="J102">
            <v>1</v>
          </cell>
        </row>
        <row r="103">
          <cell r="A103">
            <v>62</v>
          </cell>
          <cell r="C103">
            <v>2</v>
          </cell>
          <cell r="D103">
            <v>1</v>
          </cell>
          <cell r="F103" t="str">
            <v>Are grounds schedules written and posted for watering, trimming, mowing, fertilization and weed control.</v>
          </cell>
          <cell r="G103" t="str">
            <v>N/A</v>
          </cell>
          <cell r="H103">
            <v>1</v>
          </cell>
          <cell r="I103">
            <v>0</v>
          </cell>
          <cell r="J103">
            <v>1</v>
          </cell>
        </row>
        <row r="104">
          <cell r="A104">
            <v>63</v>
          </cell>
          <cell r="C104">
            <v>2</v>
          </cell>
          <cell r="D104">
            <v>1</v>
          </cell>
          <cell r="F104" t="str">
            <v xml:space="preserve">Has a soil analysis been completed within the last two years?                              </v>
          </cell>
          <cell r="G104" t="str">
            <v>N/A</v>
          </cell>
          <cell r="H104">
            <v>1</v>
          </cell>
          <cell r="I104">
            <v>0</v>
          </cell>
          <cell r="J104">
            <v>1</v>
          </cell>
        </row>
        <row r="105">
          <cell r="A105">
            <v>64</v>
          </cell>
          <cell r="C105">
            <v>2</v>
          </cell>
          <cell r="D105">
            <v>1</v>
          </cell>
          <cell r="F105" t="str">
            <v>Has a grounds project list been prepared, photo documented, and presented to Administration with a suggested prioritization?</v>
          </cell>
          <cell r="G105" t="str">
            <v>N/A</v>
          </cell>
          <cell r="H105">
            <v>1</v>
          </cell>
          <cell r="I105">
            <v>0</v>
          </cell>
          <cell r="J105">
            <v>1</v>
          </cell>
        </row>
        <row r="106">
          <cell r="A106">
            <v>65</v>
          </cell>
          <cell r="C106">
            <v>2</v>
          </cell>
          <cell r="D106">
            <v>1</v>
          </cell>
          <cell r="F106" t="str">
            <v>Are Grounds Inspections completed and documented regularly with grounds workers and three times a year with Administration.</v>
          </cell>
          <cell r="G106" t="str">
            <v>N/A</v>
          </cell>
          <cell r="H106">
            <v>1</v>
          </cell>
          <cell r="I106">
            <v>0</v>
          </cell>
          <cell r="J106">
            <v>1</v>
          </cell>
        </row>
        <row r="107">
          <cell r="A107">
            <v>66</v>
          </cell>
          <cell r="C107">
            <v>2</v>
          </cell>
          <cell r="D107">
            <v>1</v>
          </cell>
          <cell r="F107" t="str">
            <v>Are application records up to date for fertilization and seeding?</v>
          </cell>
          <cell r="G107" t="str">
            <v>N/A</v>
          </cell>
          <cell r="H107">
            <v>1</v>
          </cell>
          <cell r="I107">
            <v>0</v>
          </cell>
          <cell r="J107">
            <v>1</v>
          </cell>
        </row>
        <row r="108">
          <cell r="A108">
            <v>67</v>
          </cell>
          <cell r="C108">
            <v>2</v>
          </cell>
          <cell r="D108">
            <v>1</v>
          </cell>
          <cell r="F108" t="str">
            <v>Are color-coded plot maps completed and on file for all sites?</v>
          </cell>
          <cell r="G108" t="str">
            <v>N/A</v>
          </cell>
          <cell r="H108">
            <v>1</v>
          </cell>
          <cell r="I108">
            <v>0</v>
          </cell>
          <cell r="J108">
            <v>1</v>
          </cell>
        </row>
        <row r="109">
          <cell r="A109">
            <v>68</v>
          </cell>
          <cell r="C109">
            <v>2</v>
          </cell>
          <cell r="D109">
            <v>1</v>
          </cell>
          <cell r="F109" t="str">
            <v>Is a grounds equipment maintenance program in effect and being documented?</v>
          </cell>
          <cell r="G109" t="str">
            <v>N/A</v>
          </cell>
          <cell r="H109">
            <v>1</v>
          </cell>
          <cell r="I109">
            <v>0</v>
          </cell>
          <cell r="J109">
            <v>1</v>
          </cell>
        </row>
        <row r="110">
          <cell r="A110">
            <v>69</v>
          </cell>
          <cell r="C110">
            <v>2</v>
          </cell>
          <cell r="D110">
            <v>1</v>
          </cell>
          <cell r="F110" t="str">
            <v>Is capital equipment being inventoried on an annual  basis?</v>
          </cell>
          <cell r="G110" t="str">
            <v>N/A</v>
          </cell>
          <cell r="H110">
            <v>1</v>
          </cell>
          <cell r="I110">
            <v>0</v>
          </cell>
          <cell r="J110">
            <v>1</v>
          </cell>
        </row>
        <row r="111">
          <cell r="A111">
            <v>70</v>
          </cell>
          <cell r="C111">
            <v>2</v>
          </cell>
          <cell r="D111">
            <v>1</v>
          </cell>
          <cell r="F111" t="str">
            <v>Are written job descriptions for all grounds positions up to date and reviewed with employees annually.</v>
          </cell>
          <cell r="G111" t="str">
            <v>N/A</v>
          </cell>
          <cell r="H111">
            <v>1</v>
          </cell>
          <cell r="I111">
            <v>0</v>
          </cell>
          <cell r="J111">
            <v>1</v>
          </cell>
        </row>
        <row r="112">
          <cell r="A112">
            <v>71</v>
          </cell>
          <cell r="C112">
            <v>2</v>
          </cell>
          <cell r="D112">
            <v>1</v>
          </cell>
          <cell r="F112" t="str">
            <v>Before and after pictures have been taken of grounds improvements and shared with Administration.</v>
          </cell>
          <cell r="G112" t="str">
            <v>N/A</v>
          </cell>
          <cell r="H112">
            <v>1</v>
          </cell>
          <cell r="I112">
            <v>0</v>
          </cell>
          <cell r="J112">
            <v>1</v>
          </cell>
        </row>
        <row r="113">
          <cell r="A113">
            <v>72</v>
          </cell>
          <cell r="C113">
            <v>2</v>
          </cell>
          <cell r="D113">
            <v>1</v>
          </cell>
          <cell r="F113" t="str">
            <v>ServiceMaster Grounds Management Support (telephone, written and personal visits) have been documented in joint review minutes.</v>
          </cell>
          <cell r="G113" t="str">
            <v>N/A</v>
          </cell>
          <cell r="H113">
            <v>1</v>
          </cell>
          <cell r="I113">
            <v>0</v>
          </cell>
          <cell r="J113">
            <v>1</v>
          </cell>
        </row>
        <row r="114">
          <cell r="A114">
            <v>73</v>
          </cell>
          <cell r="C114">
            <v>2</v>
          </cell>
          <cell r="D114">
            <v>1</v>
          </cell>
          <cell r="F114" t="str">
            <v>The ServiceMaster Basics of Grounds Care I and II videotapes have been used annually for retraining.</v>
          </cell>
          <cell r="G114" t="str">
            <v>N/A</v>
          </cell>
          <cell r="H114">
            <v>1</v>
          </cell>
          <cell r="I114">
            <v>0</v>
          </cell>
          <cell r="J114">
            <v>1</v>
          </cell>
        </row>
        <row r="115">
          <cell r="A115">
            <v>74</v>
          </cell>
          <cell r="C115">
            <v>2</v>
          </cell>
          <cell r="D115">
            <v>1</v>
          </cell>
          <cell r="F115" t="str">
            <v>Unitization of grounds responsibilities has been completed.</v>
          </cell>
          <cell r="G115" t="str">
            <v>N/A</v>
          </cell>
          <cell r="H115">
            <v>1</v>
          </cell>
          <cell r="I115">
            <v>0</v>
          </cell>
          <cell r="J115">
            <v>1</v>
          </cell>
        </row>
        <row r="116">
          <cell r="A116">
            <v>75</v>
          </cell>
          <cell r="C116">
            <v>2</v>
          </cell>
          <cell r="D116">
            <v>1</v>
          </cell>
          <cell r="F116" t="str">
            <v>Are grounds vendor files up to date and reviewed for competitive pricing?</v>
          </cell>
          <cell r="G116" t="str">
            <v>N/A</v>
          </cell>
          <cell r="H116">
            <v>1</v>
          </cell>
          <cell r="I116">
            <v>0</v>
          </cell>
          <cell r="J116">
            <v>1</v>
          </cell>
        </row>
        <row r="117">
          <cell r="A117">
            <v>64</v>
          </cell>
          <cell r="D117">
            <v>1</v>
          </cell>
          <cell r="F117" t="str">
            <v>Is off-premise Emergency Forces Notification (to the fire department, etc.) transmission equipment tested quarterly? (NFPA 72 and JCAHO EC 2.12c)</v>
          </cell>
          <cell r="H117">
            <v>1</v>
          </cell>
          <cell r="J117">
            <v>1</v>
          </cell>
        </row>
        <row r="118">
          <cell r="A118">
            <v>65</v>
          </cell>
          <cell r="D118">
            <v>1</v>
          </cell>
          <cell r="F118" t="str">
            <v xml:space="preserve">                                                             Total General - Grounds</v>
          </cell>
          <cell r="G118">
            <v>0</v>
          </cell>
          <cell r="H118">
            <v>1</v>
          </cell>
          <cell r="I118">
            <v>0</v>
          </cell>
          <cell r="J118">
            <v>1</v>
          </cell>
        </row>
        <row r="119">
          <cell r="A119">
            <v>66</v>
          </cell>
          <cell r="D119">
            <v>1</v>
          </cell>
          <cell r="F119" t="str">
            <v xml:space="preserve">                                                             Percentage Implemented</v>
          </cell>
          <cell r="G119" t="str">
            <v>N/A</v>
          </cell>
          <cell r="H119">
            <v>1</v>
          </cell>
          <cell r="J119">
            <v>1</v>
          </cell>
        </row>
        <row r="120">
          <cell r="A120">
            <v>67</v>
          </cell>
          <cell r="D120">
            <v>1</v>
          </cell>
          <cell r="F120" t="str">
            <v>GENERAL</v>
          </cell>
          <cell r="H120">
            <v>1</v>
          </cell>
          <cell r="I120" t="str">
            <v>Possible</v>
          </cell>
          <cell r="J120">
            <v>1</v>
          </cell>
        </row>
        <row r="121">
          <cell r="A121">
            <v>68</v>
          </cell>
          <cell r="D121">
            <v>1</v>
          </cell>
          <cell r="F121" t="str">
            <v>ENVIRONMENTAL/CUSTODIAL</v>
          </cell>
          <cell r="G121" t="str">
            <v>Score</v>
          </cell>
          <cell r="H121">
            <v>0</v>
          </cell>
          <cell r="I121" t="str">
            <v>Score</v>
          </cell>
          <cell r="J121">
            <v>1</v>
          </cell>
        </row>
        <row r="122">
          <cell r="A122">
            <v>76</v>
          </cell>
          <cell r="C122">
            <v>1</v>
          </cell>
          <cell r="D122">
            <v>1</v>
          </cell>
          <cell r="F122" t="str">
            <v>Are there updated room inventories on file for all buildings? (In Campus/ISIS)</v>
          </cell>
          <cell r="G122">
            <v>1</v>
          </cell>
          <cell r="H122">
            <v>1</v>
          </cell>
          <cell r="I122">
            <v>1</v>
          </cell>
          <cell r="J122">
            <v>1</v>
          </cell>
        </row>
        <row r="123">
          <cell r="A123">
            <v>77</v>
          </cell>
          <cell r="C123">
            <v>1</v>
          </cell>
          <cell r="D123">
            <v>1</v>
          </cell>
          <cell r="F123" t="str">
            <v>Have employee schedules been developed to incorporate all functions and duties of each employee; have they been updated annually and reviewed with employees?</v>
          </cell>
          <cell r="G123">
            <v>1</v>
          </cell>
          <cell r="H123">
            <v>1</v>
          </cell>
          <cell r="I123">
            <v>1</v>
          </cell>
          <cell r="J123">
            <v>1</v>
          </cell>
        </row>
        <row r="124">
          <cell r="A124">
            <v>78</v>
          </cell>
          <cell r="C124">
            <v>1</v>
          </cell>
          <cell r="D124">
            <v>1</v>
          </cell>
          <cell r="F124" t="str">
            <v xml:space="preserve">Has a project calendar been designed to assist in scheduling projects on a yearly basis?  </v>
          </cell>
          <cell r="G124">
            <v>1</v>
          </cell>
          <cell r="H124">
            <v>1</v>
          </cell>
          <cell r="I124">
            <v>1</v>
          </cell>
          <cell r="J124">
            <v>1</v>
          </cell>
        </row>
        <row r="125">
          <cell r="A125">
            <v>79</v>
          </cell>
          <cell r="C125">
            <v>1</v>
          </cell>
          <cell r="D125">
            <v>1</v>
          </cell>
          <cell r="F125" t="str">
            <v>Has a project history been maintained?</v>
          </cell>
          <cell r="G125">
            <v>1</v>
          </cell>
          <cell r="H125">
            <v>1</v>
          </cell>
          <cell r="I125">
            <v>1</v>
          </cell>
          <cell r="J125">
            <v>1</v>
          </cell>
        </row>
        <row r="126">
          <cell r="A126">
            <v>80</v>
          </cell>
          <cell r="C126">
            <v>1</v>
          </cell>
          <cell r="D126">
            <v>1</v>
          </cell>
          <cell r="F126" t="str">
            <v>Has a supply inventory been completed monthly which identifies a minimum and maximum level of stock to be held in inventory and the monthly supply order developed from the inventory?</v>
          </cell>
          <cell r="G126">
            <v>1</v>
          </cell>
          <cell r="H126">
            <v>1</v>
          </cell>
          <cell r="I126">
            <v>1</v>
          </cell>
          <cell r="J126">
            <v>1</v>
          </cell>
        </row>
        <row r="127">
          <cell r="A127">
            <v>81</v>
          </cell>
          <cell r="C127">
            <v>1</v>
          </cell>
          <cell r="F127" t="str">
            <v>Does the Manager perform the physical inventory on the prescribed intervals?</v>
          </cell>
          <cell r="G127">
            <v>1</v>
          </cell>
          <cell r="I127">
            <v>1</v>
          </cell>
        </row>
        <row r="128">
          <cell r="F128" t="str">
            <v>Visible quality makes a positive impression on cleanliness and aesthetic appearance.</v>
          </cell>
        </row>
        <row r="129">
          <cell r="A129">
            <v>82</v>
          </cell>
          <cell r="F129" t="str">
            <v>Entrances and Lobby</v>
          </cell>
        </row>
        <row r="130">
          <cell r="A130">
            <v>82</v>
          </cell>
          <cell r="B130" t="str">
            <v>a.</v>
          </cell>
          <cell r="C130">
            <v>1</v>
          </cell>
          <cell r="F130" t="str">
            <v>Walk free of cigarette butts and litter?</v>
          </cell>
          <cell r="G130">
            <v>1</v>
          </cell>
          <cell r="I130">
            <v>1</v>
          </cell>
        </row>
        <row r="131">
          <cell r="A131">
            <v>82</v>
          </cell>
          <cell r="B131" t="str">
            <v>b.</v>
          </cell>
          <cell r="C131">
            <v>1</v>
          </cell>
          <cell r="F131" t="str">
            <v>Entrance window, glass, and doors free of finger smears?</v>
          </cell>
          <cell r="G131">
            <v>1</v>
          </cell>
          <cell r="I131">
            <v>1</v>
          </cell>
        </row>
        <row r="132">
          <cell r="A132">
            <v>82</v>
          </cell>
          <cell r="B132" t="str">
            <v>c.</v>
          </cell>
          <cell r="C132">
            <v>1</v>
          </cell>
          <cell r="F132" t="str">
            <v>Walk off mats clean, of proper type, and in proper position?</v>
          </cell>
          <cell r="G132">
            <v>1</v>
          </cell>
          <cell r="I132">
            <v>1</v>
          </cell>
        </row>
        <row r="133">
          <cell r="A133">
            <v>82</v>
          </cell>
          <cell r="B133" t="str">
            <v>d.</v>
          </cell>
          <cell r="C133">
            <v>1</v>
          </cell>
          <cell r="F133" t="str">
            <v>Cigarette urns and waste containers clean and properly lined?</v>
          </cell>
          <cell r="G133">
            <v>1</v>
          </cell>
          <cell r="I133">
            <v>1</v>
          </cell>
        </row>
        <row r="134">
          <cell r="A134">
            <v>82</v>
          </cell>
          <cell r="B134" t="str">
            <v>e.</v>
          </cell>
          <cell r="C134">
            <v>1</v>
          </cell>
          <cell r="F134" t="str">
            <v>Floors (carpets) and edges clean of dirt, dust, litter?</v>
          </cell>
          <cell r="G134">
            <v>1</v>
          </cell>
          <cell r="I134">
            <v>1</v>
          </cell>
        </row>
        <row r="135">
          <cell r="A135">
            <v>82</v>
          </cell>
          <cell r="B135" t="str">
            <v>f.</v>
          </cell>
          <cell r="C135">
            <v>1</v>
          </cell>
          <cell r="F135" t="str">
            <v>Floors finished with depth shine or carpets clean and fresh?</v>
          </cell>
          <cell r="G135">
            <v>1</v>
          </cell>
          <cell r="I135">
            <v>1</v>
          </cell>
        </row>
        <row r="136">
          <cell r="A136">
            <v>82</v>
          </cell>
          <cell r="B136" t="str">
            <v>g.</v>
          </cell>
          <cell r="C136">
            <v>1</v>
          </cell>
          <cell r="F136" t="str">
            <v>Walls and doors clean and free of smudges and marks?</v>
          </cell>
          <cell r="G136">
            <v>1</v>
          </cell>
          <cell r="I136">
            <v>1</v>
          </cell>
        </row>
        <row r="137">
          <cell r="A137">
            <v>82</v>
          </cell>
          <cell r="B137" t="str">
            <v>h.</v>
          </cell>
          <cell r="C137">
            <v>1</v>
          </cell>
          <cell r="F137" t="str">
            <v>Doors, push and kick plates clean and polished?</v>
          </cell>
          <cell r="G137">
            <v>1</v>
          </cell>
          <cell r="I137">
            <v>1</v>
          </cell>
        </row>
        <row r="138">
          <cell r="A138">
            <v>82</v>
          </cell>
          <cell r="B138" t="str">
            <v>I.</v>
          </cell>
          <cell r="C138">
            <v>1</v>
          </cell>
          <cell r="F138" t="str">
            <v>Ledges free of dust?</v>
          </cell>
          <cell r="G138">
            <v>1</v>
          </cell>
          <cell r="I138">
            <v>1</v>
          </cell>
        </row>
        <row r="139">
          <cell r="A139">
            <v>82</v>
          </cell>
          <cell r="B139" t="str">
            <v>j.</v>
          </cell>
          <cell r="C139">
            <v>1</v>
          </cell>
          <cell r="F139" t="str">
            <v>Signs, plants, and ornaments clean?</v>
          </cell>
          <cell r="G139">
            <v>1</v>
          </cell>
          <cell r="I139">
            <v>1</v>
          </cell>
        </row>
        <row r="140">
          <cell r="A140">
            <v>82</v>
          </cell>
          <cell r="B140" t="str">
            <v>k.</v>
          </cell>
          <cell r="C140">
            <v>1</v>
          </cell>
          <cell r="F140" t="str">
            <v>Lights clean and clear?</v>
          </cell>
          <cell r="G140">
            <v>1</v>
          </cell>
          <cell r="I140">
            <v>1</v>
          </cell>
        </row>
        <row r="141">
          <cell r="A141">
            <v>82</v>
          </cell>
          <cell r="B141" t="str">
            <v>l.</v>
          </cell>
          <cell r="C141">
            <v>1</v>
          </cell>
          <cell r="F141" t="str">
            <v>Furniture clean and orderly?</v>
          </cell>
          <cell r="G141">
            <v>1</v>
          </cell>
          <cell r="I141">
            <v>1</v>
          </cell>
        </row>
        <row r="142">
          <cell r="A142">
            <v>82</v>
          </cell>
          <cell r="B142" t="str">
            <v>m.</v>
          </cell>
          <cell r="C142">
            <v>1</v>
          </cell>
          <cell r="F142" t="str">
            <v>Telephones clean and free of dust?</v>
          </cell>
          <cell r="G142">
            <v>1</v>
          </cell>
          <cell r="I142">
            <v>1</v>
          </cell>
        </row>
        <row r="143">
          <cell r="A143">
            <v>82</v>
          </cell>
          <cell r="B143" t="str">
            <v>n.</v>
          </cell>
          <cell r="C143">
            <v>1</v>
          </cell>
          <cell r="F143" t="str">
            <v>Public restrooms clean and free of trash?</v>
          </cell>
          <cell r="G143">
            <v>1</v>
          </cell>
          <cell r="I143">
            <v>1</v>
          </cell>
        </row>
        <row r="144">
          <cell r="A144">
            <v>83</v>
          </cell>
          <cell r="F144" t="str">
            <v>Patient/Resident/Dorm Rooms</v>
          </cell>
        </row>
        <row r="145">
          <cell r="A145">
            <v>83</v>
          </cell>
          <cell r="B145" t="str">
            <v>a.</v>
          </cell>
          <cell r="C145">
            <v>1</v>
          </cell>
          <cell r="F145" t="str">
            <v>Floors (carpets) and edges clean, free of dirt, dust, and litter?</v>
          </cell>
          <cell r="G145">
            <v>1</v>
          </cell>
          <cell r="I145">
            <v>1</v>
          </cell>
        </row>
        <row r="146">
          <cell r="A146">
            <v>83</v>
          </cell>
          <cell r="B146" t="str">
            <v>b.</v>
          </cell>
          <cell r="C146">
            <v>1</v>
          </cell>
          <cell r="F146" t="str">
            <v>Floors finished with depth shine or carpets clean and fresh?</v>
          </cell>
          <cell r="G146">
            <v>1</v>
          </cell>
          <cell r="I146">
            <v>1</v>
          </cell>
        </row>
        <row r="147">
          <cell r="A147">
            <v>83</v>
          </cell>
          <cell r="B147" t="str">
            <v>c.</v>
          </cell>
          <cell r="C147">
            <v>1</v>
          </cell>
          <cell r="F147" t="str">
            <v>Waste containers clean and properly lined?</v>
          </cell>
          <cell r="G147">
            <v>1</v>
          </cell>
          <cell r="I147">
            <v>1</v>
          </cell>
        </row>
        <row r="148">
          <cell r="A148">
            <v>83</v>
          </cell>
          <cell r="B148" t="str">
            <v>d.</v>
          </cell>
          <cell r="C148">
            <v>1</v>
          </cell>
          <cell r="F148" t="str">
            <v>Walls clean and free of spots and marks?</v>
          </cell>
          <cell r="G148">
            <v>1</v>
          </cell>
          <cell r="I148">
            <v>1</v>
          </cell>
        </row>
        <row r="149">
          <cell r="A149">
            <v>83</v>
          </cell>
          <cell r="B149" t="str">
            <v>e.</v>
          </cell>
          <cell r="C149">
            <v>1</v>
          </cell>
          <cell r="F149" t="str">
            <v>Ledges free of dust?</v>
          </cell>
          <cell r="G149">
            <v>1</v>
          </cell>
          <cell r="I149">
            <v>1</v>
          </cell>
        </row>
        <row r="150">
          <cell r="A150">
            <v>83</v>
          </cell>
          <cell r="B150" t="str">
            <v>f.</v>
          </cell>
          <cell r="C150">
            <v>1</v>
          </cell>
          <cell r="F150" t="str">
            <v>Window (including partition glass) clean?</v>
          </cell>
          <cell r="G150">
            <v>1</v>
          </cell>
          <cell r="I150">
            <v>1</v>
          </cell>
        </row>
        <row r="151">
          <cell r="A151">
            <v>83</v>
          </cell>
          <cell r="B151" t="str">
            <v>g.</v>
          </cell>
          <cell r="C151">
            <v>1</v>
          </cell>
          <cell r="F151" t="str">
            <v>Room orderly including patient supplies and information?</v>
          </cell>
          <cell r="G151">
            <v>1</v>
          </cell>
          <cell r="I151">
            <v>1</v>
          </cell>
        </row>
        <row r="152">
          <cell r="A152">
            <v>83</v>
          </cell>
          <cell r="B152" t="str">
            <v>h.</v>
          </cell>
          <cell r="C152">
            <v>1</v>
          </cell>
          <cell r="F152" t="str">
            <v>Furniture, including bed(s) clean?</v>
          </cell>
          <cell r="G152">
            <v>1</v>
          </cell>
          <cell r="I152">
            <v>1</v>
          </cell>
        </row>
        <row r="153">
          <cell r="A153">
            <v>83</v>
          </cell>
          <cell r="B153" t="str">
            <v>I.</v>
          </cell>
          <cell r="C153">
            <v>1</v>
          </cell>
          <cell r="F153" t="str">
            <v>Cubicle curtains, drapes, and linen clean?</v>
          </cell>
          <cell r="G153">
            <v>1</v>
          </cell>
          <cell r="I153">
            <v>1</v>
          </cell>
        </row>
        <row r="154">
          <cell r="A154">
            <v>83</v>
          </cell>
          <cell r="B154" t="str">
            <v>j.</v>
          </cell>
          <cell r="C154">
            <v>1</v>
          </cell>
          <cell r="F154" t="str">
            <v>Lights clean, clear, and free of dust?</v>
          </cell>
          <cell r="G154">
            <v>1</v>
          </cell>
          <cell r="I154">
            <v>1</v>
          </cell>
        </row>
        <row r="155">
          <cell r="A155">
            <v>83</v>
          </cell>
          <cell r="B155" t="str">
            <v>k.</v>
          </cell>
          <cell r="C155">
            <v>1</v>
          </cell>
          <cell r="F155" t="str">
            <v>Vents and registers clean?</v>
          </cell>
          <cell r="G155">
            <v>1</v>
          </cell>
          <cell r="I155">
            <v>1</v>
          </cell>
        </row>
        <row r="156">
          <cell r="A156">
            <v>83</v>
          </cell>
          <cell r="B156" t="str">
            <v>l.</v>
          </cell>
          <cell r="C156">
            <v>1</v>
          </cell>
          <cell r="F156" t="str">
            <v>Room and restroom odor free?</v>
          </cell>
          <cell r="G156">
            <v>1</v>
          </cell>
          <cell r="I156">
            <v>1</v>
          </cell>
        </row>
        <row r="157">
          <cell r="A157">
            <v>83</v>
          </cell>
          <cell r="B157" t="str">
            <v>m.</v>
          </cell>
          <cell r="C157">
            <v>1</v>
          </cell>
          <cell r="F157" t="str">
            <v>Toilet clean and pipes polished?</v>
          </cell>
          <cell r="G157">
            <v>1</v>
          </cell>
          <cell r="I157">
            <v>1</v>
          </cell>
        </row>
        <row r="158">
          <cell r="A158">
            <v>83</v>
          </cell>
          <cell r="B158" t="str">
            <v>n.</v>
          </cell>
          <cell r="C158">
            <v>1</v>
          </cell>
          <cell r="F158" t="str">
            <v>Toilet supplies in place?</v>
          </cell>
          <cell r="G158">
            <v>1</v>
          </cell>
          <cell r="I158">
            <v>1</v>
          </cell>
        </row>
        <row r="159">
          <cell r="A159">
            <v>83</v>
          </cell>
          <cell r="B159" t="str">
            <v>o.</v>
          </cell>
          <cell r="C159">
            <v>1</v>
          </cell>
          <cell r="F159" t="str">
            <v>Sink free of soap build-up (top and bottom)</v>
          </cell>
          <cell r="G159">
            <v>1</v>
          </cell>
          <cell r="I159">
            <v>1</v>
          </cell>
        </row>
        <row r="160">
          <cell r="A160">
            <v>83</v>
          </cell>
          <cell r="B160" t="str">
            <v>p.</v>
          </cell>
          <cell r="C160">
            <v>1</v>
          </cell>
          <cell r="F160" t="str">
            <v>Mirror clean and spot free?</v>
          </cell>
          <cell r="G160">
            <v>1</v>
          </cell>
          <cell r="I160">
            <v>1</v>
          </cell>
        </row>
        <row r="161">
          <cell r="A161">
            <v>83</v>
          </cell>
          <cell r="B161" t="str">
            <v>q.</v>
          </cell>
          <cell r="C161">
            <v>1</v>
          </cell>
          <cell r="F161" t="str">
            <v>Shower or tub free of soap film?</v>
          </cell>
          <cell r="G161">
            <v>1</v>
          </cell>
          <cell r="I161">
            <v>1</v>
          </cell>
        </row>
        <row r="162">
          <cell r="F162" t="str">
            <v>GENERAL</v>
          </cell>
        </row>
        <row r="163">
          <cell r="F163" t="str">
            <v>ENVIRONMENTAL/CUSTODIAL (CONTINUED)</v>
          </cell>
        </row>
        <row r="164">
          <cell r="A164">
            <v>84</v>
          </cell>
          <cell r="F164" t="str">
            <v>Elevators, Stairwells, and Corridors</v>
          </cell>
        </row>
        <row r="165">
          <cell r="A165">
            <v>84</v>
          </cell>
          <cell r="B165" t="str">
            <v>a.</v>
          </cell>
          <cell r="C165">
            <v>1</v>
          </cell>
          <cell r="F165" t="str">
            <v>Corridor floors (carpets) and edges clean of dirt, dust, litter?</v>
          </cell>
          <cell r="G165">
            <v>1</v>
          </cell>
          <cell r="I165">
            <v>1</v>
          </cell>
        </row>
        <row r="166">
          <cell r="A166">
            <v>84</v>
          </cell>
          <cell r="B166" t="str">
            <v>b.</v>
          </cell>
          <cell r="C166">
            <v>1</v>
          </cell>
          <cell r="F166" t="str">
            <v>Corridors finished with depth shine or carpets clean and fresh?</v>
          </cell>
          <cell r="G166">
            <v>1</v>
          </cell>
          <cell r="I166">
            <v>1</v>
          </cell>
        </row>
        <row r="167">
          <cell r="A167">
            <v>84</v>
          </cell>
          <cell r="B167" t="str">
            <v>c.</v>
          </cell>
          <cell r="C167">
            <v>1</v>
          </cell>
          <cell r="F167" t="str">
            <v>Corridor walls clean and free of smudges and marks?</v>
          </cell>
          <cell r="G167">
            <v>1</v>
          </cell>
          <cell r="I167">
            <v>1</v>
          </cell>
        </row>
        <row r="168">
          <cell r="A168">
            <v>84</v>
          </cell>
          <cell r="B168" t="str">
            <v>d.</v>
          </cell>
          <cell r="C168">
            <v>1</v>
          </cell>
          <cell r="F168" t="str">
            <v>Corridor ledges and lights clean and free of dust?</v>
          </cell>
          <cell r="G168">
            <v>1</v>
          </cell>
          <cell r="I168">
            <v>1</v>
          </cell>
        </row>
        <row r="169">
          <cell r="A169">
            <v>84</v>
          </cell>
          <cell r="B169" t="str">
            <v>e.</v>
          </cell>
          <cell r="C169">
            <v>1</v>
          </cell>
          <cell r="F169" t="str">
            <v>Elevator tracks clean?</v>
          </cell>
          <cell r="G169">
            <v>1</v>
          </cell>
          <cell r="I169">
            <v>1</v>
          </cell>
        </row>
        <row r="170">
          <cell r="A170">
            <v>84</v>
          </cell>
          <cell r="B170" t="str">
            <v>f.</v>
          </cell>
          <cell r="C170">
            <v>1</v>
          </cell>
          <cell r="F170" t="str">
            <v>Elevator floors (carpets) and edges clean of dirt, dust, litter?</v>
          </cell>
          <cell r="G170">
            <v>1</v>
          </cell>
          <cell r="I170">
            <v>1</v>
          </cell>
        </row>
        <row r="171">
          <cell r="A171">
            <v>84</v>
          </cell>
          <cell r="B171" t="str">
            <v>g.</v>
          </cell>
          <cell r="C171">
            <v>1</v>
          </cell>
          <cell r="F171" t="str">
            <v>Elevators finished with depth shine or carpets clean and fresh?</v>
          </cell>
          <cell r="G171">
            <v>1</v>
          </cell>
          <cell r="I171">
            <v>1</v>
          </cell>
        </row>
        <row r="172">
          <cell r="A172">
            <v>84</v>
          </cell>
          <cell r="B172" t="str">
            <v>h.</v>
          </cell>
          <cell r="C172">
            <v>1</v>
          </cell>
          <cell r="F172" t="str">
            <v>Elevator walls clean and free of smudges and marks?</v>
          </cell>
          <cell r="G172">
            <v>1</v>
          </cell>
          <cell r="I172">
            <v>1</v>
          </cell>
        </row>
        <row r="173">
          <cell r="A173">
            <v>84</v>
          </cell>
          <cell r="B173" t="str">
            <v>I.</v>
          </cell>
          <cell r="C173">
            <v>1</v>
          </cell>
          <cell r="F173" t="str">
            <v>Elevator ledges and lights clean and free of dust?</v>
          </cell>
          <cell r="G173">
            <v>1</v>
          </cell>
          <cell r="I173">
            <v>1</v>
          </cell>
        </row>
        <row r="174">
          <cell r="A174">
            <v>84</v>
          </cell>
          <cell r="B174" t="str">
            <v>j.</v>
          </cell>
          <cell r="C174">
            <v>1</v>
          </cell>
          <cell r="F174" t="str">
            <v>Stairwell floors and edges clean of dirt, dust, and litter?</v>
          </cell>
          <cell r="G174">
            <v>1</v>
          </cell>
          <cell r="I174">
            <v>1</v>
          </cell>
        </row>
        <row r="175">
          <cell r="A175">
            <v>84</v>
          </cell>
          <cell r="B175" t="str">
            <v>k.</v>
          </cell>
          <cell r="C175">
            <v>1</v>
          </cell>
          <cell r="F175" t="str">
            <v>Stairwell ledges and lights clean and free of dust?</v>
          </cell>
          <cell r="G175">
            <v>1</v>
          </cell>
          <cell r="I175">
            <v>1</v>
          </cell>
        </row>
        <row r="176">
          <cell r="A176">
            <v>84</v>
          </cell>
          <cell r="B176" t="str">
            <v>l.</v>
          </cell>
          <cell r="C176">
            <v>1</v>
          </cell>
          <cell r="F176" t="str">
            <v>Stairwell walls clean and free of smudges and marks?</v>
          </cell>
          <cell r="G176">
            <v>1</v>
          </cell>
          <cell r="I176">
            <v>1</v>
          </cell>
        </row>
        <row r="177">
          <cell r="A177">
            <v>84</v>
          </cell>
          <cell r="B177" t="str">
            <v>m.</v>
          </cell>
          <cell r="C177">
            <v>1</v>
          </cell>
          <cell r="F177" t="str">
            <v>Fire extinquisher cabinets clean?</v>
          </cell>
          <cell r="G177">
            <v>1</v>
          </cell>
          <cell r="I177">
            <v>1</v>
          </cell>
        </row>
        <row r="178">
          <cell r="A178">
            <v>85</v>
          </cell>
          <cell r="F178" t="str">
            <v>Support Rooms</v>
          </cell>
        </row>
        <row r="179">
          <cell r="A179">
            <v>85</v>
          </cell>
          <cell r="B179" t="str">
            <v>a.</v>
          </cell>
          <cell r="C179">
            <v>1</v>
          </cell>
          <cell r="F179" t="str">
            <v>Floors (carpets) including edges clean of dirt, dust, and litter?</v>
          </cell>
          <cell r="G179">
            <v>1</v>
          </cell>
          <cell r="I179">
            <v>1</v>
          </cell>
        </row>
        <row r="180">
          <cell r="A180">
            <v>85</v>
          </cell>
          <cell r="B180" t="str">
            <v>b.</v>
          </cell>
          <cell r="C180">
            <v>1</v>
          </cell>
          <cell r="F180" t="str">
            <v>Floors finished with depth shine or carpets clean and fresh?</v>
          </cell>
          <cell r="G180">
            <v>1</v>
          </cell>
          <cell r="I180">
            <v>1</v>
          </cell>
        </row>
        <row r="181">
          <cell r="A181">
            <v>85</v>
          </cell>
          <cell r="B181" t="str">
            <v>c.</v>
          </cell>
          <cell r="C181">
            <v>1</v>
          </cell>
          <cell r="F181" t="str">
            <v>Restroom and fixtures clean?</v>
          </cell>
          <cell r="G181">
            <v>1</v>
          </cell>
          <cell r="I181">
            <v>1</v>
          </cell>
        </row>
        <row r="182">
          <cell r="A182">
            <v>85</v>
          </cell>
          <cell r="B182" t="str">
            <v>d.</v>
          </cell>
          <cell r="C182">
            <v>1</v>
          </cell>
          <cell r="F182" t="str">
            <v>Waste containers clean and properly lined?</v>
          </cell>
          <cell r="G182">
            <v>1</v>
          </cell>
          <cell r="I182">
            <v>1</v>
          </cell>
        </row>
        <row r="183">
          <cell r="A183">
            <v>85</v>
          </cell>
          <cell r="B183" t="str">
            <v>e.</v>
          </cell>
          <cell r="C183">
            <v>1</v>
          </cell>
          <cell r="F183" t="str">
            <v>Walls and ledges clean, free of dust and marks?</v>
          </cell>
          <cell r="G183">
            <v>1</v>
          </cell>
          <cell r="I183">
            <v>1</v>
          </cell>
        </row>
        <row r="184">
          <cell r="A184">
            <v>85</v>
          </cell>
          <cell r="B184" t="str">
            <v>f.</v>
          </cell>
          <cell r="C184">
            <v>1</v>
          </cell>
          <cell r="F184" t="str">
            <v>Windows clean and free of spots and marks?</v>
          </cell>
          <cell r="G184">
            <v>1</v>
          </cell>
          <cell r="I184">
            <v>1</v>
          </cell>
        </row>
        <row r="185">
          <cell r="A185">
            <v>85</v>
          </cell>
          <cell r="B185" t="str">
            <v>g.</v>
          </cell>
          <cell r="C185">
            <v>1</v>
          </cell>
          <cell r="F185" t="str">
            <v>Vents, registers, and cabinet exteriors clean?</v>
          </cell>
          <cell r="G185">
            <v>1</v>
          </cell>
          <cell r="I185">
            <v>1</v>
          </cell>
        </row>
        <row r="186">
          <cell r="A186">
            <v>85</v>
          </cell>
          <cell r="B186" t="str">
            <v>h.</v>
          </cell>
          <cell r="C186">
            <v>1</v>
          </cell>
          <cell r="F186" t="str">
            <v>Furniture and counters clean and polished?</v>
          </cell>
          <cell r="G186">
            <v>1</v>
          </cell>
          <cell r="I186">
            <v>1</v>
          </cell>
        </row>
        <row r="187">
          <cell r="A187">
            <v>86</v>
          </cell>
          <cell r="F187" t="str">
            <v>Housekeeping Areas and Equipment</v>
          </cell>
        </row>
        <row r="188">
          <cell r="A188">
            <v>86</v>
          </cell>
          <cell r="B188" t="str">
            <v>a.</v>
          </cell>
          <cell r="C188">
            <v>1</v>
          </cell>
          <cell r="F188" t="str">
            <v>Housekeeping carts clean, orderly and correct labels used?</v>
          </cell>
          <cell r="G188">
            <v>1</v>
          </cell>
          <cell r="I188">
            <v>1</v>
          </cell>
        </row>
        <row r="189">
          <cell r="A189">
            <v>86</v>
          </cell>
          <cell r="B189" t="str">
            <v>b.</v>
          </cell>
          <cell r="C189">
            <v>1</v>
          </cell>
          <cell r="F189" t="str">
            <v>Mop buckets and wringers (SRD if used) and Mega Mops clean?</v>
          </cell>
          <cell r="G189">
            <v>1</v>
          </cell>
          <cell r="I189">
            <v>1</v>
          </cell>
        </row>
        <row r="190">
          <cell r="A190">
            <v>86</v>
          </cell>
          <cell r="B190" t="str">
            <v>c.</v>
          </cell>
          <cell r="C190">
            <v>1</v>
          </cell>
          <cell r="F190" t="str">
            <v>Environmental control closet clean and orderly?</v>
          </cell>
          <cell r="G190">
            <v>1</v>
          </cell>
          <cell r="I190">
            <v>1</v>
          </cell>
        </row>
        <row r="191">
          <cell r="A191">
            <v>86</v>
          </cell>
          <cell r="B191" t="str">
            <v>d.</v>
          </cell>
          <cell r="C191">
            <v>1</v>
          </cell>
          <cell r="F191" t="str">
            <v>Sink or drain clean?</v>
          </cell>
          <cell r="G191">
            <v>1</v>
          </cell>
          <cell r="I191">
            <v>1</v>
          </cell>
        </row>
        <row r="192">
          <cell r="A192">
            <v>86</v>
          </cell>
          <cell r="B192" t="str">
            <v>e.</v>
          </cell>
          <cell r="C192">
            <v>1</v>
          </cell>
          <cell r="F192" t="str">
            <v>Closet and equipment free of unnecessary items?</v>
          </cell>
          <cell r="G192">
            <v>1</v>
          </cell>
          <cell r="I192">
            <v>1</v>
          </cell>
        </row>
        <row r="193">
          <cell r="A193">
            <v>86</v>
          </cell>
          <cell r="B193" t="str">
            <v>f.</v>
          </cell>
          <cell r="C193">
            <v>1</v>
          </cell>
          <cell r="F193" t="str">
            <v>All equipment and supplies stored off the floor?</v>
          </cell>
          <cell r="G193">
            <v>1</v>
          </cell>
          <cell r="I193">
            <v>1</v>
          </cell>
        </row>
        <row r="194">
          <cell r="A194">
            <v>86</v>
          </cell>
          <cell r="B194" t="str">
            <v>g.</v>
          </cell>
          <cell r="C194">
            <v>1</v>
          </cell>
          <cell r="F194" t="str">
            <v>Area 12-18 inches from ceiling clear of obstructions?</v>
          </cell>
          <cell r="G194">
            <v>1</v>
          </cell>
          <cell r="I194">
            <v>1</v>
          </cell>
        </row>
        <row r="195">
          <cell r="A195">
            <v>86</v>
          </cell>
          <cell r="B195" t="str">
            <v>h.</v>
          </cell>
          <cell r="C195">
            <v>1</v>
          </cell>
          <cell r="F195" t="str">
            <v>Back flow valve visible for water supply?</v>
          </cell>
          <cell r="G195">
            <v>1</v>
          </cell>
          <cell r="I195">
            <v>1</v>
          </cell>
        </row>
        <row r="196">
          <cell r="A196">
            <v>86</v>
          </cell>
          <cell r="B196" t="str">
            <v>I.</v>
          </cell>
          <cell r="C196">
            <v>1</v>
          </cell>
          <cell r="F196" t="str">
            <v>Equipment (rotos, vacuums, etc.) clean and polished?</v>
          </cell>
          <cell r="G196">
            <v>1</v>
          </cell>
          <cell r="I196">
            <v>1</v>
          </cell>
        </row>
        <row r="197">
          <cell r="A197">
            <v>86</v>
          </cell>
          <cell r="B197" t="str">
            <v>j.</v>
          </cell>
          <cell r="C197">
            <v>1</v>
          </cell>
          <cell r="F197" t="str">
            <v>Dry mops are treated and stored in metal containers?</v>
          </cell>
          <cell r="G197">
            <v>1</v>
          </cell>
          <cell r="I197">
            <v>1</v>
          </cell>
        </row>
        <row r="198">
          <cell r="A198">
            <v>86</v>
          </cell>
          <cell r="B198" t="str">
            <v>k.</v>
          </cell>
          <cell r="C198">
            <v>1</v>
          </cell>
          <cell r="F198" t="str">
            <v>Infectious waste is transported in designated carts?</v>
          </cell>
          <cell r="G198">
            <v>1</v>
          </cell>
          <cell r="I198">
            <v>1</v>
          </cell>
        </row>
        <row r="199">
          <cell r="A199">
            <v>86</v>
          </cell>
          <cell r="B199" t="str">
            <v>l.</v>
          </cell>
          <cell r="C199">
            <v>1</v>
          </cell>
          <cell r="F199" t="str">
            <v>Method and area for dispensing chemicals clearly defined?</v>
          </cell>
          <cell r="G199">
            <v>1</v>
          </cell>
          <cell r="I199">
            <v>1</v>
          </cell>
        </row>
        <row r="200">
          <cell r="A200">
            <v>87</v>
          </cell>
          <cell r="F200" t="str">
            <v>Department (Offices, Clinics, etc.)</v>
          </cell>
        </row>
        <row r="201">
          <cell r="A201">
            <v>87</v>
          </cell>
          <cell r="B201" t="str">
            <v>a.</v>
          </cell>
          <cell r="C201">
            <v>1</v>
          </cell>
          <cell r="F201" t="str">
            <v>Floors (carpets) including edges clean of dirt, dust, and litter?</v>
          </cell>
          <cell r="G201">
            <v>1</v>
          </cell>
          <cell r="I201">
            <v>1</v>
          </cell>
        </row>
        <row r="202">
          <cell r="A202">
            <v>87</v>
          </cell>
          <cell r="B202" t="str">
            <v>b.</v>
          </cell>
          <cell r="C202">
            <v>1</v>
          </cell>
          <cell r="F202" t="str">
            <v>Floors finished with depth shine or carpets clean and fresh?</v>
          </cell>
          <cell r="G202">
            <v>1</v>
          </cell>
          <cell r="I202">
            <v>1</v>
          </cell>
        </row>
        <row r="203">
          <cell r="A203">
            <v>87</v>
          </cell>
          <cell r="B203" t="str">
            <v>c.</v>
          </cell>
          <cell r="C203">
            <v>1</v>
          </cell>
          <cell r="F203" t="str">
            <v>Restroom and fixtures clean?</v>
          </cell>
          <cell r="G203">
            <v>1</v>
          </cell>
          <cell r="I203">
            <v>1</v>
          </cell>
        </row>
        <row r="204">
          <cell r="A204">
            <v>87</v>
          </cell>
          <cell r="B204" t="str">
            <v>d.</v>
          </cell>
          <cell r="C204">
            <v>1</v>
          </cell>
          <cell r="F204" t="str">
            <v>Waste containers clean and properly lined?</v>
          </cell>
          <cell r="G204">
            <v>1</v>
          </cell>
          <cell r="I204">
            <v>1</v>
          </cell>
        </row>
        <row r="205">
          <cell r="A205">
            <v>87</v>
          </cell>
          <cell r="B205" t="str">
            <v>e.</v>
          </cell>
          <cell r="C205">
            <v>1</v>
          </cell>
          <cell r="F205" t="str">
            <v>Walls and ledges clean, free of dust and marks?</v>
          </cell>
          <cell r="G205">
            <v>1</v>
          </cell>
          <cell r="I205">
            <v>1</v>
          </cell>
        </row>
        <row r="206">
          <cell r="A206">
            <v>87</v>
          </cell>
          <cell r="B206" t="str">
            <v>f.</v>
          </cell>
          <cell r="C206">
            <v>1</v>
          </cell>
          <cell r="F206" t="str">
            <v>Windows clean and free of spots and marks?</v>
          </cell>
          <cell r="G206">
            <v>1</v>
          </cell>
          <cell r="I206">
            <v>1</v>
          </cell>
        </row>
        <row r="207">
          <cell r="F207" t="str">
            <v>GENERAL</v>
          </cell>
        </row>
        <row r="208">
          <cell r="F208" t="str">
            <v>ENVIRONMENTAL/CUSTODIAL (CONTINUED)</v>
          </cell>
        </row>
        <row r="209">
          <cell r="A209">
            <v>87</v>
          </cell>
          <cell r="B209" t="str">
            <v>g.</v>
          </cell>
          <cell r="C209">
            <v>1</v>
          </cell>
          <cell r="F209" t="str">
            <v>Vents, registers, and cabinet exteriors clean?</v>
          </cell>
          <cell r="G209">
            <v>1</v>
          </cell>
          <cell r="I209">
            <v>1</v>
          </cell>
        </row>
        <row r="210">
          <cell r="A210">
            <v>87</v>
          </cell>
          <cell r="B210" t="str">
            <v>h.</v>
          </cell>
          <cell r="C210">
            <v>1</v>
          </cell>
          <cell r="F210" t="str">
            <v>Furniture and counters clean and polished?</v>
          </cell>
          <cell r="G210">
            <v>1</v>
          </cell>
          <cell r="I210">
            <v>1</v>
          </cell>
        </row>
        <row r="211">
          <cell r="F211" t="str">
            <v>Customer focus and satisfaction activities consist of surveys for all primary customer groups, "value added" joint review meetings, and a comprehensive annual program review.</v>
          </cell>
        </row>
        <row r="212">
          <cell r="A212">
            <v>88</v>
          </cell>
          <cell r="C212">
            <v>1</v>
          </cell>
          <cell r="F212" t="str">
            <v>Voice of the Customer Survey is completed annually.  Is the Economic Buyer satisfied?  Are the current customer groups identified satisfied?</v>
          </cell>
          <cell r="G212">
            <v>1</v>
          </cell>
          <cell r="I212">
            <v>1</v>
          </cell>
        </row>
        <row r="213">
          <cell r="A213">
            <v>89</v>
          </cell>
          <cell r="C213">
            <v>1</v>
          </cell>
          <cell r="F213" t="str">
            <v>Are the external (patients) satisfied?</v>
          </cell>
          <cell r="G213">
            <v>1</v>
          </cell>
          <cell r="I213">
            <v>1</v>
          </cell>
        </row>
        <row r="214">
          <cell r="A214">
            <v>90</v>
          </cell>
          <cell r="C214">
            <v>1</v>
          </cell>
          <cell r="F214" t="str">
            <v>Are the User Buyers (Nursing Directors) satisfied?</v>
          </cell>
          <cell r="G214">
            <v>1</v>
          </cell>
          <cell r="I214">
            <v>1</v>
          </cell>
        </row>
        <row r="215">
          <cell r="A215">
            <v>91</v>
          </cell>
          <cell r="C215">
            <v>1</v>
          </cell>
          <cell r="F215" t="str">
            <v>Are the Service Partners satisfied?</v>
          </cell>
          <cell r="G215">
            <v>1</v>
          </cell>
          <cell r="I215">
            <v>1</v>
          </cell>
        </row>
        <row r="216">
          <cell r="A216">
            <v>92</v>
          </cell>
          <cell r="C216">
            <v>1</v>
          </cell>
          <cell r="F216" t="str">
            <v>Joint Review meetings are held per agreement frequency?</v>
          </cell>
          <cell r="G216">
            <v>1</v>
          </cell>
          <cell r="I216">
            <v>1</v>
          </cell>
        </row>
        <row r="217">
          <cell r="A217">
            <v>93</v>
          </cell>
          <cell r="C217">
            <v>1</v>
          </cell>
          <cell r="F217" t="str">
            <v>"Value Added" programs are discussed?</v>
          </cell>
          <cell r="G217">
            <v>1</v>
          </cell>
          <cell r="I217">
            <v>1</v>
          </cell>
        </row>
        <row r="218">
          <cell r="A218">
            <v>94</v>
          </cell>
          <cell r="C218">
            <v>1</v>
          </cell>
          <cell r="F218" t="str">
            <v>Written minutes of the joint reviews on file?</v>
          </cell>
          <cell r="G218">
            <v>1</v>
          </cell>
          <cell r="I218">
            <v>1</v>
          </cell>
        </row>
        <row r="219">
          <cell r="F219" t="str">
            <v>Agreement and exhibits are concurrent with the work volumes, inventories, and schedules applied to manage the program.</v>
          </cell>
        </row>
        <row r="220">
          <cell r="A220">
            <v>95</v>
          </cell>
          <cell r="C220">
            <v>1</v>
          </cell>
          <cell r="F220" t="str">
            <v>Agreement and exhibits are up-to-date and available for review?</v>
          </cell>
          <cell r="G220">
            <v>1</v>
          </cell>
          <cell r="I220">
            <v>1</v>
          </cell>
        </row>
        <row r="221">
          <cell r="A221">
            <v>96</v>
          </cell>
          <cell r="C221">
            <v>1</v>
          </cell>
          <cell r="F221" t="str">
            <v>Exhibit A matches the services delivered?</v>
          </cell>
          <cell r="G221">
            <v>1</v>
          </cell>
          <cell r="I221">
            <v>1</v>
          </cell>
        </row>
        <row r="222">
          <cell r="A222">
            <v>97</v>
          </cell>
          <cell r="C222">
            <v>1</v>
          </cell>
          <cell r="F222" t="str">
            <v>Amendments have been processed per agreement and logged?</v>
          </cell>
          <cell r="G222">
            <v>1</v>
          </cell>
          <cell r="I222">
            <v>1</v>
          </cell>
        </row>
        <row r="223">
          <cell r="A223">
            <v>98</v>
          </cell>
          <cell r="C223">
            <v>1</v>
          </cell>
          <cell r="F223" t="str">
            <v>Total net cleanable square footage is documented?</v>
          </cell>
          <cell r="G223">
            <v>1</v>
          </cell>
          <cell r="I223">
            <v>1</v>
          </cell>
        </row>
        <row r="224">
          <cell r="A224">
            <v>99</v>
          </cell>
          <cell r="C224">
            <v>1</v>
          </cell>
          <cell r="F224" t="str">
            <v>Average census and number of active beds are documented?</v>
          </cell>
          <cell r="G224">
            <v>1</v>
          </cell>
          <cell r="I224">
            <v>1</v>
          </cell>
        </row>
        <row r="225">
          <cell r="A225">
            <v>100</v>
          </cell>
          <cell r="C225">
            <v>1</v>
          </cell>
          <cell r="F225" t="str">
            <v>Average checkouts and transfers are documented?</v>
          </cell>
          <cell r="G225">
            <v>1</v>
          </cell>
          <cell r="I225">
            <v>1</v>
          </cell>
        </row>
        <row r="226">
          <cell r="A226">
            <v>101</v>
          </cell>
          <cell r="C226">
            <v>1</v>
          </cell>
          <cell r="F226" t="str">
            <v>Space Inventory is current in ISIS within 90 days?</v>
          </cell>
          <cell r="G226">
            <v>1</v>
          </cell>
          <cell r="I226">
            <v>1</v>
          </cell>
        </row>
        <row r="227">
          <cell r="A227">
            <v>102</v>
          </cell>
          <cell r="C227">
            <v>1</v>
          </cell>
          <cell r="F227" t="str">
            <v>Task inventory is current in ISIS within 90 days?</v>
          </cell>
          <cell r="G227">
            <v>1</v>
          </cell>
          <cell r="I227">
            <v>1</v>
          </cell>
        </row>
        <row r="228">
          <cell r="A228">
            <v>103</v>
          </cell>
          <cell r="C228">
            <v>1</v>
          </cell>
          <cell r="F228" t="str">
            <v>Work schedules are current in ISIS within 90 days?</v>
          </cell>
          <cell r="G228">
            <v>1</v>
          </cell>
          <cell r="I228">
            <v>1</v>
          </cell>
        </row>
        <row r="229">
          <cell r="A229">
            <v>104</v>
          </cell>
          <cell r="C229">
            <v>1</v>
          </cell>
          <cell r="F229" t="str">
            <v>Project completion is documented in ISIS and is above 90% completion YTD?</v>
          </cell>
          <cell r="G229">
            <v>1</v>
          </cell>
          <cell r="I229">
            <v>1</v>
          </cell>
        </row>
        <row r="230">
          <cell r="A230">
            <v>105</v>
          </cell>
          <cell r="C230">
            <v>1</v>
          </cell>
          <cell r="F230" t="str">
            <v>Was an amendment prepared and signed by administration for the implementation of FloorCare QL?</v>
          </cell>
          <cell r="G230">
            <v>1</v>
          </cell>
          <cell r="I230">
            <v>1</v>
          </cell>
        </row>
        <row r="231">
          <cell r="A231">
            <v>106</v>
          </cell>
          <cell r="C231">
            <v>1</v>
          </cell>
          <cell r="F231" t="str">
            <v>Was an amendment prepared and signed by administration for the implementation of CarpetCare QL?</v>
          </cell>
          <cell r="G231">
            <v>1</v>
          </cell>
          <cell r="I231">
            <v>1</v>
          </cell>
        </row>
        <row r="232">
          <cell r="A232">
            <v>107</v>
          </cell>
          <cell r="C232">
            <v>1</v>
          </cell>
          <cell r="F232" t="str">
            <v>Was an amendment prepared and signed by administration for the implementation of SpaceCareQL?</v>
          </cell>
          <cell r="G232">
            <v>1</v>
          </cell>
          <cell r="I232">
            <v>1</v>
          </cell>
        </row>
        <row r="233">
          <cell r="A233">
            <v>108</v>
          </cell>
          <cell r="C233">
            <v>1</v>
          </cell>
          <cell r="F233" t="str">
            <v>Was an amendment prepared and signed by administration for the implementation of QuadCareQL?</v>
          </cell>
          <cell r="G233">
            <v>1</v>
          </cell>
          <cell r="I233">
            <v>1</v>
          </cell>
        </row>
        <row r="234">
          <cell r="A234">
            <v>109</v>
          </cell>
          <cell r="C234">
            <v>1</v>
          </cell>
          <cell r="F234" t="str">
            <v>Was an amendment prepared and signed by administration for the implementation of TerrazzoCareQL?</v>
          </cell>
          <cell r="G234">
            <v>1</v>
          </cell>
          <cell r="I234">
            <v>1</v>
          </cell>
        </row>
        <row r="235">
          <cell r="F235" t="str">
            <v>Compliance routines include essential inspection reports, written policies and procedures, and regulatory agency (JCAHO, OSHA, etc.) conformity.</v>
          </cell>
        </row>
        <row r="236">
          <cell r="A236">
            <v>110</v>
          </cell>
          <cell r="C236">
            <v>1</v>
          </cell>
          <cell r="F236" t="str">
            <v>Supervisor inspection reports are current and on file?</v>
          </cell>
          <cell r="G236">
            <v>1</v>
          </cell>
          <cell r="I236">
            <v>1</v>
          </cell>
        </row>
        <row r="237">
          <cell r="A237">
            <v>111</v>
          </cell>
          <cell r="C237">
            <v>1</v>
          </cell>
          <cell r="F237" t="str">
            <v>Weekly inspection reports are current and on file?</v>
          </cell>
          <cell r="G237">
            <v>1</v>
          </cell>
          <cell r="I237">
            <v>1</v>
          </cell>
        </row>
        <row r="238">
          <cell r="A238">
            <v>112</v>
          </cell>
          <cell r="C238">
            <v>1</v>
          </cell>
          <cell r="F238" t="str">
            <v>Quality Performance Quotients are current and on file?</v>
          </cell>
          <cell r="G238">
            <v>1</v>
          </cell>
          <cell r="I238">
            <v>1</v>
          </cell>
        </row>
        <row r="239">
          <cell r="A239">
            <v>113</v>
          </cell>
          <cell r="C239">
            <v>1</v>
          </cell>
          <cell r="F239" t="str">
            <v>Department policies and procedures are current (within last 12 months) and on file?</v>
          </cell>
          <cell r="G239">
            <v>1</v>
          </cell>
          <cell r="I239">
            <v>1</v>
          </cell>
        </row>
        <row r="240">
          <cell r="A240">
            <v>114</v>
          </cell>
          <cell r="C240">
            <v>1</v>
          </cell>
          <cell r="F240" t="str">
            <v>All regulatory requirement (JCAHO, OSHA, etc.) are in full compliance?</v>
          </cell>
          <cell r="G240">
            <v>1</v>
          </cell>
          <cell r="I240">
            <v>1</v>
          </cell>
        </row>
        <row r="243">
          <cell r="F243" t="str">
            <v>GENERAL</v>
          </cell>
        </row>
        <row r="244">
          <cell r="F244" t="str">
            <v>ENVIRONMENTAL/CUSTODIAL (CONTINUED)</v>
          </cell>
        </row>
        <row r="245">
          <cell r="F245" t="str">
            <v>ServiceMaster supplies and equipment are utilized and appropriately maintained.</v>
          </cell>
        </row>
        <row r="246">
          <cell r="A246">
            <v>115</v>
          </cell>
          <cell r="C246">
            <v>1</v>
          </cell>
          <cell r="F246" t="str">
            <v>ServiceMaster supplies and equipment are used at the facility?</v>
          </cell>
          <cell r="G246">
            <v>1</v>
          </cell>
          <cell r="I246">
            <v>1</v>
          </cell>
        </row>
        <row r="247">
          <cell r="A247">
            <v>116</v>
          </cell>
          <cell r="C247">
            <v>1</v>
          </cell>
          <cell r="F247" t="str">
            <v>A documented asset (supplies and equipment) inventory is current within 90 days?</v>
          </cell>
          <cell r="G247">
            <v>1</v>
          </cell>
          <cell r="I247">
            <v>1</v>
          </cell>
        </row>
        <row r="248">
          <cell r="A248">
            <v>117</v>
          </cell>
          <cell r="C248">
            <v>1</v>
          </cell>
          <cell r="F248" t="str">
            <v>An equipment parts inventory for all recommended equipment parts is on hand?</v>
          </cell>
          <cell r="G248">
            <v>1</v>
          </cell>
          <cell r="I248">
            <v>1</v>
          </cell>
        </row>
        <row r="249">
          <cell r="A249">
            <v>118</v>
          </cell>
          <cell r="C249">
            <v>1</v>
          </cell>
          <cell r="F249" t="str">
            <v>Preventive maintenance and safety records for all equipment are completed at least annually and are on file?</v>
          </cell>
          <cell r="G249">
            <v>1</v>
          </cell>
          <cell r="I249">
            <v>1</v>
          </cell>
        </row>
        <row r="250">
          <cell r="A250">
            <v>119</v>
          </cell>
          <cell r="C250">
            <v>1</v>
          </cell>
          <cell r="F250" t="str">
            <v>Corrective maintenance records (equipment history) are current within 90 days and are on file?</v>
          </cell>
          <cell r="G250">
            <v>1</v>
          </cell>
          <cell r="I250">
            <v>1</v>
          </cell>
        </row>
        <row r="251">
          <cell r="A251">
            <v>120</v>
          </cell>
          <cell r="C251">
            <v>1</v>
          </cell>
          <cell r="F251" t="str">
            <v>Are Quantum Leap Innovations implemented as per the facility survey and ongoing twice a year training being completed with service partners?</v>
          </cell>
          <cell r="G251">
            <v>1</v>
          </cell>
          <cell r="I251">
            <v>1</v>
          </cell>
        </row>
        <row r="252">
          <cell r="A252">
            <v>121</v>
          </cell>
          <cell r="C252">
            <v>1</v>
          </cell>
          <cell r="F252" t="str">
            <v>Is ISIS being used to manage the development of employee schedules, project statistics, and training of employees?</v>
          </cell>
          <cell r="G252">
            <v>1</v>
          </cell>
          <cell r="I252">
            <v>1</v>
          </cell>
        </row>
        <row r="253">
          <cell r="A253">
            <v>122</v>
          </cell>
          <cell r="C253">
            <v>1</v>
          </cell>
          <cell r="F253" t="str">
            <v>Is SMART used to order supplies and equipment?</v>
          </cell>
          <cell r="G253">
            <v>1</v>
          </cell>
          <cell r="I253">
            <v>1</v>
          </cell>
        </row>
        <row r="254">
          <cell r="A254">
            <v>123</v>
          </cell>
          <cell r="C254">
            <v>1</v>
          </cell>
          <cell r="F254" t="str">
            <v>Can manager demonstrate the ability to use NTK to obtain technical updates?</v>
          </cell>
          <cell r="G254">
            <v>1</v>
          </cell>
          <cell r="I254">
            <v>1</v>
          </cell>
        </row>
        <row r="255">
          <cell r="A255">
            <v>124</v>
          </cell>
          <cell r="C255">
            <v>1</v>
          </cell>
          <cell r="F255" t="str">
            <v>Hours report completed daily?</v>
          </cell>
          <cell r="G255">
            <v>1</v>
          </cell>
          <cell r="I255">
            <v>1</v>
          </cell>
        </row>
        <row r="256">
          <cell r="A256">
            <v>125</v>
          </cell>
          <cell r="C256">
            <v>1</v>
          </cell>
          <cell r="F256" t="str">
            <v>Hours report accuracy is verified within 5 workng days?</v>
          </cell>
          <cell r="G256">
            <v>1</v>
          </cell>
          <cell r="I256">
            <v>1</v>
          </cell>
        </row>
        <row r="257">
          <cell r="A257">
            <v>126</v>
          </cell>
          <cell r="C257">
            <v>1</v>
          </cell>
          <cell r="F257" t="str">
            <v>Payroll verification is completed within 5 working days?</v>
          </cell>
          <cell r="G257">
            <v>1</v>
          </cell>
          <cell r="I257">
            <v>1</v>
          </cell>
        </row>
        <row r="258">
          <cell r="A258">
            <v>127</v>
          </cell>
          <cell r="C258">
            <v>1</v>
          </cell>
          <cell r="F258" t="str">
            <v>Benefit time report is current (within 2 weeks)?</v>
          </cell>
          <cell r="G258">
            <v>1</v>
          </cell>
          <cell r="I258">
            <v>1</v>
          </cell>
        </row>
        <row r="259">
          <cell r="A259">
            <v>128</v>
          </cell>
          <cell r="C259">
            <v>1</v>
          </cell>
          <cell r="F259" t="str">
            <v>Position summary is current within 90 days?</v>
          </cell>
          <cell r="G259">
            <v>1</v>
          </cell>
          <cell r="I259">
            <v>1</v>
          </cell>
        </row>
        <row r="260">
          <cell r="A260">
            <v>129</v>
          </cell>
          <cell r="C260">
            <v>1</v>
          </cell>
          <cell r="F260" t="str">
            <v>Position summary hours are balanced?</v>
          </cell>
          <cell r="G260">
            <v>1</v>
          </cell>
          <cell r="I260">
            <v>1</v>
          </cell>
        </row>
        <row r="261">
          <cell r="A261">
            <v>130</v>
          </cell>
          <cell r="C261">
            <v>1</v>
          </cell>
          <cell r="F261" t="str">
            <v>Is Floor Care QL implemented as per the facility survey?</v>
          </cell>
          <cell r="G261">
            <v>1</v>
          </cell>
          <cell r="I261">
            <v>1</v>
          </cell>
        </row>
        <row r="262">
          <cell r="A262">
            <v>131</v>
          </cell>
          <cell r="C262">
            <v>1</v>
          </cell>
          <cell r="F262" t="str">
            <v>Is Carpet Care QL implemented as per the facility survey?</v>
          </cell>
          <cell r="G262">
            <v>1</v>
          </cell>
          <cell r="I262">
            <v>1</v>
          </cell>
        </row>
        <row r="263">
          <cell r="A263">
            <v>132</v>
          </cell>
          <cell r="C263">
            <v>1</v>
          </cell>
          <cell r="F263" t="str">
            <v>Is SpaceCare QL implemented as per the facility survey?</v>
          </cell>
          <cell r="G263">
            <v>1</v>
          </cell>
          <cell r="I263">
            <v>1</v>
          </cell>
        </row>
        <row r="264">
          <cell r="A264">
            <v>133</v>
          </cell>
          <cell r="C264">
            <v>1</v>
          </cell>
          <cell r="F264" t="str">
            <v>Is QuadCare QL implemented as per the facility survey?</v>
          </cell>
          <cell r="G264">
            <v>1</v>
          </cell>
          <cell r="I264">
            <v>1</v>
          </cell>
        </row>
        <row r="265">
          <cell r="A265">
            <v>134</v>
          </cell>
          <cell r="C265">
            <v>1</v>
          </cell>
          <cell r="F265" t="str">
            <v>Is TerrazzoCare QL implemented as per the facility survey?</v>
          </cell>
          <cell r="G265">
            <v>1</v>
          </cell>
          <cell r="I265">
            <v>1</v>
          </cell>
        </row>
        <row r="267">
          <cell r="F267" t="str">
            <v xml:space="preserve">                                     Total General - Environmental/Custodial </v>
          </cell>
          <cell r="G267">
            <v>125</v>
          </cell>
          <cell r="I267">
            <v>125</v>
          </cell>
        </row>
        <row r="268">
          <cell r="F268" t="str">
            <v xml:space="preserve">                                                             Percentage Implemented</v>
          </cell>
          <cell r="G268">
            <v>1</v>
          </cell>
        </row>
        <row r="270">
          <cell r="F270" t="str">
            <v>GENERAL</v>
          </cell>
        </row>
        <row r="271">
          <cell r="F271" t="str">
            <v>ENVIRONMENTAL SERVICES (HEALTHCARE ONLY)</v>
          </cell>
        </row>
        <row r="272">
          <cell r="A272">
            <v>135</v>
          </cell>
          <cell r="C272">
            <v>2</v>
          </cell>
          <cell r="F272" t="str">
            <v>Was an amendment prepared and signed by administration for the implementation of HRS?</v>
          </cell>
          <cell r="G272" t="str">
            <v>N/A</v>
          </cell>
          <cell r="I272">
            <v>0</v>
          </cell>
        </row>
        <row r="273">
          <cell r="A273">
            <v>136</v>
          </cell>
          <cell r="C273">
            <v>2</v>
          </cell>
          <cell r="F273" t="str">
            <v>Is HRS implemented as per the facility survey?</v>
          </cell>
          <cell r="G273" t="str">
            <v>N/A</v>
          </cell>
          <cell r="I273">
            <v>0</v>
          </cell>
        </row>
        <row r="274">
          <cell r="A274">
            <v>137</v>
          </cell>
          <cell r="C274">
            <v>2</v>
          </cell>
          <cell r="F274" t="str">
            <v>Total paid hours are below 5.0 manhours per 1000 net cleanable square feet?</v>
          </cell>
          <cell r="G274" t="str">
            <v>N/A</v>
          </cell>
          <cell r="I274">
            <v>0</v>
          </cell>
        </row>
        <row r="275">
          <cell r="A275">
            <v>138</v>
          </cell>
          <cell r="C275">
            <v>2</v>
          </cell>
          <cell r="F275" t="str">
            <v>MTP supply expense at or below $0.09 per net cleanable square foot?</v>
          </cell>
          <cell r="G275" t="str">
            <v>N/A</v>
          </cell>
          <cell r="I275">
            <v>0</v>
          </cell>
        </row>
        <row r="276">
          <cell r="A276">
            <v>139</v>
          </cell>
          <cell r="C276">
            <v>2</v>
          </cell>
          <cell r="F276" t="str">
            <v>Depreciation expense at or below $0.02 per net cleanable square foot?</v>
          </cell>
          <cell r="G276" t="str">
            <v>N/A</v>
          </cell>
          <cell r="I276">
            <v>0</v>
          </cell>
        </row>
        <row r="278">
          <cell r="F278" t="str">
            <v xml:space="preserve">                               Total General - Environmental/Custodial (Healthcare only)</v>
          </cell>
          <cell r="G278">
            <v>0</v>
          </cell>
          <cell r="I278">
            <v>0</v>
          </cell>
        </row>
        <row r="279">
          <cell r="F279" t="str">
            <v xml:space="preserve">                                                             Percentage Implemented</v>
          </cell>
          <cell r="G279" t="str">
            <v>N/A</v>
          </cell>
        </row>
        <row r="281">
          <cell r="F281" t="str">
            <v>ENVIRONMENTAL SERVICES (LONG TERM CARE ONLY)</v>
          </cell>
        </row>
        <row r="282">
          <cell r="A282">
            <v>140</v>
          </cell>
          <cell r="C282">
            <v>2</v>
          </cell>
          <cell r="F282" t="str">
            <v>Is FloorCare/CarpetCare QL (space cleaning) implemented as per the facility survey and ongoing twice a year training being completed with service partners?</v>
          </cell>
          <cell r="G282" t="str">
            <v>N/A</v>
          </cell>
          <cell r="I282">
            <v>0</v>
          </cell>
        </row>
        <row r="283">
          <cell r="A283">
            <v>141</v>
          </cell>
          <cell r="C283">
            <v>2</v>
          </cell>
          <cell r="F283" t="str">
            <v>Self Assessment performed annually and all deficiencies corrected within approved timelines.</v>
          </cell>
          <cell r="G283" t="str">
            <v>N/A</v>
          </cell>
          <cell r="I283">
            <v>0</v>
          </cell>
        </row>
        <row r="284">
          <cell r="A284">
            <v>142</v>
          </cell>
          <cell r="C284">
            <v>2</v>
          </cell>
          <cell r="F284" t="str">
            <v>All authorized ServiceMaster Purchasing Programs being effectively used where applicable.</v>
          </cell>
          <cell r="G284" t="str">
            <v>N/A</v>
          </cell>
          <cell r="I284">
            <v>0</v>
          </cell>
        </row>
        <row r="285">
          <cell r="A285">
            <v>143</v>
          </cell>
          <cell r="C285">
            <v>2</v>
          </cell>
          <cell r="F285" t="str">
            <v>Account is at a minimum of 90% on preventive maintenance requirements?</v>
          </cell>
          <cell r="G285" t="str">
            <v>N/A</v>
          </cell>
          <cell r="I285">
            <v>0</v>
          </cell>
        </row>
        <row r="286">
          <cell r="A286">
            <v>144</v>
          </cell>
          <cell r="C286">
            <v>2</v>
          </cell>
          <cell r="F286" t="str">
            <v>The entire Laundry JSV series has been shown to all employees at least once in past 2 years.</v>
          </cell>
          <cell r="G286" t="str">
            <v>N/A</v>
          </cell>
          <cell r="I286">
            <v>0</v>
          </cell>
        </row>
        <row r="287">
          <cell r="A287">
            <v>145</v>
          </cell>
          <cell r="C287">
            <v>2</v>
          </cell>
          <cell r="F287" t="str">
            <v>Material Safety Data Sheets (MSDS) available in the department for all chemicals present?</v>
          </cell>
          <cell r="G287" t="str">
            <v>N/A</v>
          </cell>
          <cell r="I287">
            <v>0</v>
          </cell>
        </row>
        <row r="288">
          <cell r="A288">
            <v>146</v>
          </cell>
          <cell r="C288">
            <v>2</v>
          </cell>
          <cell r="F288" t="str">
            <v>Laundry Test Piece run at least twice a year and test results are on file.</v>
          </cell>
          <cell r="G288" t="str">
            <v>N/A</v>
          </cell>
          <cell r="I288">
            <v>0</v>
          </cell>
        </row>
        <row r="289">
          <cell r="A289">
            <v>147</v>
          </cell>
          <cell r="C289">
            <v>2</v>
          </cell>
          <cell r="F289" t="str">
            <v>Pounds processed record current for this year and records for past 2 years on file?</v>
          </cell>
          <cell r="G289" t="str">
            <v>N/A</v>
          </cell>
          <cell r="I289">
            <v>0</v>
          </cell>
        </row>
        <row r="290">
          <cell r="A290">
            <v>148</v>
          </cell>
          <cell r="C290">
            <v>2</v>
          </cell>
          <cell r="F290" t="str">
            <v>Record of "Actual Resident Days" current for this year and records for past 2 years on file.</v>
          </cell>
          <cell r="G290" t="str">
            <v>N/A</v>
          </cell>
          <cell r="I290">
            <v>0</v>
          </cell>
        </row>
        <row r="291">
          <cell r="A291">
            <v>149</v>
          </cell>
          <cell r="C291">
            <v>2</v>
          </cell>
          <cell r="F291" t="str">
            <v>Equipment downtime and repair records kept for all laundry equipment?</v>
          </cell>
          <cell r="G291" t="str">
            <v>N/A</v>
          </cell>
          <cell r="I291">
            <v>0</v>
          </cell>
        </row>
        <row r="292">
          <cell r="A292">
            <v>150</v>
          </cell>
          <cell r="C292">
            <v>2</v>
          </cell>
          <cell r="F292" t="str">
            <v>Weekly or other periodic inspections for safety and quality conducted with a representative from administration and documentation on file?</v>
          </cell>
          <cell r="G292" t="str">
            <v>N/A</v>
          </cell>
          <cell r="I292">
            <v>0</v>
          </cell>
        </row>
        <row r="293">
          <cell r="A293">
            <v>151</v>
          </cell>
          <cell r="C293">
            <v>2</v>
          </cell>
          <cell r="F293" t="str">
            <v>Operating procedures are in place for efficient processing of residents' personal clothing to include labeling of clothes, turnaround time and wash formulas.</v>
          </cell>
          <cell r="G293" t="str">
            <v>N/A</v>
          </cell>
          <cell r="I293">
            <v>0</v>
          </cell>
        </row>
        <row r="295">
          <cell r="F295" t="str">
            <v xml:space="preserve">                                        Total General - Environmental (LTC) </v>
          </cell>
          <cell r="G295">
            <v>0</v>
          </cell>
          <cell r="I295">
            <v>0</v>
          </cell>
        </row>
        <row r="296">
          <cell r="F296" t="str">
            <v xml:space="preserve">                                                             Percentage Implemented</v>
          </cell>
          <cell r="G296" t="str">
            <v>N/A</v>
          </cell>
        </row>
        <row r="298">
          <cell r="F298" t="str">
            <v>GENERAL</v>
          </cell>
        </row>
        <row r="299">
          <cell r="F299" t="str">
            <v>CUSTODIAL (EDUCATION ONLY)</v>
          </cell>
        </row>
        <row r="300">
          <cell r="A300">
            <v>152</v>
          </cell>
          <cell r="C300">
            <v>2</v>
          </cell>
          <cell r="F300" t="str">
            <v>Are Custodial Weekly Inspections conducted with building Administration on at least 10% of the buildings served weekly ? (SOPI:300.19)</v>
          </cell>
          <cell r="G300" t="str">
            <v>N/A</v>
          </cell>
          <cell r="I300">
            <v>0</v>
          </cell>
        </row>
        <row r="301">
          <cell r="A301">
            <v>153</v>
          </cell>
          <cell r="C301">
            <v>2</v>
          </cell>
          <cell r="F301" t="str">
            <v>Are Supervisory Inspections completed weekly on each building visited?</v>
          </cell>
          <cell r="G301" t="str">
            <v>N/A</v>
          </cell>
          <cell r="I301">
            <v>0</v>
          </cell>
        </row>
        <row r="302">
          <cell r="A302">
            <v>154</v>
          </cell>
          <cell r="C302">
            <v>2</v>
          </cell>
          <cell r="F302" t="str">
            <v>Are Teacher/Staff Interviews completed for 10% of the teaching/staff each month or at least 100% annually ? (SOPI:300.20)</v>
          </cell>
          <cell r="G302" t="str">
            <v>N/A</v>
          </cell>
          <cell r="I302">
            <v>0</v>
          </cell>
        </row>
        <row r="303">
          <cell r="A303">
            <v>155</v>
          </cell>
          <cell r="C303">
            <v>2</v>
          </cell>
          <cell r="F303" t="str">
            <v>Total paid hours are below 2.0 manhours per 1000 net cleanable square feet?</v>
          </cell>
          <cell r="G303" t="str">
            <v>N/A</v>
          </cell>
          <cell r="I303">
            <v>0</v>
          </cell>
        </row>
        <row r="304">
          <cell r="A304">
            <v>156</v>
          </cell>
          <cell r="C304">
            <v>2</v>
          </cell>
          <cell r="F304" t="str">
            <v>MTP supply expense at or below $0.038 per net cleanable square foot?</v>
          </cell>
          <cell r="G304" t="str">
            <v>N/A</v>
          </cell>
          <cell r="I304">
            <v>0</v>
          </cell>
        </row>
        <row r="305">
          <cell r="A305">
            <v>157</v>
          </cell>
          <cell r="C305">
            <v>2</v>
          </cell>
          <cell r="F305" t="str">
            <v>Depreciation expense at or below $0.02 per net cleanable square foot?</v>
          </cell>
          <cell r="G305" t="str">
            <v>N/A</v>
          </cell>
          <cell r="I305">
            <v>0</v>
          </cell>
        </row>
        <row r="307">
          <cell r="F307" t="str">
            <v xml:space="preserve">                                  Total General - Custodial (Education Only)</v>
          </cell>
          <cell r="G307">
            <v>0</v>
          </cell>
          <cell r="I307">
            <v>0</v>
          </cell>
        </row>
        <row r="308">
          <cell r="F308" t="str">
            <v xml:space="preserve">                                                             Percentage Implemented</v>
          </cell>
          <cell r="G308" t="str">
            <v>N/A</v>
          </cell>
        </row>
        <row r="311">
          <cell r="F311" t="str">
            <v>GENERAL</v>
          </cell>
          <cell r="I311" t="str">
            <v>Possible</v>
          </cell>
        </row>
        <row r="312">
          <cell r="F312" t="str">
            <v>FOOD AND NUTRITION</v>
          </cell>
          <cell r="G312" t="str">
            <v>Score</v>
          </cell>
          <cell r="I312" t="str">
            <v>Score</v>
          </cell>
        </row>
        <row r="313">
          <cell r="A313">
            <v>158</v>
          </cell>
          <cell r="C313">
            <v>2</v>
          </cell>
          <cell r="F313" t="str">
            <v>Food and Nutrition Services Department's (Facility) operating budget is at or below budgeted levels YTD for payroll and expense categories.  (SOPs 400.2 and 400.3)</v>
          </cell>
          <cell r="G313" t="str">
            <v>N/A</v>
          </cell>
          <cell r="I313">
            <v>0</v>
          </cell>
        </row>
        <row r="314">
          <cell r="A314">
            <v>159</v>
          </cell>
          <cell r="C314">
            <v>2</v>
          </cell>
          <cell r="F314" t="str">
            <v>The Department is clean, neat and orderly.  Sanitation standards are being met.  (SOP Series 500; SOPs 500.3, 500.6, and 500.8)</v>
          </cell>
          <cell r="G314" t="str">
            <v>N/A</v>
          </cell>
          <cell r="I314">
            <v>0</v>
          </cell>
        </row>
        <row r="315">
          <cell r="A315">
            <v>160</v>
          </cell>
          <cell r="C315">
            <v>2</v>
          </cell>
          <cell r="F315" t="str">
            <v>Spot check for correct labeling of chemical bottles. (SOP 500.8)</v>
          </cell>
          <cell r="G315" t="str">
            <v>N/A</v>
          </cell>
          <cell r="I315">
            <v>0</v>
          </cell>
        </row>
        <row r="316">
          <cell r="A316">
            <v>161</v>
          </cell>
          <cell r="C316">
            <v>2</v>
          </cell>
          <cell r="F316" t="str">
            <v>Is there evidence of appropriate use of temperature logs? (SOP 500.6)</v>
          </cell>
          <cell r="G316" t="str">
            <v>N/A</v>
          </cell>
          <cell r="I316">
            <v>0</v>
          </cell>
        </row>
        <row r="317">
          <cell r="A317">
            <v>162</v>
          </cell>
          <cell r="C317">
            <v>2</v>
          </cell>
          <cell r="F317" t="str">
            <v>Are proper attire and personal hygiene standards being met?  (SOP 500.5)</v>
          </cell>
          <cell r="G317" t="str">
            <v>N/A</v>
          </cell>
          <cell r="I317">
            <v>0</v>
          </cell>
        </row>
        <row r="318">
          <cell r="A318">
            <v>163</v>
          </cell>
          <cell r="C318">
            <v>2</v>
          </cell>
          <cell r="F318" t="str">
            <v>ServiceMaster purchasing programs/agreements are implemented.  (SOPs 200.2, 200.3 and 200.4)</v>
          </cell>
          <cell r="G318" t="str">
            <v>N/A</v>
          </cell>
          <cell r="I318">
            <v>0</v>
          </cell>
        </row>
        <row r="319">
          <cell r="A319">
            <v>164</v>
          </cell>
          <cell r="C319">
            <v>2</v>
          </cell>
          <cell r="F319" t="str">
            <v>Trayline starts on time, is properly set up, runs smoothly and is generally quiet.  (SOP 700.1)</v>
          </cell>
          <cell r="G319" t="str">
            <v>N/A</v>
          </cell>
          <cell r="I319">
            <v>0</v>
          </cell>
        </row>
        <row r="320">
          <cell r="A320">
            <v>165</v>
          </cell>
          <cell r="B320" t="str">
            <v>a.</v>
          </cell>
          <cell r="C320">
            <v>2</v>
          </cell>
          <cell r="F320" t="str">
            <v>Are the menus ready for trayline? (SOP 700.1)</v>
          </cell>
          <cell r="G320" t="str">
            <v>N/A</v>
          </cell>
          <cell r="I320">
            <v>0</v>
          </cell>
        </row>
        <row r="321">
          <cell r="A321">
            <v>165</v>
          </cell>
          <cell r="B321" t="str">
            <v>b.</v>
          </cell>
          <cell r="C321">
            <v>2</v>
          </cell>
          <cell r="F321" t="str">
            <v>Test tray results are reviewed.  Are results acceptable? (SOPs 300.6 and 1100.2)</v>
          </cell>
          <cell r="G321" t="str">
            <v>N/A</v>
          </cell>
          <cell r="I321">
            <v>0</v>
          </cell>
        </row>
        <row r="322">
          <cell r="A322">
            <v>165</v>
          </cell>
          <cell r="B322" t="str">
            <v>c.</v>
          </cell>
          <cell r="C322">
            <v>2</v>
          </cell>
          <cell r="F322" t="str">
            <v>Are portions appropriate and correct? (SOPs 300.2 and 300.4)</v>
          </cell>
          <cell r="G322" t="str">
            <v>N/A</v>
          </cell>
          <cell r="I322">
            <v>0</v>
          </cell>
        </row>
        <row r="323">
          <cell r="A323">
            <v>165</v>
          </cell>
          <cell r="B323" t="str">
            <v>d.</v>
          </cell>
          <cell r="C323">
            <v>2</v>
          </cell>
          <cell r="F323" t="str">
            <v>Is food garnished? (SOP 300.7)</v>
          </cell>
          <cell r="G323" t="str">
            <v>N/A</v>
          </cell>
          <cell r="I323">
            <v>0</v>
          </cell>
        </row>
        <row r="324">
          <cell r="A324">
            <v>165</v>
          </cell>
          <cell r="B324" t="str">
            <v>e.</v>
          </cell>
          <cell r="C324">
            <v>2</v>
          </cell>
          <cell r="F324" t="str">
            <v>Are late trays being monitored? (SOP 700.1)</v>
          </cell>
          <cell r="G324" t="str">
            <v>N/A</v>
          </cell>
          <cell r="I324">
            <v>0</v>
          </cell>
        </row>
        <row r="325">
          <cell r="A325">
            <v>165</v>
          </cell>
          <cell r="B325" t="str">
            <v>f.</v>
          </cell>
          <cell r="C325">
            <v>2</v>
          </cell>
          <cell r="F325" t="str">
            <v>Is the telephone message sheet in use? (700.1)</v>
          </cell>
          <cell r="G325" t="str">
            <v>N/A</v>
          </cell>
          <cell r="I325">
            <v>0</v>
          </cell>
        </row>
        <row r="326">
          <cell r="A326">
            <v>166</v>
          </cell>
          <cell r="C326">
            <v>2</v>
          </cell>
          <cell r="F326" t="str">
            <v>Is nutrition screening completed within 24 hours for 100% of admissions?  (SOP 600.3)</v>
          </cell>
          <cell r="G326" t="str">
            <v>N/A</v>
          </cell>
          <cell r="I326">
            <v>0</v>
          </cell>
        </row>
        <row r="327">
          <cell r="A327">
            <v>167</v>
          </cell>
          <cell r="C327">
            <v>2</v>
          </cell>
          <cell r="F327" t="str">
            <v>Are nutrition assessments conducted for patients at risk according to the department policy?  (SOPs 600.3, 600.4 and department policy)</v>
          </cell>
          <cell r="G327" t="str">
            <v>N/A</v>
          </cell>
          <cell r="I327">
            <v>0</v>
          </cell>
        </row>
        <row r="328">
          <cell r="A328">
            <v>168</v>
          </cell>
          <cell r="C328">
            <v>2</v>
          </cell>
          <cell r="F328" t="str">
            <v>Are clinical staff participating in critical pathways (care maps/clinical maps or pathways) outcome data collection?  (SOP 600.15)</v>
          </cell>
          <cell r="G328" t="str">
            <v>N/A</v>
          </cell>
          <cell r="I328">
            <v>0</v>
          </cell>
        </row>
        <row r="329">
          <cell r="A329">
            <v>169</v>
          </cell>
          <cell r="C329">
            <v>2</v>
          </cell>
          <cell r="F329" t="str">
            <v>Is CQI data being collected on an on-going basis? (SOP Series 1100)</v>
          </cell>
          <cell r="G329" t="str">
            <v>N/A</v>
          </cell>
          <cell r="I329">
            <v>0</v>
          </cell>
        </row>
        <row r="331">
          <cell r="F331" t="str">
            <v xml:space="preserve">                                               Total General - Food and Nutrition</v>
          </cell>
          <cell r="G331">
            <v>0</v>
          </cell>
          <cell r="I331">
            <v>0</v>
          </cell>
        </row>
        <row r="332">
          <cell r="F332" t="str">
            <v xml:space="preserve">                                                             Percentage Implemented</v>
          </cell>
          <cell r="G332" t="str">
            <v>N/A</v>
          </cell>
        </row>
        <row r="334">
          <cell r="F334" t="str">
            <v>GENERAL</v>
          </cell>
        </row>
        <row r="335">
          <cell r="F335" t="str">
            <v>FOOD AND NUTRITION ( ACUTE CARE ONLY)</v>
          </cell>
        </row>
        <row r="336">
          <cell r="A336">
            <v>170</v>
          </cell>
          <cell r="C336">
            <v>2</v>
          </cell>
          <cell r="F336" t="str">
            <v>The Patient Satisfaction Survey has been reviewed. (SOP 700.8)</v>
          </cell>
          <cell r="G336" t="str">
            <v>N/A</v>
          </cell>
          <cell r="I336">
            <v>0</v>
          </cell>
        </row>
        <row r="337">
          <cell r="A337">
            <v>171</v>
          </cell>
          <cell r="C337">
            <v>2</v>
          </cell>
          <cell r="F337" t="str">
            <v>The Retail Satisfaction Survey has been reviewed, has an action plan and response letter.  (SOP 900.0 and References 900.9)</v>
          </cell>
          <cell r="G337" t="str">
            <v>N/A</v>
          </cell>
          <cell r="I337">
            <v>0</v>
          </cell>
        </row>
        <row r="338">
          <cell r="A338">
            <v>172</v>
          </cell>
          <cell r="C338">
            <v>2</v>
          </cell>
          <cell r="F338" t="str">
            <v>There is clear evidence that the ServiceMaster retail programs have been implemented.</v>
          </cell>
          <cell r="G338" t="str">
            <v>N/A</v>
          </cell>
          <cell r="I338">
            <v>0</v>
          </cell>
        </row>
        <row r="339">
          <cell r="A339">
            <v>173</v>
          </cell>
          <cell r="B339" t="str">
            <v>a.</v>
          </cell>
          <cell r="C339">
            <v>2</v>
          </cell>
          <cell r="F339" t="str">
            <v>Do retail food offerings have excellent appearance and taste? (SOP 900.1)</v>
          </cell>
          <cell r="G339" t="str">
            <v>N/A</v>
          </cell>
          <cell r="I339">
            <v>0</v>
          </cell>
        </row>
        <row r="340">
          <cell r="A340">
            <v>173</v>
          </cell>
          <cell r="B340" t="str">
            <v>b.</v>
          </cell>
          <cell r="C340">
            <v>2</v>
          </cell>
          <cell r="F340" t="str">
            <v>Are portion sizes accurate and consistent? (SOPs 900.1, 300.2, and 300.4)</v>
          </cell>
          <cell r="G340" t="str">
            <v>N/A</v>
          </cell>
          <cell r="I340">
            <v>0</v>
          </cell>
        </row>
        <row r="341">
          <cell r="A341">
            <v>173</v>
          </cell>
          <cell r="B341" t="str">
            <v>c.</v>
          </cell>
          <cell r="C341">
            <v>2</v>
          </cell>
          <cell r="F341" t="str">
            <v>Is there an adequate choice/variety of foods at each counter throughout service? (SOP 900.2)</v>
          </cell>
          <cell r="G341" t="str">
            <v>N/A</v>
          </cell>
          <cell r="I341">
            <v>0</v>
          </cell>
        </row>
        <row r="342">
          <cell r="A342">
            <v>173</v>
          </cell>
          <cell r="B342" t="str">
            <v>d.</v>
          </cell>
          <cell r="C342">
            <v>2</v>
          </cell>
          <cell r="F342" t="str">
            <v>Did service begin at the posted time? (SOP 900.4)</v>
          </cell>
          <cell r="G342" t="str">
            <v>N/A</v>
          </cell>
          <cell r="I342">
            <v>0</v>
          </cell>
        </row>
        <row r="343">
          <cell r="A343">
            <v>173</v>
          </cell>
          <cell r="B343" t="str">
            <v>e.</v>
          </cell>
          <cell r="C343">
            <v>2</v>
          </cell>
          <cell r="F343" t="str">
            <v>Are menu boards accurate (spelling, prices, and availability)? (SOP 900.4)</v>
          </cell>
          <cell r="G343" t="str">
            <v>N/A</v>
          </cell>
          <cell r="I343">
            <v>0</v>
          </cell>
        </row>
        <row r="344">
          <cell r="A344">
            <v>173</v>
          </cell>
          <cell r="B344" t="str">
            <v>f.</v>
          </cell>
          <cell r="C344">
            <v>2</v>
          </cell>
          <cell r="F344" t="str">
            <v>Are there adequate smallwares and equipment (soup bowls, crocks, silverware, beverage dispensers, tables, chairs, etc.)? (SOP 900.5)</v>
          </cell>
          <cell r="G344" t="str">
            <v>N/A</v>
          </cell>
          <cell r="I344">
            <v>0</v>
          </cell>
        </row>
        <row r="345">
          <cell r="A345">
            <v>173</v>
          </cell>
          <cell r="B345" t="str">
            <v>g.</v>
          </cell>
          <cell r="C345">
            <v>2</v>
          </cell>
          <cell r="F345" t="str">
            <v>Is service friendly, prompt and knowledgeable? (SOP 900.3)</v>
          </cell>
          <cell r="G345" t="str">
            <v>N/A</v>
          </cell>
          <cell r="I345">
            <v>0</v>
          </cell>
        </row>
        <row r="347">
          <cell r="F347" t="str">
            <v xml:space="preserve">           Total General - Food and Nutrition (Healthcare Only)</v>
          </cell>
          <cell r="G347">
            <v>0</v>
          </cell>
          <cell r="I347">
            <v>0</v>
          </cell>
        </row>
        <row r="348">
          <cell r="F348" t="str">
            <v xml:space="preserve">                                                             Percentage Implemented</v>
          </cell>
          <cell r="G348" t="str">
            <v>N/A</v>
          </cell>
        </row>
        <row r="350">
          <cell r="F350" t="str">
            <v>GENERAL</v>
          </cell>
        </row>
        <row r="351">
          <cell r="F351" t="str">
            <v>FOOD AND NUTRITION (LONG TERM CARE ONLY)</v>
          </cell>
        </row>
        <row r="352">
          <cell r="A352">
            <v>174</v>
          </cell>
          <cell r="C352">
            <v>2</v>
          </cell>
          <cell r="F352" t="str">
            <v>The Resident Satisfaction Survey has been reviewed by the Resident Council or Resident Food Committee (SOP 700.8)</v>
          </cell>
          <cell r="G352" t="str">
            <v>N/A</v>
          </cell>
          <cell r="I352">
            <v>0</v>
          </cell>
        </row>
        <row r="354">
          <cell r="F354" t="str">
            <v xml:space="preserve">                           Total General - Food and Nutrition (LTC Only)</v>
          </cell>
          <cell r="G354">
            <v>0</v>
          </cell>
          <cell r="I354">
            <v>0</v>
          </cell>
        </row>
        <row r="355">
          <cell r="F355" t="str">
            <v xml:space="preserve">                                                             Percentage Implemented</v>
          </cell>
          <cell r="G355" t="str">
            <v>N/A</v>
          </cell>
        </row>
        <row r="357">
          <cell r="F357" t="str">
            <v>GENERAL</v>
          </cell>
        </row>
        <row r="358">
          <cell r="F358" t="str">
            <v>CENTRAL TRANSPORTATION</v>
          </cell>
        </row>
        <row r="359">
          <cell r="A359">
            <v>175</v>
          </cell>
          <cell r="C359">
            <v>2</v>
          </cell>
          <cell r="F359" t="str">
            <v>Is the Central Control and Response Center organized, neat and clean?</v>
          </cell>
          <cell r="G359" t="str">
            <v>N/A</v>
          </cell>
          <cell r="I359">
            <v>0</v>
          </cell>
        </row>
        <row r="360">
          <cell r="A360">
            <v>176</v>
          </cell>
          <cell r="C360">
            <v>2</v>
          </cell>
          <cell r="F360" t="str">
            <v>Are the CTD data files current, accurate and inclusive of all areas served?</v>
          </cell>
          <cell r="G360" t="str">
            <v>N/A</v>
          </cell>
          <cell r="I360">
            <v>0</v>
          </cell>
        </row>
        <row r="361">
          <cell r="A361">
            <v>177</v>
          </cell>
          <cell r="C361">
            <v>2</v>
          </cell>
          <cell r="F361" t="str">
            <v>Do Customer Satisfaction Surveys indicate acceptable performance levels?</v>
          </cell>
          <cell r="G361" t="str">
            <v>N/A</v>
          </cell>
          <cell r="I361">
            <v>0</v>
          </cell>
        </row>
        <row r="362">
          <cell r="A362">
            <v>178</v>
          </cell>
          <cell r="C362">
            <v>2</v>
          </cell>
          <cell r="F362" t="str">
            <v>Are department goals and objectives set annually, reviewed with Administration, and documented?</v>
          </cell>
          <cell r="G362" t="str">
            <v>N/A</v>
          </cell>
          <cell r="I362">
            <v>0</v>
          </cell>
        </row>
        <row r="363">
          <cell r="A363">
            <v>179</v>
          </cell>
          <cell r="C363">
            <v>2</v>
          </cell>
          <cell r="F363" t="str">
            <v>Has the Central Transportation Manager notified their director of any changes in the contracted scope of activities which would result in an amendment to the control account and facility agreement?</v>
          </cell>
          <cell r="G363" t="str">
            <v>N/A</v>
          </cell>
          <cell r="I363">
            <v>0</v>
          </cell>
        </row>
        <row r="364">
          <cell r="A364">
            <v>180</v>
          </cell>
          <cell r="C364">
            <v>2</v>
          </cell>
          <cell r="F364" t="str">
            <v>Has the Central Transportation Manager taken an active roll in upgrading systems and improving departmental performance both operationallty and financially?</v>
          </cell>
          <cell r="G364" t="str">
            <v>N/A</v>
          </cell>
          <cell r="I364">
            <v>0</v>
          </cell>
        </row>
        <row r="365">
          <cell r="A365">
            <v>181</v>
          </cell>
          <cell r="C365">
            <v>2</v>
          </cell>
          <cell r="F365" t="str">
            <v>Has the manager run the month end summary reports, shared them with the Director to develop and implement a plan to resolve the indicated problems, with the facility department heads,so to improve services to the facility?</v>
          </cell>
          <cell r="G365" t="str">
            <v>N/A</v>
          </cell>
          <cell r="I365">
            <v>0</v>
          </cell>
        </row>
        <row r="366">
          <cell r="A366">
            <v>182</v>
          </cell>
          <cell r="C366">
            <v>2</v>
          </cell>
          <cell r="F366" t="str">
            <v>Is the manager's presence, grooming and attire, appropriate and in good taste?</v>
          </cell>
          <cell r="G366" t="str">
            <v>N/A</v>
          </cell>
          <cell r="I366">
            <v>0</v>
          </cell>
        </row>
        <row r="367">
          <cell r="A367">
            <v>183</v>
          </cell>
          <cell r="C367">
            <v>2</v>
          </cell>
          <cell r="F367" t="str">
            <v>Are all incoming telephone calls and correspondence handled in a professional, organized manner?</v>
          </cell>
          <cell r="G367" t="str">
            <v>N/A</v>
          </cell>
          <cell r="I367">
            <v>0</v>
          </cell>
        </row>
        <row r="368">
          <cell r="A368">
            <v>184</v>
          </cell>
          <cell r="C368">
            <v>2</v>
          </cell>
          <cell r="F368" t="str">
            <v>Does the manager have an active self development program in place?</v>
          </cell>
          <cell r="G368" t="str">
            <v>N/A</v>
          </cell>
          <cell r="I368">
            <v>0</v>
          </cell>
        </row>
        <row r="369">
          <cell r="A369">
            <v>185</v>
          </cell>
          <cell r="C369">
            <v>2</v>
          </cell>
          <cell r="F369" t="str">
            <v>Has the manager been instrumental in building ServiceMaster objectives within their subordinate management staff?</v>
          </cell>
          <cell r="G369" t="str">
            <v>N/A</v>
          </cell>
          <cell r="I369">
            <v>0</v>
          </cell>
        </row>
        <row r="370">
          <cell r="A370">
            <v>186</v>
          </cell>
          <cell r="C370">
            <v>2</v>
          </cell>
          <cell r="F370" t="str">
            <v>Has the transportation program established credibility, and is it viewed as a department with positive results, both financially and operationally?</v>
          </cell>
          <cell r="G370" t="str">
            <v>N/A</v>
          </cell>
          <cell r="I370">
            <v>0</v>
          </cell>
        </row>
        <row r="371">
          <cell r="A371">
            <v>187</v>
          </cell>
          <cell r="C371">
            <v>2</v>
          </cell>
          <cell r="F371" t="str">
            <v>Does the manager contribute to hospital decisions which will effect the services of the Central Transportation Department?</v>
          </cell>
          <cell r="G371" t="str">
            <v>N/A</v>
          </cell>
          <cell r="I371">
            <v>0</v>
          </cell>
        </row>
        <row r="372">
          <cell r="A372">
            <v>188</v>
          </cell>
          <cell r="C372">
            <v>2</v>
          </cell>
          <cell r="F372" t="str">
            <v>Has the manager shown hospital department heads the features of Central Transportation Dispatch, so to gain their confidence in the department's ability to provide them with timely service?</v>
          </cell>
          <cell r="G372" t="str">
            <v>N/A</v>
          </cell>
          <cell r="I372">
            <v>0</v>
          </cell>
        </row>
        <row r="374">
          <cell r="F374" t="str">
            <v xml:space="preserve">                                         Total General - Central Transportation</v>
          </cell>
          <cell r="G374">
            <v>0</v>
          </cell>
          <cell r="I374">
            <v>0</v>
          </cell>
        </row>
        <row r="375">
          <cell r="F375" t="str">
            <v xml:space="preserve">                                                             Percentage Implemented</v>
          </cell>
          <cell r="G375" t="str">
            <v>N/A</v>
          </cell>
        </row>
        <row r="378">
          <cell r="F378" t="str">
            <v>GENERAL</v>
          </cell>
        </row>
        <row r="379">
          <cell r="F379" t="str">
            <v>LAUNDRY/LINEN</v>
          </cell>
        </row>
        <row r="380">
          <cell r="A380">
            <v>189</v>
          </cell>
          <cell r="C380">
            <v>2</v>
          </cell>
          <cell r="F380" t="str">
            <v xml:space="preserve">Material Safety Data Sheets (MSDS) available in the laundry for all chemicals present. </v>
          </cell>
          <cell r="G380" t="str">
            <v>N/A</v>
          </cell>
          <cell r="I380">
            <v>0</v>
          </cell>
        </row>
        <row r="381">
          <cell r="A381">
            <v>190</v>
          </cell>
          <cell r="C381">
            <v>2</v>
          </cell>
          <cell r="F381" t="str">
            <v>Operating procedures are in writing and current for each process and for each piece of equipment, and are kept in an accessible place for laundry staff.</v>
          </cell>
          <cell r="G381" t="str">
            <v>N/A</v>
          </cell>
          <cell r="I381">
            <v>0</v>
          </cell>
        </row>
        <row r="382">
          <cell r="A382">
            <v>191</v>
          </cell>
          <cell r="C382">
            <v>2</v>
          </cell>
          <cell r="F382" t="str">
            <v>ServiceMaster washing supplies are being used.</v>
          </cell>
          <cell r="G382" t="str">
            <v>N/A</v>
          </cell>
          <cell r="I382">
            <v>0</v>
          </cell>
        </row>
        <row r="383">
          <cell r="A383">
            <v>192</v>
          </cell>
          <cell r="C383">
            <v>2</v>
          </cell>
          <cell r="F383" t="str">
            <v>Current copy of clean linen delivery schedule on file.</v>
          </cell>
          <cell r="G383" t="str">
            <v>N/A</v>
          </cell>
          <cell r="I383">
            <v>0</v>
          </cell>
        </row>
        <row r="384">
          <cell r="A384">
            <v>193</v>
          </cell>
          <cell r="C384">
            <v>2</v>
          </cell>
          <cell r="F384" t="str">
            <v>Current copy  of soiled linen collection schedule on file.</v>
          </cell>
          <cell r="G384" t="str">
            <v>N/A</v>
          </cell>
          <cell r="I384">
            <v>0</v>
          </cell>
        </row>
        <row r="385">
          <cell r="A385">
            <v>194</v>
          </cell>
          <cell r="C385">
            <v>2</v>
          </cell>
          <cell r="F385" t="str">
            <v>At least one linen inventory completed within past 12 months.</v>
          </cell>
          <cell r="G385" t="str">
            <v>N/A</v>
          </cell>
          <cell r="I385">
            <v>0</v>
          </cell>
        </row>
        <row r="386">
          <cell r="A386">
            <v>195</v>
          </cell>
          <cell r="C386">
            <v>2</v>
          </cell>
          <cell r="F386" t="str">
            <v>At least one linen useage study completed within past 6 months.</v>
          </cell>
          <cell r="G386" t="str">
            <v>N/A</v>
          </cell>
          <cell r="I386">
            <v>0</v>
          </cell>
        </row>
        <row r="387">
          <cell r="A387">
            <v>196</v>
          </cell>
          <cell r="C387">
            <v>2</v>
          </cell>
          <cell r="F387" t="str">
            <v>A record is kept of all linen discards.</v>
          </cell>
          <cell r="G387" t="str">
            <v>N/A</v>
          </cell>
          <cell r="I387">
            <v>0</v>
          </cell>
        </row>
        <row r="388">
          <cell r="A388">
            <v>197</v>
          </cell>
          <cell r="C388">
            <v>2</v>
          </cell>
          <cell r="F388" t="str">
            <v>A record is kept of all new linen placed into the system.</v>
          </cell>
          <cell r="G388" t="str">
            <v>N/A</v>
          </cell>
          <cell r="I388">
            <v>0</v>
          </cell>
        </row>
        <row r="389">
          <cell r="A389">
            <v>198</v>
          </cell>
          <cell r="C389">
            <v>2</v>
          </cell>
          <cell r="F389" t="str">
            <v>Supply Usage Audit (form 72058 or similar audit) completed each month?</v>
          </cell>
          <cell r="G389" t="str">
            <v>N/A</v>
          </cell>
          <cell r="I389">
            <v>0</v>
          </cell>
        </row>
        <row r="390">
          <cell r="A390">
            <v>199</v>
          </cell>
          <cell r="C390">
            <v>2</v>
          </cell>
          <cell r="F390" t="str">
            <v>Washing supplies costs used per 100 lb. washed at or below budget?</v>
          </cell>
          <cell r="G390" t="str">
            <v>N/A</v>
          </cell>
          <cell r="I390">
            <v>0</v>
          </cell>
        </row>
        <row r="391">
          <cell r="A391">
            <v>200</v>
          </cell>
          <cell r="C391">
            <v>2</v>
          </cell>
          <cell r="F391" t="str">
            <v>Phone log established and in use; record of calls reviewed daily?</v>
          </cell>
          <cell r="G391" t="str">
            <v>N/A</v>
          </cell>
          <cell r="I391">
            <v>0</v>
          </cell>
        </row>
        <row r="392">
          <cell r="A392">
            <v>201</v>
          </cell>
          <cell r="C392">
            <v>2</v>
          </cell>
          <cell r="F392" t="str">
            <v>Financials:  tracking and reports are accurate and up to date?</v>
          </cell>
          <cell r="G392" t="str">
            <v>N/A</v>
          </cell>
          <cell r="I392">
            <v>0</v>
          </cell>
        </row>
        <row r="393">
          <cell r="A393">
            <v>202</v>
          </cell>
          <cell r="C393">
            <v>2</v>
          </cell>
          <cell r="F393" t="str">
            <v>Position summary current within 120 days?</v>
          </cell>
          <cell r="G393" t="str">
            <v>N/A</v>
          </cell>
          <cell r="I393">
            <v>0</v>
          </cell>
        </row>
        <row r="394">
          <cell r="A394">
            <v>203</v>
          </cell>
          <cell r="C394">
            <v>2</v>
          </cell>
          <cell r="F394" t="str">
            <v>Written production standards are in place?</v>
          </cell>
          <cell r="G394" t="str">
            <v>N/A</v>
          </cell>
          <cell r="I394">
            <v>0</v>
          </cell>
        </row>
        <row r="395">
          <cell r="A395">
            <v>204</v>
          </cell>
          <cell r="C395">
            <v>2</v>
          </cell>
          <cell r="F395" t="str">
            <v>Payroll Verification completed for each pay period?</v>
          </cell>
          <cell r="G395" t="str">
            <v>N/A</v>
          </cell>
          <cell r="I395">
            <v>0</v>
          </cell>
        </row>
        <row r="396">
          <cell r="A396">
            <v>205</v>
          </cell>
          <cell r="C396">
            <v>2</v>
          </cell>
          <cell r="F396" t="str">
            <v>Average weekly hours for past 8 weeks at or below weekly standard hours?</v>
          </cell>
          <cell r="G396" t="str">
            <v>N/A</v>
          </cell>
          <cell r="I396">
            <v>0</v>
          </cell>
        </row>
        <row r="397">
          <cell r="A397">
            <v>206</v>
          </cell>
          <cell r="C397">
            <v>2</v>
          </cell>
          <cell r="F397" t="str">
            <v>Check water levels, temperature, and water hardness once per month?</v>
          </cell>
          <cell r="G397" t="str">
            <v>N/A</v>
          </cell>
          <cell r="I397">
            <v>0</v>
          </cell>
        </row>
        <row r="398">
          <cell r="A398">
            <v>207</v>
          </cell>
          <cell r="C398">
            <v>2</v>
          </cell>
          <cell r="F398" t="str">
            <v>Technical Service Washroom Report (form 72012 or a similar report) completed for each washer at least quarterly?</v>
          </cell>
          <cell r="G398" t="str">
            <v>N/A</v>
          </cell>
          <cell r="I398">
            <v>0</v>
          </cell>
        </row>
        <row r="399">
          <cell r="A399">
            <v>208</v>
          </cell>
          <cell r="C399">
            <v>2</v>
          </cell>
          <cell r="F399" t="str">
            <v>Linen test pieces processed quarterly, reports on file?</v>
          </cell>
          <cell r="G399" t="str">
            <v>N/A</v>
          </cell>
          <cell r="I399">
            <v>0</v>
          </cell>
        </row>
        <row r="400">
          <cell r="A400">
            <v>209</v>
          </cell>
          <cell r="C400">
            <v>2</v>
          </cell>
          <cell r="F400" t="str">
            <v>Linen test piece results are within acceptable ranges?</v>
          </cell>
          <cell r="G400" t="str">
            <v>N/A</v>
          </cell>
          <cell r="I400">
            <v>0</v>
          </cell>
        </row>
        <row r="401">
          <cell r="A401">
            <v>210</v>
          </cell>
          <cell r="C401">
            <v>2</v>
          </cell>
          <cell r="F401" t="str">
            <v>Finished linen is inspected by manager?</v>
          </cell>
          <cell r="G401" t="str">
            <v>N/A</v>
          </cell>
          <cell r="I401">
            <v>0</v>
          </cell>
        </row>
        <row r="402">
          <cell r="A402">
            <v>211</v>
          </cell>
          <cell r="C402">
            <v>2</v>
          </cell>
          <cell r="F402" t="str">
            <v>Completed "Survey of Linen Stations" (form 72024 or similar report), less than 13 months old?</v>
          </cell>
          <cell r="G402" t="str">
            <v>N/A</v>
          </cell>
          <cell r="I402">
            <v>0</v>
          </cell>
        </row>
        <row r="403">
          <cell r="A403">
            <v>212</v>
          </cell>
          <cell r="C403">
            <v>2</v>
          </cell>
          <cell r="F403" t="str">
            <v>Current written linen distribution and collection schedules on file?</v>
          </cell>
          <cell r="G403" t="str">
            <v>N/A</v>
          </cell>
          <cell r="I403">
            <v>0</v>
          </cell>
        </row>
        <row r="404">
          <cell r="A404">
            <v>213</v>
          </cell>
          <cell r="C404">
            <v>2</v>
          </cell>
          <cell r="F404" t="str">
            <v>Complaints at a minimum for past 3 months with no repeat complaints from the same area?</v>
          </cell>
          <cell r="G404" t="str">
            <v>N/A</v>
          </cell>
          <cell r="I404">
            <v>0</v>
          </cell>
        </row>
        <row r="405">
          <cell r="A405">
            <v>214</v>
          </cell>
          <cell r="C405">
            <v>2</v>
          </cell>
          <cell r="F405" t="str">
            <v>Current days-off roster posted.  The daily staffing is appropriate to daily work load?</v>
          </cell>
          <cell r="G405" t="str">
            <v>N/A</v>
          </cell>
          <cell r="I405">
            <v>0</v>
          </cell>
        </row>
        <row r="406">
          <cell r="A406">
            <v>215</v>
          </cell>
          <cell r="C406">
            <v>2</v>
          </cell>
          <cell r="F406" t="str">
            <v>Linen quota by item established for each user area, updated minimum of every 6 months?</v>
          </cell>
          <cell r="G406" t="str">
            <v>N/A</v>
          </cell>
          <cell r="I406">
            <v>0</v>
          </cell>
        </row>
        <row r="407">
          <cell r="A407">
            <v>216</v>
          </cell>
          <cell r="C407">
            <v>2</v>
          </cell>
          <cell r="F407" t="str">
            <v>Linen Replacement Record (form 72035 or similar report) and Linen Discard Record (form 72025 or similar form) used and up-to-date?</v>
          </cell>
          <cell r="G407" t="str">
            <v>N/A</v>
          </cell>
          <cell r="I407">
            <v>0</v>
          </cell>
        </row>
        <row r="408">
          <cell r="A408">
            <v>217</v>
          </cell>
          <cell r="C408">
            <v>2</v>
          </cell>
          <cell r="F408" t="str">
            <v>Linen specifications are in writing for all linen items, and on file?</v>
          </cell>
          <cell r="G408" t="str">
            <v>N/A</v>
          </cell>
          <cell r="I408">
            <v>0</v>
          </cell>
        </row>
        <row r="409">
          <cell r="A409">
            <v>218</v>
          </cell>
          <cell r="C409">
            <v>2</v>
          </cell>
          <cell r="F409" t="str">
            <v>All inventoried manuals are present, up-to-date, and kept in a secure, locked place?</v>
          </cell>
          <cell r="G409" t="str">
            <v>N/A</v>
          </cell>
          <cell r="I409">
            <v>0</v>
          </cell>
        </row>
        <row r="410">
          <cell r="A410">
            <v>219</v>
          </cell>
          <cell r="C410">
            <v>2</v>
          </cell>
          <cell r="F410" t="str">
            <v>All SM owned equipment inventoried and accounted for?</v>
          </cell>
          <cell r="G410" t="str">
            <v>N/A</v>
          </cell>
          <cell r="I410">
            <v>0</v>
          </cell>
        </row>
        <row r="411">
          <cell r="A411">
            <v>220</v>
          </cell>
          <cell r="C411">
            <v>2</v>
          </cell>
          <cell r="F411" t="str">
            <v>Routine housekeeping schedule and project cleaning schedule written and followed.</v>
          </cell>
          <cell r="G411" t="str">
            <v>N/A</v>
          </cell>
          <cell r="I411">
            <v>0</v>
          </cell>
        </row>
        <row r="412">
          <cell r="A412">
            <v>221</v>
          </cell>
          <cell r="C412">
            <v>2</v>
          </cell>
          <cell r="F412" t="str">
            <v>Laundry production records complete and up-to-date?</v>
          </cell>
          <cell r="G412" t="str">
            <v>N/A</v>
          </cell>
          <cell r="I412">
            <v>0</v>
          </cell>
        </row>
        <row r="413">
          <cell r="A413">
            <v>222</v>
          </cell>
          <cell r="C413">
            <v>2</v>
          </cell>
          <cell r="F413" t="str">
            <v>Written ,dated, and approved Infection Control policies for laundry and/or linen on file?</v>
          </cell>
          <cell r="G413" t="str">
            <v>N/A</v>
          </cell>
          <cell r="I413">
            <v>0</v>
          </cell>
        </row>
        <row r="414">
          <cell r="A414">
            <v>223</v>
          </cell>
          <cell r="C414">
            <v>2</v>
          </cell>
          <cell r="F414" t="str">
            <v>Current program schedule is on file and followed (Form 72013 or similar)?</v>
          </cell>
          <cell r="G414" t="str">
            <v>N/A</v>
          </cell>
          <cell r="I414">
            <v>0</v>
          </cell>
        </row>
        <row r="415">
          <cell r="A415">
            <v>224</v>
          </cell>
          <cell r="C415">
            <v>2</v>
          </cell>
          <cell r="F415" t="str">
            <v>Linen awareness committee functional, meets regularly?</v>
          </cell>
          <cell r="G415" t="str">
            <v>N/A</v>
          </cell>
          <cell r="I415">
            <v>0</v>
          </cell>
        </row>
        <row r="416">
          <cell r="A416">
            <v>225</v>
          </cell>
          <cell r="C416">
            <v>2</v>
          </cell>
          <cell r="F416" t="str">
            <v>Documented evidence that linen conservation activities to reduce or control linen costs have taken place during the past year?</v>
          </cell>
          <cell r="G416" t="str">
            <v>N/A</v>
          </cell>
          <cell r="I416">
            <v>0</v>
          </cell>
        </row>
        <row r="417">
          <cell r="A417">
            <v>226</v>
          </cell>
          <cell r="C417">
            <v>2</v>
          </cell>
          <cell r="F417" t="str">
            <v>Copies of current written Fire Plans and Disaster Plans on file?</v>
          </cell>
          <cell r="G417" t="str">
            <v>N/A</v>
          </cell>
          <cell r="I417">
            <v>0</v>
          </cell>
        </row>
        <row r="418">
          <cell r="A418">
            <v>227</v>
          </cell>
          <cell r="C418">
            <v>2</v>
          </cell>
          <cell r="F418" t="str">
            <v>Director of Nursing is positive and satisfied with laundry and/or linen program?</v>
          </cell>
          <cell r="G418" t="str">
            <v>N/A</v>
          </cell>
          <cell r="I418">
            <v>0</v>
          </cell>
        </row>
        <row r="419">
          <cell r="A419">
            <v>228</v>
          </cell>
          <cell r="C419">
            <v>2</v>
          </cell>
          <cell r="F419" t="str">
            <v>Coordinating manager takes active part in infection control and safety programs?</v>
          </cell>
          <cell r="G419" t="str">
            <v>N/A</v>
          </cell>
          <cell r="I419">
            <v>0</v>
          </cell>
        </row>
        <row r="420">
          <cell r="A420">
            <v>229</v>
          </cell>
          <cell r="C420">
            <v>2</v>
          </cell>
          <cell r="F420" t="str">
            <v>Administrator is positive about the quality and service of the laundry and/or linen program?</v>
          </cell>
          <cell r="G420" t="str">
            <v>N/A</v>
          </cell>
          <cell r="I420">
            <v>0</v>
          </cell>
        </row>
        <row r="421">
          <cell r="A421">
            <v>230</v>
          </cell>
          <cell r="C421">
            <v>2</v>
          </cell>
          <cell r="F421" t="str">
            <v>Administrative representative participates in laundry inspection at least once per month?</v>
          </cell>
          <cell r="G421" t="str">
            <v>N/A</v>
          </cell>
          <cell r="I421">
            <v>0</v>
          </cell>
        </row>
        <row r="422">
          <cell r="A422">
            <v>231</v>
          </cell>
          <cell r="C422">
            <v>2</v>
          </cell>
          <cell r="F422" t="str">
            <v>Manager visits customer linen use areas once per week?</v>
          </cell>
          <cell r="G422" t="str">
            <v>N/A</v>
          </cell>
          <cell r="I422">
            <v>0</v>
          </cell>
        </row>
        <row r="423">
          <cell r="A423">
            <v>232</v>
          </cell>
          <cell r="C423">
            <v>2</v>
          </cell>
          <cell r="F423" t="str">
            <v>A 5 year equipment replacement plan has been developed and shared with administration?</v>
          </cell>
          <cell r="G423" t="str">
            <v>N/A</v>
          </cell>
          <cell r="I423">
            <v>0</v>
          </cell>
        </row>
        <row r="424">
          <cell r="F424" t="str">
            <v>GENERAL</v>
          </cell>
        </row>
        <row r="425">
          <cell r="F425" t="str">
            <v>LAUNDRY/LINEN (CONTINUED)</v>
          </cell>
        </row>
        <row r="426">
          <cell r="A426">
            <v>233</v>
          </cell>
          <cell r="C426">
            <v>2</v>
          </cell>
          <cell r="F426" t="str">
            <v>"Voice of the Customer" survey is completed annually?</v>
          </cell>
          <cell r="G426" t="str">
            <v>N/A</v>
          </cell>
          <cell r="I426">
            <v>0</v>
          </cell>
        </row>
        <row r="427">
          <cell r="A427">
            <v>234</v>
          </cell>
          <cell r="C427">
            <v>2</v>
          </cell>
          <cell r="F427" t="str">
            <v>One or more items concerning laundry and/or linen recorded in each Joint Review Meeting?</v>
          </cell>
          <cell r="G427" t="str">
            <v>N/A</v>
          </cell>
          <cell r="I427">
            <v>0</v>
          </cell>
        </row>
        <row r="428">
          <cell r="A428">
            <v>235</v>
          </cell>
          <cell r="C428">
            <v>2</v>
          </cell>
          <cell r="F428" t="str">
            <v>ServiceMaster Support (telephone, written, and personal visits) has been documented in Joint Review Minutes?</v>
          </cell>
          <cell r="G428" t="str">
            <v>N/A</v>
          </cell>
          <cell r="I428">
            <v>0</v>
          </cell>
        </row>
        <row r="429">
          <cell r="A429">
            <v>236</v>
          </cell>
          <cell r="C429">
            <v>2</v>
          </cell>
          <cell r="F429" t="str">
            <v>Manager knows and understands:</v>
          </cell>
          <cell r="G429" t="str">
            <v>N/A</v>
          </cell>
          <cell r="I429">
            <v>0</v>
          </cell>
        </row>
        <row r="430">
          <cell r="A430">
            <v>236</v>
          </cell>
          <cell r="B430" t="str">
            <v>a.</v>
          </cell>
          <cell r="C430">
            <v>2</v>
          </cell>
          <cell r="F430" t="str">
            <v>Linen sorting procedure (Soiled and/or clean)?</v>
          </cell>
          <cell r="G430" t="str">
            <v>N/A</v>
          </cell>
          <cell r="I430">
            <v>0</v>
          </cell>
        </row>
        <row r="431">
          <cell r="A431">
            <v>236</v>
          </cell>
          <cell r="B431" t="str">
            <v>b.</v>
          </cell>
          <cell r="C431">
            <v>2</v>
          </cell>
          <cell r="F431" t="str">
            <v>How to operate washers?</v>
          </cell>
          <cell r="G431" t="str">
            <v>N/A</v>
          </cell>
          <cell r="I431">
            <v>0</v>
          </cell>
        </row>
        <row r="432">
          <cell r="A432">
            <v>236</v>
          </cell>
          <cell r="B432" t="str">
            <v>c.</v>
          </cell>
          <cell r="C432">
            <v>2</v>
          </cell>
          <cell r="F432" t="str">
            <v>How to operate dryers?</v>
          </cell>
          <cell r="G432" t="str">
            <v>N/A</v>
          </cell>
          <cell r="I432">
            <v>0</v>
          </cell>
        </row>
        <row r="433">
          <cell r="A433">
            <v>236</v>
          </cell>
          <cell r="B433" t="str">
            <v>d.</v>
          </cell>
          <cell r="C433">
            <v>2</v>
          </cell>
          <cell r="F433" t="str">
            <v>How to operate flat work ironer?</v>
          </cell>
          <cell r="G433" t="str">
            <v>N/A</v>
          </cell>
          <cell r="I433">
            <v>0</v>
          </cell>
        </row>
        <row r="434">
          <cell r="A434">
            <v>236</v>
          </cell>
          <cell r="B434" t="str">
            <v>e.</v>
          </cell>
          <cell r="C434">
            <v>2</v>
          </cell>
          <cell r="F434" t="str">
            <v>Folding and finishing procedures?</v>
          </cell>
          <cell r="G434" t="str">
            <v>N/A</v>
          </cell>
          <cell r="I434">
            <v>0</v>
          </cell>
        </row>
        <row r="435">
          <cell r="A435">
            <v>236</v>
          </cell>
          <cell r="B435" t="str">
            <v>f.</v>
          </cell>
          <cell r="C435">
            <v>2</v>
          </cell>
          <cell r="F435" t="str">
            <v>Assembly and distribution of linen?</v>
          </cell>
          <cell r="G435" t="str">
            <v>N/A</v>
          </cell>
          <cell r="I435">
            <v>0</v>
          </cell>
        </row>
        <row r="436">
          <cell r="A436">
            <v>236</v>
          </cell>
          <cell r="B436" t="str">
            <v>g.</v>
          </cell>
          <cell r="C436">
            <v>2</v>
          </cell>
          <cell r="F436" t="str">
            <v>Safety features and devices and their operation on all equipment?</v>
          </cell>
          <cell r="G436" t="str">
            <v>N/A</v>
          </cell>
          <cell r="I436">
            <v>0</v>
          </cell>
        </row>
        <row r="437">
          <cell r="A437">
            <v>236</v>
          </cell>
          <cell r="B437" t="str">
            <v>h.</v>
          </cell>
          <cell r="C437">
            <v>2</v>
          </cell>
          <cell r="F437" t="str">
            <v>How to perform titrations on wash water?</v>
          </cell>
          <cell r="G437" t="str">
            <v>N/A</v>
          </cell>
          <cell r="I437">
            <v>0</v>
          </cell>
        </row>
        <row r="438">
          <cell r="A438">
            <v>236</v>
          </cell>
          <cell r="B438" t="str">
            <v>I.</v>
          </cell>
          <cell r="C438">
            <v>2</v>
          </cell>
          <cell r="F438" t="str">
            <v>Total cost per pound of linen processed?</v>
          </cell>
          <cell r="G438" t="str">
            <v>N/A</v>
          </cell>
          <cell r="I438">
            <v>0</v>
          </cell>
        </row>
        <row r="439">
          <cell r="A439">
            <v>236</v>
          </cell>
          <cell r="B439" t="str">
            <v>j.</v>
          </cell>
          <cell r="C439">
            <v>2</v>
          </cell>
          <cell r="F439" t="str">
            <v>Surgery pack assemby and autoclave procedures?</v>
          </cell>
          <cell r="G439" t="str">
            <v>N/A</v>
          </cell>
          <cell r="I439">
            <v>0</v>
          </cell>
        </row>
        <row r="440">
          <cell r="A440">
            <v>237</v>
          </cell>
          <cell r="C440">
            <v>2</v>
          </cell>
          <cell r="F440" t="str">
            <v>Appearance of manager: professional, grooming, dress?</v>
          </cell>
          <cell r="G440" t="str">
            <v>N/A</v>
          </cell>
          <cell r="I440">
            <v>0</v>
          </cell>
        </row>
        <row r="441">
          <cell r="A441">
            <v>238</v>
          </cell>
          <cell r="C441">
            <v>2</v>
          </cell>
          <cell r="F441" t="str">
            <v>There is a feeling of warmth and high morale on the laundry staff?</v>
          </cell>
          <cell r="G441" t="str">
            <v>N/A</v>
          </cell>
          <cell r="I441">
            <v>0</v>
          </cell>
        </row>
        <row r="442">
          <cell r="A442">
            <v>239</v>
          </cell>
          <cell r="C442">
            <v>2</v>
          </cell>
          <cell r="F442" t="str">
            <v>Manager is proud of the laundry and job he/she is doing?</v>
          </cell>
          <cell r="G442" t="str">
            <v>N/A</v>
          </cell>
          <cell r="I442">
            <v>0</v>
          </cell>
        </row>
        <row r="444">
          <cell r="F444" t="str">
            <v xml:space="preserve">                                                      Total General - Laundry/Linen</v>
          </cell>
          <cell r="G444">
            <v>0</v>
          </cell>
          <cell r="I444">
            <v>0</v>
          </cell>
        </row>
        <row r="445">
          <cell r="F445" t="str">
            <v xml:space="preserve">                                                             Percentage Implemented</v>
          </cell>
          <cell r="G445" t="str">
            <v>N/A</v>
          </cell>
        </row>
        <row r="447">
          <cell r="F447" t="str">
            <v>GENERAL</v>
          </cell>
        </row>
        <row r="448">
          <cell r="F448" t="str">
            <v>MATERIALS MANAGEMENT</v>
          </cell>
        </row>
        <row r="449">
          <cell r="A449">
            <v>240</v>
          </cell>
          <cell r="C449">
            <v>2</v>
          </cell>
          <cell r="F449" t="str">
            <v>Is a monthly savings summary provided to the facility and documented?</v>
          </cell>
          <cell r="G449" t="str">
            <v>N/A</v>
          </cell>
          <cell r="I449">
            <v>0</v>
          </cell>
        </row>
        <row r="450">
          <cell r="A450">
            <v>241</v>
          </cell>
          <cell r="C450">
            <v>2</v>
          </cell>
          <cell r="F450" t="str">
            <v>Is the storeroom (shelves, aisles, bin labels) clean and are work areas neat and organized?</v>
          </cell>
          <cell r="G450" t="str">
            <v>N/A</v>
          </cell>
          <cell r="I450">
            <v>0</v>
          </cell>
        </row>
        <row r="451">
          <cell r="A451">
            <v>242</v>
          </cell>
          <cell r="C451">
            <v>2</v>
          </cell>
          <cell r="F451" t="str">
            <v>Does the Materials Management team contribute to the facility's capital equipment/improvement procurement plans?</v>
          </cell>
          <cell r="G451" t="str">
            <v>N/A</v>
          </cell>
          <cell r="I451">
            <v>0</v>
          </cell>
        </row>
        <row r="452">
          <cell r="A452">
            <v>243</v>
          </cell>
          <cell r="C452">
            <v>2</v>
          </cell>
          <cell r="F452" t="str">
            <v>Does the facility have a product selection value analysis process that demonstrated positive results through documented cost savings?</v>
          </cell>
          <cell r="G452" t="str">
            <v>N/A</v>
          </cell>
          <cell r="I452">
            <v>0</v>
          </cell>
        </row>
        <row r="453">
          <cell r="A453">
            <v>244</v>
          </cell>
          <cell r="C453">
            <v>2</v>
          </cell>
          <cell r="F453" t="str">
            <v>Are there written policies and procedures for all activities (receiving, vendor, backorder notification, etc.)?</v>
          </cell>
          <cell r="G453" t="str">
            <v>N/A</v>
          </cell>
          <cell r="I453">
            <v>0</v>
          </cell>
        </row>
        <row r="454">
          <cell r="A454">
            <v>245</v>
          </cell>
          <cell r="C454">
            <v>2</v>
          </cell>
          <cell r="F454" t="str">
            <v>Is the Materials Management Customer Satisfaction Survey score &gt;85% in each materials management category?</v>
          </cell>
          <cell r="G454" t="str">
            <v>N/A</v>
          </cell>
          <cell r="I454">
            <v>0</v>
          </cell>
        </row>
        <row r="456">
          <cell r="F456" t="str">
            <v xml:space="preserve">                                                             Total General - Materials Management</v>
          </cell>
          <cell r="G456">
            <v>0</v>
          </cell>
          <cell r="I456">
            <v>0</v>
          </cell>
        </row>
        <row r="457">
          <cell r="F457" t="str">
            <v xml:space="preserve">                                                             Percentage Implemented</v>
          </cell>
          <cell r="G457" t="str">
            <v>N/A</v>
          </cell>
        </row>
        <row r="459">
          <cell r="F459" t="str">
            <v>GENERAL</v>
          </cell>
        </row>
        <row r="460">
          <cell r="F460" t="str">
            <v>CLINICAL EQUIPMENT</v>
          </cell>
        </row>
        <row r="462">
          <cell r="A462">
            <v>246</v>
          </cell>
          <cell r="C462">
            <v>2</v>
          </cell>
          <cell r="F462" t="str">
            <v>Does Management utilize a computerized maintenance management system, such as ISIS or equivalent?</v>
          </cell>
          <cell r="G462" t="str">
            <v>N/A</v>
          </cell>
          <cell r="I462">
            <v>0</v>
          </cell>
        </row>
        <row r="463">
          <cell r="A463">
            <v>247</v>
          </cell>
          <cell r="C463">
            <v>2</v>
          </cell>
          <cell r="F463" t="str">
            <v>Is there ready access to service manuals for equipment which is routinely repaired and maintained by the CEM Department?</v>
          </cell>
          <cell r="G463" t="str">
            <v>N/A</v>
          </cell>
          <cell r="I463">
            <v>0</v>
          </cell>
        </row>
        <row r="464">
          <cell r="A464">
            <v>248</v>
          </cell>
          <cell r="C464">
            <v>2</v>
          </cell>
          <cell r="F464" t="str">
            <v>Does the manager routinely visit all departments served by the CEM Department?</v>
          </cell>
          <cell r="G464" t="str">
            <v>N/A</v>
          </cell>
          <cell r="I464">
            <v>0</v>
          </cell>
        </row>
        <row r="466">
          <cell r="F466" t="str">
            <v>GENERAL</v>
          </cell>
        </row>
        <row r="467">
          <cell r="F467" t="str">
            <v>CLINICAL EQUIPMENT (CONTINUED)</v>
          </cell>
        </row>
        <row r="468">
          <cell r="A468">
            <v>249</v>
          </cell>
          <cell r="C468">
            <v>2</v>
          </cell>
          <cell r="F468" t="str">
            <v>Does the department utilize the following ServiceMaster software programs:  Oasis/Web Fast, Network to Knowledge, Lotus Notes E-Mail?  Verify that an antivirus software program is in use on the system and has been updated in the last month?</v>
          </cell>
          <cell r="G468" t="str">
            <v>N/A</v>
          </cell>
          <cell r="I468">
            <v>0</v>
          </cell>
        </row>
        <row r="469">
          <cell r="A469">
            <v>250</v>
          </cell>
          <cell r="C469">
            <v>2</v>
          </cell>
          <cell r="F469" t="str">
            <v>Routinely visits all departments served by the CEM Department?</v>
          </cell>
          <cell r="G469" t="str">
            <v>N/A</v>
          </cell>
          <cell r="I469">
            <v>0</v>
          </cell>
        </row>
        <row r="470">
          <cell r="F470" t="str">
            <v>Program Documentation</v>
          </cell>
        </row>
        <row r="471">
          <cell r="A471">
            <v>251</v>
          </cell>
          <cell r="C471">
            <v>2</v>
          </cell>
          <cell r="F471" t="str">
            <v xml:space="preserve">Does the ServiceMaster CEM "Operations Manual" contain the latest updates?  Have the CEM manager and all department employees initialed a cover sheet indicating that they have reviewed, annually, the contents of the manual, including new additions? (SOPI </v>
          </cell>
          <cell r="G471" t="str">
            <v>N/A</v>
          </cell>
          <cell r="I471">
            <v>0</v>
          </cell>
        </row>
        <row r="472">
          <cell r="A472">
            <v>252</v>
          </cell>
          <cell r="C472">
            <v>2</v>
          </cell>
          <cell r="F472" t="str">
            <v>Does an historical record exists for each item on the most current equipment list? (SOPI 300.1)</v>
          </cell>
          <cell r="G472" t="str">
            <v>N/A</v>
          </cell>
          <cell r="I472">
            <v>0</v>
          </cell>
        </row>
        <row r="473">
          <cell r="A473">
            <v>253</v>
          </cell>
          <cell r="C473">
            <v>2</v>
          </cell>
          <cell r="F473" t="str">
            <v>Are all service manuals filed in a professional manner?  Verify accuracy of entered technical literature data in the computer.</v>
          </cell>
          <cell r="G473" t="str">
            <v>N/A</v>
          </cell>
          <cell r="I473">
            <v>0</v>
          </cell>
        </row>
        <row r="474">
          <cell r="A474">
            <v>254</v>
          </cell>
          <cell r="C474">
            <v>2</v>
          </cell>
          <cell r="F474" t="str">
            <v>Are policies and procedures in place that meet the needs and requirements of the facility, AOA (American Osteopathic Association), state, ServiceMaster, and JCAHO?  Are they reviewed by the CEM Manager and all CEM employees annually?  Verify by a dated an</v>
          </cell>
          <cell r="G474" t="str">
            <v>N/A</v>
          </cell>
          <cell r="I474">
            <v>0</v>
          </cell>
        </row>
        <row r="475">
          <cell r="A475">
            <v>255</v>
          </cell>
          <cell r="C475">
            <v>2</v>
          </cell>
          <cell r="F475" t="str">
            <v>Is there an "On-Call" policy, and can proof of implementation be demonstrated?  (SOPI 300.10)</v>
          </cell>
          <cell r="G475" t="str">
            <v>N/A</v>
          </cell>
          <cell r="I475">
            <v>0</v>
          </cell>
        </row>
        <row r="476">
          <cell r="A476">
            <v>256</v>
          </cell>
          <cell r="C476">
            <v>2</v>
          </cell>
          <cell r="F476" t="str">
            <v xml:space="preserve">Are all operating policies, including the equipment management plan, approved by the facility administrator or their designee on an annual basis?  Verify by a dated sign-off sheet. (SOPI 100.7, SOPI 400.17) </v>
          </cell>
          <cell r="G476" t="str">
            <v>N/A</v>
          </cell>
          <cell r="I476">
            <v>0</v>
          </cell>
        </row>
        <row r="477">
          <cell r="A477">
            <v>257</v>
          </cell>
          <cell r="C477">
            <v>2</v>
          </cell>
          <cell r="F477" t="str">
            <v>Are all CEM Absolutes met?  (SOPI 100.12)</v>
          </cell>
          <cell r="G477" t="str">
            <v>N/A</v>
          </cell>
          <cell r="I477">
            <v>0</v>
          </cell>
        </row>
        <row r="478">
          <cell r="A478">
            <v>258</v>
          </cell>
          <cell r="C478">
            <v>2</v>
          </cell>
          <cell r="F478" t="str">
            <v>Is all test equipment, both ServiceMaster and the facility owned, calibrated annually?  Are certificates on file?  (SOPI 400.11)</v>
          </cell>
          <cell r="G478" t="str">
            <v>N/A</v>
          </cell>
          <cell r="I478">
            <v>0</v>
          </cell>
        </row>
        <row r="479">
          <cell r="A479">
            <v>259</v>
          </cell>
          <cell r="C479">
            <v>2</v>
          </cell>
          <cell r="F479" t="str">
            <v>Is a copy of the original equipment inventory on file?  If present CEM manager is not the original manager, then verify that the inventory is current as of the last amendment or contract renewal.   (SOPI 400.7)</v>
          </cell>
          <cell r="G479" t="str">
            <v>N/A</v>
          </cell>
          <cell r="I479">
            <v>0</v>
          </cell>
        </row>
        <row r="480">
          <cell r="F480" t="str">
            <v>Computer Programs</v>
          </cell>
        </row>
        <row r="481">
          <cell r="A481">
            <v>260</v>
          </cell>
          <cell r="C481">
            <v>2</v>
          </cell>
          <cell r="F481" t="str">
            <v xml:space="preserve"> Are all modules of the ISIS program used?  (SOPI 400.8)</v>
          </cell>
          <cell r="G481" t="str">
            <v>N/A</v>
          </cell>
          <cell r="I481">
            <v>0</v>
          </cell>
        </row>
        <row r="482">
          <cell r="A482">
            <v>261</v>
          </cell>
          <cell r="C482">
            <v>2</v>
          </cell>
          <cell r="F482" t="str">
            <v>Verify that ISIS data transfers with ServiceMaster are performed at least weekly. (SOPI 400.8)</v>
          </cell>
          <cell r="G482" t="str">
            <v>N/A</v>
          </cell>
          <cell r="I482">
            <v>0</v>
          </cell>
        </row>
        <row r="483">
          <cell r="F483" t="str">
            <v>GENERAL</v>
          </cell>
        </row>
        <row r="484">
          <cell r="F484" t="str">
            <v>CLINICAL EQUIPMENT (CONTINUED)</v>
          </cell>
        </row>
        <row r="485">
          <cell r="A485">
            <v>262</v>
          </cell>
          <cell r="C485">
            <v>2</v>
          </cell>
          <cell r="F485" t="str">
            <v>Verify that a system/class/object has been assigned to each piece of equipment in the ISIS system.  If "not listed" object codes are present, check documentation to verify that specific codes have been requested through the 'Network to Knowledge'. (SOPI 4</v>
          </cell>
          <cell r="G485" t="str">
            <v>N/A</v>
          </cell>
          <cell r="I485">
            <v>0</v>
          </cell>
        </row>
        <row r="486">
          <cell r="A486">
            <v>263</v>
          </cell>
          <cell r="C486">
            <v>2</v>
          </cell>
          <cell r="F486" t="str">
            <v>Are installation dates and purchase prices being entered for all equipment added to the inventory since startup?  (SOPI 400.7)</v>
          </cell>
          <cell r="G486" t="str">
            <v>N/A</v>
          </cell>
          <cell r="I486">
            <v>0</v>
          </cell>
        </row>
        <row r="487">
          <cell r="A487">
            <v>264</v>
          </cell>
          <cell r="C487">
            <v>2</v>
          </cell>
          <cell r="F487" t="str">
            <v>Review the "Facility Definition screen on ISIS, and verify that all information is current. (SOPI 400.8)</v>
          </cell>
          <cell r="G487" t="str">
            <v>N/A</v>
          </cell>
          <cell r="I487">
            <v>0</v>
          </cell>
        </row>
        <row r="488">
          <cell r="F488" t="str">
            <v>Management Control</v>
          </cell>
        </row>
        <row r="489">
          <cell r="A489">
            <v>265</v>
          </cell>
          <cell r="C489">
            <v>2</v>
          </cell>
          <cell r="F489" t="str">
            <v>Does the CEM manager understand the ServiceMaster/Facility Agreement, including all exhibits and amendments. (SOPI 100.6)</v>
          </cell>
          <cell r="G489" t="str">
            <v>N/A</v>
          </cell>
          <cell r="I489">
            <v>0</v>
          </cell>
        </row>
        <row r="490">
          <cell r="A490">
            <v>266</v>
          </cell>
          <cell r="C490">
            <v>2</v>
          </cell>
          <cell r="F490" t="str">
            <v>Verify that the CEM manager understands how to add and delete equipment from the inventory.  Compare the last amendment with the agreement.  Check the current inventory, how does it compare to the inventory from one year ago and/or the last amendment?  (S</v>
          </cell>
          <cell r="G490" t="str">
            <v>N/A</v>
          </cell>
          <cell r="I490">
            <v>0</v>
          </cell>
        </row>
        <row r="491">
          <cell r="A491">
            <v>267</v>
          </cell>
          <cell r="C491">
            <v>2</v>
          </cell>
          <cell r="F491" t="str">
            <v>Are monthly CEM department meetings held and documented?  (SOPI 200.5)</v>
          </cell>
          <cell r="G491" t="str">
            <v>N/A</v>
          </cell>
          <cell r="I491">
            <v>0</v>
          </cell>
        </row>
        <row r="492">
          <cell r="A492">
            <v>268</v>
          </cell>
          <cell r="C492">
            <v>2</v>
          </cell>
          <cell r="F492" t="str">
            <v>Are appropriate tools and test equipment available?  Does the CEM department have sufficient space available to perform the work assigned to it?  Are handwashing facilities provided along with adequate ventilation and a proper area for disinfecting and cl</v>
          </cell>
          <cell r="G492" t="str">
            <v>N/A</v>
          </cell>
          <cell r="I492">
            <v>0</v>
          </cell>
        </row>
        <row r="493">
          <cell r="F493" t="str">
            <v>Professional Image</v>
          </cell>
        </row>
        <row r="494">
          <cell r="A494">
            <v>269</v>
          </cell>
          <cell r="C494">
            <v>2</v>
          </cell>
          <cell r="F494" t="str">
            <v>Do all CEM employees present a professional image?  Are they well groomed, wear name tags (according to facility policy) and communicate awith the customer in a professional manner?  (SOPI 100.8)</v>
          </cell>
          <cell r="G494" t="str">
            <v>N/A</v>
          </cell>
          <cell r="I494">
            <v>0</v>
          </cell>
        </row>
        <row r="495">
          <cell r="A495">
            <v>270</v>
          </cell>
          <cell r="C495">
            <v>2</v>
          </cell>
          <cell r="F495" t="str">
            <v>Does the CEM department office/shop area display a professional image?  Are work bench areas organized, with tools and test equipment stored properly?  (SOPI 100.8)</v>
          </cell>
          <cell r="G495" t="str">
            <v>N/A</v>
          </cell>
          <cell r="I495">
            <v>0</v>
          </cell>
        </row>
        <row r="496">
          <cell r="A496">
            <v>271</v>
          </cell>
          <cell r="C496">
            <v>2</v>
          </cell>
          <cell r="F496" t="str">
            <v>Do CEM employees present a positive attitude toward ServiceMaster, their facility and the CEM program?  Do they continually seek opportunities to improve the CEM program and the department's image?  (SOPI 100.8)</v>
          </cell>
          <cell r="G496" t="str">
            <v>N/A</v>
          </cell>
          <cell r="I496">
            <v>0</v>
          </cell>
        </row>
        <row r="497">
          <cell r="A497">
            <v>272</v>
          </cell>
          <cell r="C497">
            <v>2</v>
          </cell>
          <cell r="F497" t="str">
            <v>Do CEM employees maintain active participation in local or national organizations such as AAMI, ASHE, Local Biomedical Societies, etc. (SOPI 100.8, SOPI 200.6)</v>
          </cell>
          <cell r="G497" t="str">
            <v>N/A</v>
          </cell>
          <cell r="I497">
            <v>0</v>
          </cell>
        </row>
        <row r="498">
          <cell r="A498">
            <v>273</v>
          </cell>
          <cell r="C498">
            <v>2</v>
          </cell>
          <cell r="F498" t="str">
            <v>Do CEM employees know and follow the rules and regulations established regarding safety, excessive noise, and entering patient rooms, surgery, and special care units?  (SOPI 100.13)</v>
          </cell>
          <cell r="G498" t="str">
            <v>N/A</v>
          </cell>
          <cell r="I498">
            <v>0</v>
          </cell>
        </row>
        <row r="499">
          <cell r="F499" t="str">
            <v>Financial</v>
          </cell>
        </row>
        <row r="500">
          <cell r="A500">
            <v>274</v>
          </cell>
          <cell r="C500">
            <v>2</v>
          </cell>
          <cell r="F500" t="str">
            <v>Are monthly "WebFast" reports reviewed for accuracy?  Does the CEM manager review budget/financial discrepancies with the DO?  (SOPI 500.14)</v>
          </cell>
          <cell r="G500" t="str">
            <v>N/A</v>
          </cell>
          <cell r="I500">
            <v>0</v>
          </cell>
        </row>
        <row r="501">
          <cell r="A501">
            <v>275</v>
          </cell>
          <cell r="C501">
            <v>2</v>
          </cell>
          <cell r="F501" t="str">
            <v>Does a purchase order processing policy exist?  Does it include purchase order number, date of order, vendor name, person placing order and accepting order, expected delivery date, follow-up on open purchase orders, date of completion, date invoice is rec</v>
          </cell>
          <cell r="G501" t="str">
            <v>N/A</v>
          </cell>
          <cell r="I501">
            <v>0</v>
          </cell>
        </row>
        <row r="502">
          <cell r="A502">
            <v>276</v>
          </cell>
          <cell r="C502">
            <v>2</v>
          </cell>
          <cell r="F502" t="str">
            <v>Does the CEM manager understand his responsibilities for state sales tax?  (SOPI 500.1, SOPI 500.2, SOPI 500.10, SOPI 500.11)</v>
          </cell>
          <cell r="G502" t="str">
            <v>N/A</v>
          </cell>
          <cell r="I502">
            <v>0</v>
          </cell>
        </row>
        <row r="503">
          <cell r="A503">
            <v>277</v>
          </cell>
          <cell r="C503">
            <v>2</v>
          </cell>
          <cell r="F503" t="str">
            <v>Are follow-ups being accomplished for open purchase orders and invoices not received and for non-payment of ServiceMaster invoices?  (SOPI 500.5, SOPI 500.12)</v>
          </cell>
          <cell r="G503" t="str">
            <v>N/A</v>
          </cell>
          <cell r="I503">
            <v>0</v>
          </cell>
        </row>
        <row r="504">
          <cell r="A504">
            <v>278</v>
          </cell>
          <cell r="C504">
            <v>2</v>
          </cell>
          <cell r="F504" t="str">
            <v>Are ServiceMaster invoices properly coded, submitted on time and mailed to the proper office for payment, and processed through the ISIS program?  (SOPI 500.12)</v>
          </cell>
          <cell r="G504" t="str">
            <v>N/A</v>
          </cell>
          <cell r="I504">
            <v>0</v>
          </cell>
        </row>
        <row r="505">
          <cell r="A505">
            <v>279</v>
          </cell>
          <cell r="C505">
            <v>2</v>
          </cell>
          <cell r="F505" t="str">
            <v>Are vendor contracts being tracked for renewal and cost effectiveness through the use of the Contract Module of ISIS?  (SOPI 500.12)</v>
          </cell>
          <cell r="G505" t="str">
            <v>N/A</v>
          </cell>
          <cell r="I505">
            <v>0</v>
          </cell>
        </row>
        <row r="506">
          <cell r="F506" t="str">
            <v>GENERAL</v>
          </cell>
        </row>
        <row r="507">
          <cell r="F507" t="str">
            <v>CLINICAL EQUIPMENT (CONTINUED)</v>
          </cell>
        </row>
        <row r="508">
          <cell r="F508" t="str">
            <v>Financial (Continued)</v>
          </cell>
        </row>
        <row r="509">
          <cell r="A509">
            <v>280</v>
          </cell>
          <cell r="C509">
            <v>2</v>
          </cell>
          <cell r="F509" t="str">
            <v xml:space="preserve">Does the CEM manager make use of the Technical Resoource Center (TRC), ServiceMaster discounts (1-800-NEW-TUBE) etc?  (SOPI 400.8, SOPI 500.5, SOPI 500.7) </v>
          </cell>
          <cell r="G509" t="str">
            <v>N/A</v>
          </cell>
          <cell r="I509">
            <v>0</v>
          </cell>
        </row>
        <row r="510">
          <cell r="A510">
            <v>281</v>
          </cell>
          <cell r="C510">
            <v>2</v>
          </cell>
          <cell r="F510" t="str">
            <v>Did the CEM manager prepare and submit the ServiceMaster annual budget in a timely manner?  SOPI 400.8)</v>
          </cell>
          <cell r="G510" t="str">
            <v>N/A</v>
          </cell>
          <cell r="I510">
            <v>0</v>
          </cell>
        </row>
        <row r="511">
          <cell r="A511">
            <v>282</v>
          </cell>
          <cell r="C511">
            <v>2</v>
          </cell>
          <cell r="F511" t="str">
            <v>Is there an inventory control procedure in place?  (SOPI 500.4)</v>
          </cell>
          <cell r="G511" t="str">
            <v>N/A</v>
          </cell>
          <cell r="I511">
            <v>0</v>
          </cell>
        </row>
        <row r="512">
          <cell r="A512">
            <v>283</v>
          </cell>
          <cell r="C512">
            <v>2</v>
          </cell>
          <cell r="F512" t="str">
            <v>Do all contracts go through the contract review process, which includes obtaining a Self Insurance Pool quotation? (SOPI 500.15)</v>
          </cell>
          <cell r="G512" t="str">
            <v>N/A</v>
          </cell>
          <cell r="I512">
            <v>0</v>
          </cell>
        </row>
        <row r="513">
          <cell r="C513">
            <v>2</v>
          </cell>
          <cell r="F513" t="str">
            <v>Marketing/Administrative</v>
          </cell>
        </row>
        <row r="514">
          <cell r="A514">
            <v>284</v>
          </cell>
          <cell r="C514">
            <v>2</v>
          </cell>
          <cell r="F514" t="str">
            <v>Does documentation exist indicating the results of a user evaluation survey within the past twelve months?  Have positive steps been taken to correct discrepancies and/or perceived shortcomings? (SOPI 300.4)</v>
          </cell>
          <cell r="G514" t="str">
            <v>N/A</v>
          </cell>
          <cell r="I514">
            <v>0</v>
          </cell>
        </row>
        <row r="515">
          <cell r="A515">
            <v>285</v>
          </cell>
          <cell r="C515">
            <v>2</v>
          </cell>
          <cell r="F515" t="str">
            <v>Are the results of the user evaluation survey presented to administration?  Verify documentation. (SOPI 300.4)</v>
          </cell>
          <cell r="G515" t="str">
            <v>N/A</v>
          </cell>
          <cell r="I515">
            <v>0</v>
          </cell>
        </row>
        <row r="516">
          <cell r="A516">
            <v>286</v>
          </cell>
          <cell r="C516">
            <v>2</v>
          </cell>
          <cell r="F516" t="str">
            <v>Are ServiceMaster cost savings to the facility documented?  Are they part of the APR and Monthly Summary (MJR)? (SOPI 100.5, SOPI 100.11)</v>
          </cell>
          <cell r="G516" t="str">
            <v>N/A</v>
          </cell>
          <cell r="I516">
            <v>0</v>
          </cell>
        </row>
        <row r="517">
          <cell r="A517">
            <v>287</v>
          </cell>
          <cell r="C517">
            <v>2</v>
          </cell>
          <cell r="F517" t="str">
            <v>Has the Director of Operations, TSR or CEM manager presented, in the past 12 months, any new programs, ideas, service or cost savings projects to administration? (SOPI 100.6)</v>
          </cell>
          <cell r="G517" t="str">
            <v>N/A</v>
          </cell>
          <cell r="I517">
            <v>0</v>
          </cell>
        </row>
        <row r="518">
          <cell r="A518">
            <v>288</v>
          </cell>
          <cell r="C518">
            <v>2</v>
          </cell>
          <cell r="F518" t="str">
            <v>The CEM manager is familiar with the three highest priority expectations that Administration has deemed.  Documentation exists that the CEM manager is taking steps to accomplish these priorities.  Is the list reviewed and updated with Administration annua</v>
          </cell>
          <cell r="G518" t="str">
            <v>N/A</v>
          </cell>
          <cell r="I518">
            <v>0</v>
          </cell>
        </row>
        <row r="519">
          <cell r="A519">
            <v>289</v>
          </cell>
          <cell r="C519">
            <v>2</v>
          </cell>
          <cell r="F519" t="str">
            <v>Does administration feel satisfied with CEM program value? (SOPI 100.5, SOPI 100.8, SOPI 100.9)</v>
          </cell>
          <cell r="G519" t="str">
            <v>N/A</v>
          </cell>
          <cell r="I519">
            <v>0</v>
          </cell>
        </row>
        <row r="520">
          <cell r="A520">
            <v>290</v>
          </cell>
          <cell r="C520">
            <v>2</v>
          </cell>
          <cell r="F520" t="str">
            <v>Does administration feel satisfied with CEM cost savings? (SOPI 100.5, SOPI 100.8, SOPI 100.9)</v>
          </cell>
          <cell r="G520" t="str">
            <v>N/A</v>
          </cell>
          <cell r="I520">
            <v>0</v>
          </cell>
        </row>
        <row r="521">
          <cell r="A521">
            <v>291</v>
          </cell>
          <cell r="C521">
            <v>2</v>
          </cell>
          <cell r="F521" t="str">
            <v>Does administration feel satisfied with CEM department relationships with facility cost centers? (SOPI 100.5, SOPI 100.8, SOPI 100.9)</v>
          </cell>
          <cell r="G521" t="str">
            <v>N/A</v>
          </cell>
          <cell r="I521">
            <v>0</v>
          </cell>
        </row>
        <row r="522">
          <cell r="A522">
            <v>292</v>
          </cell>
          <cell r="C522">
            <v>2</v>
          </cell>
          <cell r="F522" t="str">
            <v>Does Administration feel satisfied with the organization and professionalism of the CEM department? (SOPI 100.5, SOPI 100.8, SOPI 100.9)</v>
          </cell>
          <cell r="G522" t="str">
            <v>N/A</v>
          </cell>
          <cell r="I522">
            <v>0</v>
          </cell>
        </row>
        <row r="523">
          <cell r="F523" t="str">
            <v>CEM Facility Tour</v>
          </cell>
        </row>
        <row r="524">
          <cell r="A524">
            <v>293</v>
          </cell>
          <cell r="C524">
            <v>2</v>
          </cell>
          <cell r="F524" t="str">
            <v>Appraiser and CEM manager will tour facility.  At random, appraiser will interview facility personnel in different cost centers as to their perception of the following:</v>
          </cell>
          <cell r="G524" t="str">
            <v>N/A</v>
          </cell>
          <cell r="I524">
            <v>0</v>
          </cell>
        </row>
        <row r="525">
          <cell r="A525">
            <v>293</v>
          </cell>
          <cell r="B525" t="str">
            <v>a.</v>
          </cell>
          <cell r="C525">
            <v>2</v>
          </cell>
          <cell r="F525" t="str">
            <v>Does each cost center have a copy of their inventory and PM schedule? (SOPI 400.7, SOPI 400.10)</v>
          </cell>
          <cell r="G525" t="str">
            <v>N/A</v>
          </cell>
          <cell r="I525">
            <v>0</v>
          </cell>
        </row>
        <row r="526">
          <cell r="A526">
            <v>293</v>
          </cell>
          <cell r="B526" t="str">
            <v>b.</v>
          </cell>
          <cell r="C526">
            <v>2</v>
          </cell>
          <cell r="F526" t="str">
            <v>Do personnel know how to obtain equipment repair services, including after hours? (SOPI 300.14, SOPI 300.10, EC 1.8, EC 2.7)</v>
          </cell>
          <cell r="G526" t="str">
            <v>N/A</v>
          </cell>
          <cell r="I526">
            <v>0</v>
          </cell>
        </row>
        <row r="527">
          <cell r="A527">
            <v>293</v>
          </cell>
          <cell r="B527" t="str">
            <v>c.</v>
          </cell>
          <cell r="C527">
            <v>2</v>
          </cell>
          <cell r="F527" t="str">
            <v>Are personnel familiar with the CEM department, manager and technicians? (SOPI 300.7, SOPI 400.3)</v>
          </cell>
          <cell r="G527" t="str">
            <v>N/A</v>
          </cell>
          <cell r="I527">
            <v>0</v>
          </cell>
        </row>
        <row r="528">
          <cell r="A528">
            <v>293</v>
          </cell>
          <cell r="B528" t="str">
            <v>d.</v>
          </cell>
          <cell r="C528">
            <v>2</v>
          </cell>
          <cell r="F528" t="str">
            <v>Are the users of clinical equipment familiar with hospital policies on the use of extension cords and adapters? (SOPI 300.12)</v>
          </cell>
          <cell r="G528" t="str">
            <v>N/A</v>
          </cell>
          <cell r="I528">
            <v>0</v>
          </cell>
        </row>
        <row r="529">
          <cell r="A529">
            <v>293</v>
          </cell>
          <cell r="B529" t="str">
            <v>e.</v>
          </cell>
          <cell r="C529">
            <v>2</v>
          </cell>
          <cell r="F529" t="str">
            <v>Are cost center personnel aware of the incoming equipment inspection policy?  Do they contact the CEM department before using equipment that may have been delivered directly to their department? (SOPI 300.15, EC 1.8)</v>
          </cell>
          <cell r="G529" t="str">
            <v>N/A</v>
          </cell>
          <cell r="I529">
            <v>0</v>
          </cell>
        </row>
        <row r="530">
          <cell r="A530">
            <v>293</v>
          </cell>
          <cell r="B530" t="str">
            <v>f.</v>
          </cell>
          <cell r="C530">
            <v>2</v>
          </cell>
          <cell r="F530" t="str">
            <v>Do personnel know how to obtain training on new equipment? (SOPI 200.6, SOPI 300.5, EC 1.8, EC 2.7)</v>
          </cell>
          <cell r="G530" t="str">
            <v>N/A</v>
          </cell>
          <cell r="I530">
            <v>0</v>
          </cell>
        </row>
        <row r="531">
          <cell r="A531">
            <v>293</v>
          </cell>
          <cell r="B531" t="str">
            <v>g.</v>
          </cell>
          <cell r="C531">
            <v>2</v>
          </cell>
          <cell r="F531" t="str">
            <v>Do CEM department personnel make rounds on a routine basis? (SOPI 300.7)</v>
          </cell>
          <cell r="G531" t="str">
            <v>N/A</v>
          </cell>
          <cell r="I531">
            <v>0</v>
          </cell>
        </row>
        <row r="533">
          <cell r="F533" t="str">
            <v xml:space="preserve">                                               Total General - Clinical Equipment</v>
          </cell>
          <cell r="G533">
            <v>0</v>
          </cell>
          <cell r="I533">
            <v>0</v>
          </cell>
        </row>
        <row r="534">
          <cell r="F534" t="str">
            <v xml:space="preserve">                                                             Percentage Implemented</v>
          </cell>
          <cell r="G534" t="str">
            <v>N/A</v>
          </cell>
        </row>
        <row r="536">
          <cell r="F536" t="str">
            <v>GENERAL</v>
          </cell>
        </row>
        <row r="537">
          <cell r="F537" t="str">
            <v>INTEGRATED SERVICE</v>
          </cell>
        </row>
        <row r="538">
          <cell r="A538">
            <v>294</v>
          </cell>
          <cell r="C538">
            <v>2</v>
          </cell>
          <cell r="F538" t="str">
            <v>An Organization Development Plan is in place and being monitored and adjusted as the Integrated Service Process is implemented.</v>
          </cell>
          <cell r="G538" t="str">
            <v>N/A</v>
          </cell>
          <cell r="I538">
            <v>0</v>
          </cell>
        </row>
        <row r="539">
          <cell r="A539">
            <v>295</v>
          </cell>
          <cell r="C539">
            <v>2</v>
          </cell>
          <cell r="F539" t="str">
            <v>There are tangible examples of multi-skilling present (PSA, TSA).</v>
          </cell>
          <cell r="G539" t="str">
            <v>N/A</v>
          </cell>
          <cell r="I539">
            <v>0</v>
          </cell>
        </row>
        <row r="540">
          <cell r="A540">
            <v>296</v>
          </cell>
          <cell r="C540">
            <v>2</v>
          </cell>
          <cell r="F540" t="str">
            <v>A Business Plan is being followed for Technical Service, Materials/Logistics and Hospitality Services.</v>
          </cell>
          <cell r="G540" t="str">
            <v>N/A</v>
          </cell>
          <cell r="I540">
            <v>0</v>
          </cell>
        </row>
        <row r="541">
          <cell r="A541">
            <v>297</v>
          </cell>
          <cell r="C541">
            <v>2</v>
          </cell>
          <cell r="F541" t="str">
            <v>The Integrated Service Center is in place and functioning as the hub of I.S. activity.</v>
          </cell>
          <cell r="G541" t="str">
            <v>N/A</v>
          </cell>
          <cell r="I541">
            <v>0</v>
          </cell>
        </row>
        <row r="542">
          <cell r="A542">
            <v>298</v>
          </cell>
          <cell r="C542">
            <v>2</v>
          </cell>
          <cell r="F542" t="str">
            <v>Applicable Line of Service Absolutes are in place.</v>
          </cell>
          <cell r="G542" t="str">
            <v>N/A</v>
          </cell>
          <cell r="I542">
            <v>0</v>
          </cell>
        </row>
        <row r="543">
          <cell r="A543">
            <v>299</v>
          </cell>
          <cell r="C543">
            <v>2</v>
          </cell>
          <cell r="F543" t="str">
            <v>The I.S. organization as defined by the Business Plan has been implemented.</v>
          </cell>
          <cell r="G543" t="str">
            <v>N/A</v>
          </cell>
          <cell r="I543">
            <v>0</v>
          </cell>
        </row>
        <row r="544">
          <cell r="A544">
            <v>300</v>
          </cell>
          <cell r="C544">
            <v>2</v>
          </cell>
          <cell r="F544" t="str">
            <v>An Executive Information System such as ISIS is being utilized .</v>
          </cell>
          <cell r="G544" t="str">
            <v>N/A</v>
          </cell>
          <cell r="I544">
            <v>0</v>
          </cell>
        </row>
        <row r="545">
          <cell r="A545">
            <v>301</v>
          </cell>
          <cell r="C545">
            <v>2</v>
          </cell>
          <cell r="F545" t="str">
            <v>An Integrated Service mission has been developed and is being communicated throughout the organization.</v>
          </cell>
          <cell r="G545" t="str">
            <v>N/A</v>
          </cell>
          <cell r="I545">
            <v>0</v>
          </cell>
        </row>
        <row r="546">
          <cell r="A546">
            <v>302</v>
          </cell>
          <cell r="C546">
            <v>2</v>
          </cell>
          <cell r="F546" t="str">
            <v>Value is being measured in accordance with the I.S. value equation.  Value = (Quality *Service Volume)/Cost</v>
          </cell>
          <cell r="G546" t="str">
            <v>N/A</v>
          </cell>
          <cell r="I546">
            <v>0</v>
          </cell>
        </row>
        <row r="547">
          <cell r="A547">
            <v>303</v>
          </cell>
          <cell r="C547">
            <v>2</v>
          </cell>
          <cell r="F547" t="str">
            <v>Hospital/Health System and ServiceMaster financial budgets and commitments are being met.</v>
          </cell>
          <cell r="G547" t="str">
            <v>N/A</v>
          </cell>
          <cell r="I547">
            <v>0</v>
          </cell>
        </row>
        <row r="548">
          <cell r="A548">
            <v>304</v>
          </cell>
          <cell r="C548">
            <v>2</v>
          </cell>
          <cell r="F548" t="str">
            <v>There is tangible evidence of the I.S. team commitment to the promotion of Healthier Communities.</v>
          </cell>
          <cell r="G548" t="str">
            <v>N/A</v>
          </cell>
          <cell r="I548">
            <v>0</v>
          </cell>
        </row>
        <row r="550">
          <cell r="F550" t="str">
            <v xml:space="preserve">                                                Total General - Integrated Service</v>
          </cell>
          <cell r="G550">
            <v>0</v>
          </cell>
          <cell r="I550">
            <v>0</v>
          </cell>
        </row>
        <row r="551">
          <cell r="F551" t="str">
            <v xml:space="preserve">                                                             Percentage Implemented</v>
          </cell>
          <cell r="G551" t="str">
            <v>N/A</v>
          </cell>
        </row>
        <row r="554">
          <cell r="F554" t="str">
            <v xml:space="preserve"> Total General</v>
          </cell>
          <cell r="G554">
            <v>172</v>
          </cell>
          <cell r="I554">
            <v>172</v>
          </cell>
        </row>
        <row r="556">
          <cell r="F556" t="str">
            <v>Total Percentage Implemented Management</v>
          </cell>
          <cell r="G556">
            <v>1</v>
          </cell>
        </row>
        <row r="557">
          <cell r="C557">
            <v>2</v>
          </cell>
        </row>
      </sheetData>
      <sheetData sheetId="4" refreshError="1">
        <row r="1">
          <cell r="A1" t="str">
            <v>ServiceMaster Management Services</v>
          </cell>
          <cell r="F1" t="str">
            <v>ServiceMaster Management Services</v>
          </cell>
          <cell r="J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v>2001</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row>
        <row r="8">
          <cell r="A8" t="str">
            <v>1.</v>
          </cell>
          <cell r="D8">
            <v>1</v>
          </cell>
          <cell r="F8" t="str">
            <v>ALL</v>
          </cell>
          <cell r="G8" t="str">
            <v>Score</v>
          </cell>
          <cell r="H8">
            <v>1</v>
          </cell>
          <cell r="I8" t="str">
            <v>Score</v>
          </cell>
          <cell r="J8">
            <v>1</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row>
        <row r="10">
          <cell r="A10">
            <v>1</v>
          </cell>
          <cell r="B10" t="str">
            <v>Training - Training items relative to everyone</v>
          </cell>
          <cell r="C10">
            <v>1</v>
          </cell>
          <cell r="D10">
            <v>1</v>
          </cell>
          <cell r="F10" t="str">
            <v xml:space="preserve">Do all new employees receive an initial orientation (Must be Documented) to their job and the department before work begins?   (Orientation Checklist)  </v>
          </cell>
          <cell r="G10">
            <v>1</v>
          </cell>
          <cell r="H10">
            <v>1</v>
          </cell>
          <cell r="I10">
            <v>1</v>
          </cell>
          <cell r="J10">
            <v>1</v>
          </cell>
        </row>
        <row r="11">
          <cell r="A11">
            <v>2</v>
          </cell>
          <cell r="B11" t="str">
            <v>People - ServiceMaster Hourly Employees Only</v>
          </cell>
          <cell r="C11">
            <v>1</v>
          </cell>
          <cell r="D11">
            <v>1</v>
          </cell>
          <cell r="F11" t="str">
            <v>Do new employees receive an initial safety orientation prior to start of work? (EC 1.3)</v>
          </cell>
          <cell r="G11">
            <v>1</v>
          </cell>
          <cell r="H11">
            <v>1</v>
          </cell>
          <cell r="I11">
            <v>1</v>
          </cell>
          <cell r="J11">
            <v>1</v>
          </cell>
        </row>
        <row r="12">
          <cell r="A12">
            <v>3</v>
          </cell>
          <cell r="B12" t="str">
            <v>Risk - Covers risk and liability issues</v>
          </cell>
          <cell r="C12">
            <v>1</v>
          </cell>
          <cell r="D12">
            <v>1</v>
          </cell>
          <cell r="F12" t="str">
            <v>Is there a follow-up safety orientation within the first 90 days of employment?(EC 1.3)</v>
          </cell>
          <cell r="G12">
            <v>1</v>
          </cell>
          <cell r="H12">
            <v>1</v>
          </cell>
          <cell r="I12">
            <v>1</v>
          </cell>
          <cell r="J12">
            <v>1</v>
          </cell>
        </row>
        <row r="13">
          <cell r="A13">
            <v>4</v>
          </cell>
          <cell r="B13" t="str">
            <v>a.</v>
          </cell>
          <cell r="C13">
            <v>1</v>
          </cell>
          <cell r="D13">
            <v>1</v>
          </cell>
          <cell r="F13" t="str">
            <v>Is annual Safety Tool Kit Training scheduled?  (SMSTK-Hazcom/Hazmat/LOTO/PPE/Bloodborne/Asbestos/Respiratory Protection/Confined Space/Fall Protection/Electrical Safety) (Using provided materials).  Is there documentation of this training?</v>
          </cell>
          <cell r="G13">
            <v>1</v>
          </cell>
          <cell r="H13">
            <v>1</v>
          </cell>
          <cell r="I13">
            <v>1</v>
          </cell>
          <cell r="J13">
            <v>1</v>
          </cell>
        </row>
        <row r="14">
          <cell r="A14">
            <v>4</v>
          </cell>
          <cell r="B14" t="str">
            <v>b.</v>
          </cell>
          <cell r="C14">
            <v>1</v>
          </cell>
          <cell r="D14">
            <v>1</v>
          </cell>
          <cell r="F14" t="str">
            <v xml:space="preserve">Are all safety training sessions for service workers conducted by certified instructors?   </v>
          </cell>
          <cell r="G14">
            <v>1</v>
          </cell>
          <cell r="H14">
            <v>1</v>
          </cell>
          <cell r="I14">
            <v>1</v>
          </cell>
          <cell r="J14">
            <v>1</v>
          </cell>
        </row>
        <row r="15">
          <cell r="A15">
            <v>4</v>
          </cell>
          <cell r="B15" t="str">
            <v>c.</v>
          </cell>
          <cell r="C15">
            <v>1</v>
          </cell>
          <cell r="D15">
            <v>0</v>
          </cell>
          <cell r="F15" t="str">
            <v>Have copies of SMSTK training sign-in sheets been sent to One ServiceMaster Way to the attention of the Safety Department?</v>
          </cell>
          <cell r="G15">
            <v>1</v>
          </cell>
          <cell r="H15">
            <v>1</v>
          </cell>
          <cell r="I15">
            <v>1</v>
          </cell>
          <cell r="J15">
            <v>1</v>
          </cell>
        </row>
        <row r="16">
          <cell r="A16">
            <v>5</v>
          </cell>
          <cell r="B16" t="str">
            <v>COVER PAGE - PROGRAM SET UP</v>
          </cell>
          <cell r="C16">
            <v>1</v>
          </cell>
          <cell r="D16">
            <v>1</v>
          </cell>
          <cell r="F16" t="str">
            <v xml:space="preserve">Have all department employees been instructed regarding their duties involving fire, disaster, bomb threat, and evacuation?  (SOPI: 300.9) </v>
          </cell>
          <cell r="G16">
            <v>1</v>
          </cell>
          <cell r="H16">
            <v>7</v>
          </cell>
          <cell r="I16">
            <v>1</v>
          </cell>
          <cell r="J16">
            <v>7</v>
          </cell>
        </row>
        <row r="17">
          <cell r="A17">
            <v>6</v>
          </cell>
          <cell r="B17" t="str">
            <v>1.  Select Services</v>
          </cell>
          <cell r="C17">
            <v>1</v>
          </cell>
          <cell r="D17">
            <v>1</v>
          </cell>
          <cell r="F17" t="str">
            <v>Are employee training programs and Team Meetings scheduled in advance on the appropriate form or equivalent facility form?</v>
          </cell>
          <cell r="G17">
            <v>1</v>
          </cell>
          <cell r="H17">
            <v>1</v>
          </cell>
          <cell r="I17">
            <v>1</v>
          </cell>
          <cell r="J17">
            <v>1</v>
          </cell>
        </row>
        <row r="18">
          <cell r="A18">
            <v>7</v>
          </cell>
          <cell r="B18" t="str">
            <v>2.  Select Payroll   (May be both Facility and ServiceMaster)</v>
          </cell>
          <cell r="C18">
            <v>1</v>
          </cell>
          <cell r="D18">
            <v>1</v>
          </cell>
          <cell r="F18" t="str">
            <v>Do all department employees receive an appraisal/review at least once a year, and are objectives being set? Verify that a follow-up is accomplished with each employee regarding goals and objectives prior to the next appraisal. (Facility/ServiceMaster/Mang</v>
          </cell>
          <cell r="G18">
            <v>1</v>
          </cell>
          <cell r="H18">
            <v>1</v>
          </cell>
          <cell r="I18">
            <v>1</v>
          </cell>
          <cell r="J18">
            <v>1</v>
          </cell>
        </row>
        <row r="19">
          <cell r="A19">
            <v>8</v>
          </cell>
          <cell r="B19" t="str">
            <v>3.  Select Market</v>
          </cell>
          <cell r="C19">
            <v>1</v>
          </cell>
          <cell r="D19">
            <v>1</v>
          </cell>
          <cell r="F19" t="str">
            <v>Is individual training documented on the Training History portion of the Employee module and are group meetings documented in the Meetings portion of the Employee module?</v>
          </cell>
          <cell r="G19">
            <v>1</v>
          </cell>
          <cell r="H19">
            <v>1</v>
          </cell>
          <cell r="I19">
            <v>1</v>
          </cell>
          <cell r="J19">
            <v>1</v>
          </cell>
        </row>
        <row r="20">
          <cell r="A20">
            <v>9</v>
          </cell>
          <cell r="B20" t="str">
            <v>4.  Click on Red and Grey box - Program will automatically score questions you are responsible for as a "1"</v>
          </cell>
          <cell r="C20">
            <v>1</v>
          </cell>
          <cell r="D20">
            <v>1</v>
          </cell>
          <cell r="F20" t="str">
            <v>Is regular re-training provided for all employees within the last 6 months, and is the training documented in their personnel records?</v>
          </cell>
          <cell r="G20">
            <v>1</v>
          </cell>
          <cell r="H20">
            <v>1</v>
          </cell>
          <cell r="I20">
            <v>1</v>
          </cell>
          <cell r="J20">
            <v>1</v>
          </cell>
        </row>
        <row r="21">
          <cell r="A21">
            <v>10</v>
          </cell>
          <cell r="B21" t="str">
            <v>5.  To start over click Green and Grey box - Program will automatically "N/A" every question</v>
          </cell>
          <cell r="C21">
            <v>1</v>
          </cell>
          <cell r="D21">
            <v>1</v>
          </cell>
          <cell r="F21" t="str">
            <v>"Feeding the Roots" program completed with written competencies.</v>
          </cell>
          <cell r="G21">
            <v>1</v>
          </cell>
          <cell r="H21">
            <v>1</v>
          </cell>
          <cell r="I21">
            <v>1</v>
          </cell>
          <cell r="J21">
            <v>1</v>
          </cell>
        </row>
        <row r="22">
          <cell r="A22">
            <v>11</v>
          </cell>
          <cell r="B22" t="str">
            <v>6.  To Print - Click Yellow and Grey Box - Program will print entire QPQ, Score Sheet, Action Plan, and Graphs</v>
          </cell>
          <cell r="C22">
            <v>1</v>
          </cell>
          <cell r="D22">
            <v>2</v>
          </cell>
          <cell r="F22" t="str">
            <v>Is the Career Development Program implemented for the staff?</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 xml:space="preserve">                                                                 Total Training</v>
          </cell>
          <cell r="G24">
            <v>13</v>
          </cell>
          <cell r="H24">
            <v>0</v>
          </cell>
          <cell r="I24">
            <v>13</v>
          </cell>
          <cell r="J24">
            <v>0</v>
          </cell>
        </row>
        <row r="25">
          <cell r="A25">
            <v>15</v>
          </cell>
          <cell r="D25">
            <v>1</v>
          </cell>
          <cell r="F25" t="str">
            <v xml:space="preserve">                                                                  Percentage Implemented</v>
          </cell>
          <cell r="G25">
            <v>1</v>
          </cell>
          <cell r="H25" t="str">
            <v>N/A</v>
          </cell>
          <cell r="J25">
            <v>1</v>
          </cell>
        </row>
        <row r="26">
          <cell r="J26">
            <v>1</v>
          </cell>
        </row>
        <row r="27">
          <cell r="J27">
            <v>1</v>
          </cell>
        </row>
        <row r="28">
          <cell r="J28" t="str">
            <v>Possible</v>
          </cell>
        </row>
        <row r="29">
          <cell r="J29" t="str">
            <v>Score</v>
          </cell>
        </row>
        <row r="30">
          <cell r="J30">
            <v>1</v>
          </cell>
        </row>
        <row r="31">
          <cell r="J31">
            <v>0</v>
          </cell>
        </row>
        <row r="32">
          <cell r="J32">
            <v>0</v>
          </cell>
        </row>
        <row r="33">
          <cell r="J33">
            <v>0</v>
          </cell>
        </row>
        <row r="35">
          <cell r="J35">
            <v>19</v>
          </cell>
        </row>
        <row r="36">
          <cell r="J36">
            <v>0</v>
          </cell>
        </row>
        <row r="37">
          <cell r="J37">
            <v>1</v>
          </cell>
        </row>
        <row r="38">
          <cell r="J38">
            <v>1</v>
          </cell>
        </row>
        <row r="39">
          <cell r="J39" t="str">
            <v>Score</v>
          </cell>
        </row>
        <row r="42">
          <cell r="J42">
            <v>1</v>
          </cell>
        </row>
        <row r="43">
          <cell r="J43">
            <v>1</v>
          </cell>
        </row>
        <row r="44">
          <cell r="J44">
            <v>1</v>
          </cell>
        </row>
        <row r="45">
          <cell r="J45">
            <v>1</v>
          </cell>
        </row>
      </sheetData>
      <sheetData sheetId="5" refreshError="1">
        <row r="1">
          <cell r="A1" t="str">
            <v>ServiceMaster Management Services</v>
          </cell>
          <cell r="F1" t="str">
            <v>ServiceMaster Management Services</v>
          </cell>
          <cell r="J1">
            <v>0</v>
          </cell>
          <cell r="K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t="str">
            <v>GENERAL (ALL EMPLOYEES - SM OR FACILITY)</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cell r="K7" t="str">
            <v>All</v>
          </cell>
        </row>
        <row r="8">
          <cell r="A8" t="str">
            <v>1.</v>
          </cell>
          <cell r="D8">
            <v>1</v>
          </cell>
          <cell r="F8" t="str">
            <v xml:space="preserve">Are accurate facility job descriptions reviewed, and approved by Administration for all current positions?  </v>
          </cell>
          <cell r="G8" t="str">
            <v>Score</v>
          </cell>
          <cell r="H8">
            <v>1</v>
          </cell>
          <cell r="I8" t="str">
            <v>Score</v>
          </cell>
          <cell r="J8">
            <v>1</v>
          </cell>
          <cell r="K8" t="str">
            <v>All</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cell r="K9" t="str">
            <v>All</v>
          </cell>
        </row>
        <row r="10">
          <cell r="A10">
            <v>3</v>
          </cell>
          <cell r="B10" t="str">
            <v>Training - Training items relative to everyone</v>
          </cell>
          <cell r="C10">
            <v>1</v>
          </cell>
          <cell r="D10">
            <v>1</v>
          </cell>
          <cell r="F10" t="str">
            <v>Is the Employee Data File current?  Verify against the position summary?</v>
          </cell>
          <cell r="G10">
            <v>1</v>
          </cell>
          <cell r="H10">
            <v>1</v>
          </cell>
          <cell r="I10">
            <v>1</v>
          </cell>
          <cell r="J10">
            <v>1</v>
          </cell>
          <cell r="K10" t="str">
            <v>All</v>
          </cell>
        </row>
        <row r="11">
          <cell r="A11" t="str">
            <v>4.</v>
          </cell>
          <cell r="B11" t="str">
            <v>People - ServiceMaster Hourly Employees Only</v>
          </cell>
          <cell r="C11">
            <v>1</v>
          </cell>
          <cell r="D11">
            <v>1</v>
          </cell>
          <cell r="F11" t="str">
            <v>Is staff wearing name tags and clean uniforms as required by contract or facility policy?</v>
          </cell>
          <cell r="G11">
            <v>1</v>
          </cell>
          <cell r="H11">
            <v>1</v>
          </cell>
          <cell r="I11">
            <v>1</v>
          </cell>
          <cell r="J11">
            <v>1</v>
          </cell>
          <cell r="K11" t="str">
            <v>All</v>
          </cell>
        </row>
        <row r="12">
          <cell r="A12" t="str">
            <v>5.</v>
          </cell>
          <cell r="B12" t="str">
            <v>Risk - Covers risk and liability issues</v>
          </cell>
          <cell r="C12">
            <v>1</v>
          </cell>
          <cell r="D12">
            <v>1</v>
          </cell>
          <cell r="F12" t="str">
            <v>Has a Pride Day, Open House, or Recognition Day been held during the past year and been coordinated with Administration?</v>
          </cell>
          <cell r="G12">
            <v>1</v>
          </cell>
          <cell r="H12">
            <v>1</v>
          </cell>
          <cell r="I12">
            <v>1</v>
          </cell>
          <cell r="J12">
            <v>1</v>
          </cell>
          <cell r="K12" t="str">
            <v>All</v>
          </cell>
        </row>
        <row r="13">
          <cell r="A13" t="str">
            <v>6.</v>
          </cell>
          <cell r="B13" t="str">
            <v>a.</v>
          </cell>
          <cell r="C13">
            <v>1</v>
          </cell>
          <cell r="D13">
            <v>1</v>
          </cell>
          <cell r="F13" t="str">
            <v xml:space="preserve">Has an Employee Recognition Program been held during the past year and been coordinated with Administration?  </v>
          </cell>
          <cell r="G13">
            <v>1</v>
          </cell>
          <cell r="H13">
            <v>1</v>
          </cell>
          <cell r="I13">
            <v>1</v>
          </cell>
          <cell r="J13">
            <v>1</v>
          </cell>
          <cell r="K13" t="str">
            <v>All</v>
          </cell>
        </row>
        <row r="14">
          <cell r="A14" t="str">
            <v>7.</v>
          </cell>
          <cell r="B14" t="str">
            <v>b.</v>
          </cell>
          <cell r="C14">
            <v>1</v>
          </cell>
          <cell r="D14">
            <v>1</v>
          </cell>
          <cell r="F14" t="str">
            <v>Do all department employees receive an appraisal/review at least once a year, and are objectives being set? Verify that a follow-up is accomplished with each employee regarding goals and objectives prior to the next appraisal. (Facility/ServiceMaster/Mang</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 xml:space="preserve">                                                                 Total People - General</v>
          </cell>
          <cell r="G16">
            <v>1</v>
          </cell>
          <cell r="H16">
            <v>7</v>
          </cell>
          <cell r="I16">
            <v>1</v>
          </cell>
          <cell r="J16">
            <v>7</v>
          </cell>
          <cell r="K16" t="str">
            <v>POM</v>
          </cell>
        </row>
        <row r="17">
          <cell r="A17">
            <v>7</v>
          </cell>
          <cell r="B17" t="str">
            <v>1.  Select Services</v>
          </cell>
          <cell r="C17">
            <v>1</v>
          </cell>
          <cell r="D17">
            <v>1</v>
          </cell>
          <cell r="F17" t="str">
            <v xml:space="preserve">                                                                  Percentage Implemented</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PEOPLE</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CLINICAL EQUIPMENT</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t="str">
            <v>8.</v>
          </cell>
          <cell r="B22" t="str">
            <v>6.  To Print - Click Yellow and Grey Box - Program will print entire QPQ, Score Sheet, Action Plan, and Graphs</v>
          </cell>
          <cell r="C22">
            <v>1</v>
          </cell>
          <cell r="D22">
            <v>2</v>
          </cell>
          <cell r="F22" t="str">
            <v>Are there job descriptions and standards of performance for the manager and all personnel.  Verify that personnel have reviewed their job description and standards of performance by the dated signature on both documents.  Assure that both documents are re</v>
          </cell>
          <cell r="G22">
            <v>1</v>
          </cell>
          <cell r="H22" t="str">
            <v>N/A</v>
          </cell>
          <cell r="I22">
            <v>1</v>
          </cell>
          <cell r="J22">
            <v>0</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 xml:space="preserve">                                                   Total People - Clinical Equipment</v>
          </cell>
          <cell r="G24">
            <v>13</v>
          </cell>
          <cell r="H24">
            <v>0</v>
          </cell>
          <cell r="I24">
            <v>13</v>
          </cell>
          <cell r="J24">
            <v>0</v>
          </cell>
          <cell r="K24" t="str">
            <v>All</v>
          </cell>
        </row>
        <row r="25">
          <cell r="A25">
            <v>15</v>
          </cell>
          <cell r="D25">
            <v>1</v>
          </cell>
          <cell r="F25" t="str">
            <v xml:space="preserve">                                                                  Percentage Implemented</v>
          </cell>
          <cell r="G25">
            <v>1</v>
          </cell>
          <cell r="H25" t="str">
            <v>N/A</v>
          </cell>
          <cell r="J25">
            <v>1</v>
          </cell>
          <cell r="K25" t="str">
            <v>All</v>
          </cell>
        </row>
        <row r="26">
          <cell r="A26">
            <v>16</v>
          </cell>
          <cell r="D26">
            <v>0</v>
          </cell>
          <cell r="F26" t="str">
            <v>Hazardous Material Handling (SMSTK, OSHA 1910 Subpart H, EC 1.2.3)</v>
          </cell>
          <cell r="H26">
            <v>1</v>
          </cell>
          <cell r="J26">
            <v>1</v>
          </cell>
          <cell r="K26" t="str">
            <v>POM</v>
          </cell>
        </row>
        <row r="27">
          <cell r="A27">
            <v>16</v>
          </cell>
          <cell r="B27" t="str">
            <v>a.</v>
          </cell>
          <cell r="D27">
            <v>1</v>
          </cell>
          <cell r="F27" t="str">
            <v>PEOPLE</v>
          </cell>
          <cell r="H27">
            <v>1</v>
          </cell>
          <cell r="J27">
            <v>1</v>
          </cell>
          <cell r="K27" t="str">
            <v>All</v>
          </cell>
        </row>
        <row r="28">
          <cell r="A28">
            <v>16</v>
          </cell>
          <cell r="B28" t="str">
            <v>b.</v>
          </cell>
          <cell r="D28">
            <v>1</v>
          </cell>
          <cell r="F28" t="str">
            <v>CENTRAL TRANSPORTATION</v>
          </cell>
          <cell r="H28">
            <v>1</v>
          </cell>
          <cell r="J28" t="str">
            <v>Possible</v>
          </cell>
          <cell r="K28" t="str">
            <v>All</v>
          </cell>
        </row>
        <row r="29">
          <cell r="A29">
            <v>16</v>
          </cell>
          <cell r="B29" t="str">
            <v>c.</v>
          </cell>
          <cell r="D29">
            <v>1</v>
          </cell>
          <cell r="F29" t="str">
            <v>Is the Chemical Inventory complete, if applicable?  (SMSTK-203, EC 1.5)</v>
          </cell>
          <cell r="H29" t="str">
            <v>Score</v>
          </cell>
          <cell r="J29" t="str">
            <v>Score</v>
          </cell>
          <cell r="K29" t="str">
            <v>All</v>
          </cell>
        </row>
        <row r="30">
          <cell r="A30">
            <v>16</v>
          </cell>
          <cell r="B30" t="str">
            <v>d.</v>
          </cell>
          <cell r="D30">
            <v>1</v>
          </cell>
          <cell r="F30" t="str">
            <v>Is the EPA Hazardous Waste Inventory complete?  (SMSTK-204, EC 1.5)</v>
          </cell>
          <cell r="H30">
            <v>1</v>
          </cell>
          <cell r="J30">
            <v>1</v>
          </cell>
          <cell r="K30" t="str">
            <v>All</v>
          </cell>
        </row>
        <row r="31">
          <cell r="A31" t="str">
            <v>9.</v>
          </cell>
          <cell r="D31">
            <v>2</v>
          </cell>
          <cell r="F31" t="str">
            <v>Does the appearance of the staff conform to hospital policies relative to dress code, grooming, and conduct?</v>
          </cell>
          <cell r="H31" t="str">
            <v>N/A</v>
          </cell>
          <cell r="J31">
            <v>0</v>
          </cell>
          <cell r="K31" t="str">
            <v>POM</v>
          </cell>
        </row>
        <row r="32">
          <cell r="A32" t="str">
            <v>10.</v>
          </cell>
          <cell r="D32">
            <v>2</v>
          </cell>
          <cell r="F32" t="str">
            <v>Does each employee have a personnel file which contains their records of orientation, training, special certification and the annual appraisal and review?</v>
          </cell>
          <cell r="H32" t="str">
            <v>N/A</v>
          </cell>
          <cell r="J32">
            <v>0</v>
          </cell>
          <cell r="K32" t="str">
            <v>POM</v>
          </cell>
        </row>
        <row r="33">
          <cell r="A33" t="str">
            <v>11.</v>
          </cell>
          <cell r="D33">
            <v>2</v>
          </cell>
          <cell r="F33" t="str">
            <v>Does the Escort Performance Summary indicate that most all Transporters are performing to standard?  Is there a review process in place to let Transporters know how they are performing relative to standard?</v>
          </cell>
          <cell r="H33" t="str">
            <v>N/A</v>
          </cell>
          <cell r="J33">
            <v>0</v>
          </cell>
          <cell r="K33" t="str">
            <v>POM</v>
          </cell>
        </row>
        <row r="34">
          <cell r="F34" t="str">
            <v>ALL (CONTINUED)</v>
          </cell>
        </row>
        <row r="35">
          <cell r="A35">
            <v>17</v>
          </cell>
          <cell r="F35" t="str">
            <v>Hazard Communication  (SMSTK, OSHA 1910.1200)</v>
          </cell>
          <cell r="H35">
            <v>19</v>
          </cell>
          <cell r="J35">
            <v>19</v>
          </cell>
        </row>
        <row r="36">
          <cell r="A36">
            <v>17</v>
          </cell>
          <cell r="B36" t="str">
            <v>a.</v>
          </cell>
          <cell r="D36">
            <v>1</v>
          </cell>
          <cell r="F36" t="str">
            <v>Total - Central Transportation</v>
          </cell>
          <cell r="H36">
            <v>0</v>
          </cell>
          <cell r="J36">
            <v>0</v>
          </cell>
          <cell r="K36" t="str">
            <v>All</v>
          </cell>
        </row>
        <row r="37">
          <cell r="A37">
            <v>17</v>
          </cell>
          <cell r="B37" t="str">
            <v>b.</v>
          </cell>
          <cell r="D37">
            <v>1</v>
          </cell>
          <cell r="F37" t="str">
            <v xml:space="preserve">                                                                  Percentage Implemented</v>
          </cell>
          <cell r="H37" t="str">
            <v>N/A</v>
          </cell>
          <cell r="J37">
            <v>1</v>
          </cell>
          <cell r="K37" t="str">
            <v>All</v>
          </cell>
        </row>
        <row r="38">
          <cell r="A38">
            <v>18</v>
          </cell>
          <cell r="D38">
            <v>1</v>
          </cell>
          <cell r="F38" t="str">
            <v>THIS SECTION IS NORMALY MARKED N/A - IF YOU HAVE SERVICEMASTER HOURLY EMPLOYEES USE THIS SECTION AND SCORE ACCORDINGLY!</v>
          </cell>
          <cell r="H38">
            <v>1</v>
          </cell>
          <cell r="J38">
            <v>1</v>
          </cell>
          <cell r="K38" t="str">
            <v>All</v>
          </cell>
        </row>
        <row r="39">
          <cell r="D39">
            <v>0</v>
          </cell>
          <cell r="F39" t="str">
            <v>Please complete the following questions if your answer above was yes.  If you clicked NO, this section will automatically be N/A</v>
          </cell>
          <cell r="J39" t="str">
            <v>Score</v>
          </cell>
        </row>
        <row r="40">
          <cell r="F40" t="str">
            <v>CONTINUED</v>
          </cell>
        </row>
        <row r="41">
          <cell r="A41">
            <v>19</v>
          </cell>
          <cell r="D41">
            <v>0</v>
          </cell>
          <cell r="F41" t="str">
            <v>GENERAL QUESTIONS</v>
          </cell>
        </row>
        <row r="42">
          <cell r="A42">
            <v>19</v>
          </cell>
          <cell r="B42" t="str">
            <v>a.</v>
          </cell>
          <cell r="D42">
            <v>1</v>
          </cell>
          <cell r="F42" t="str">
            <v>Is the Lock Out/Tag Out Compliance Checklist complete?  (SMSTK-401)</v>
          </cell>
          <cell r="H42">
            <v>1</v>
          </cell>
          <cell r="J42">
            <v>1</v>
          </cell>
          <cell r="K42" t="str">
            <v>All</v>
          </cell>
        </row>
        <row r="43">
          <cell r="A43" t="str">
            <v>12.</v>
          </cell>
          <cell r="B43" t="str">
            <v>b.</v>
          </cell>
          <cell r="D43">
            <v>1</v>
          </cell>
          <cell r="F43" t="str">
            <v>Are personnel files on the premises for current employees kept in a secured place?</v>
          </cell>
          <cell r="H43">
            <v>1</v>
          </cell>
          <cell r="J43">
            <v>1</v>
          </cell>
          <cell r="K43" t="str">
            <v>All</v>
          </cell>
        </row>
        <row r="44">
          <cell r="A44" t="str">
            <v>13.</v>
          </cell>
          <cell r="B44" t="str">
            <v>b.</v>
          </cell>
          <cell r="D44">
            <v>1</v>
          </cell>
          <cell r="F44" t="str">
            <v xml:space="preserve">Is the Manager familiar with the Americans with Disabilities Act (ADA) of 1990.  Has the manager conducted a survey of the facility to identify barriers and established a list of potential modifications for barrier removal, including changes to policies, </v>
          </cell>
          <cell r="H44">
            <v>1</v>
          </cell>
          <cell r="J44">
            <v>1</v>
          </cell>
          <cell r="K44" t="str">
            <v>Cust</v>
          </cell>
        </row>
        <row r="45">
          <cell r="A45" t="str">
            <v>14.</v>
          </cell>
          <cell r="B45" t="str">
            <v>a.</v>
          </cell>
          <cell r="D45">
            <v>0</v>
          </cell>
          <cell r="F45" t="str">
            <v>Does each employee have the following on file:</v>
          </cell>
          <cell r="H45">
            <v>1</v>
          </cell>
          <cell r="J45">
            <v>1</v>
          </cell>
          <cell r="K45" t="str">
            <v>All</v>
          </cell>
        </row>
        <row r="46">
          <cell r="A46" t="str">
            <v>14.</v>
          </cell>
          <cell r="B46" t="str">
            <v>a.</v>
          </cell>
          <cell r="D46">
            <v>1</v>
          </cell>
          <cell r="F46" t="str">
            <v>Application</v>
          </cell>
          <cell r="H46">
            <v>1</v>
          </cell>
          <cell r="J46">
            <v>1</v>
          </cell>
          <cell r="K46" t="str">
            <v>All</v>
          </cell>
        </row>
        <row r="47">
          <cell r="A47" t="str">
            <v>14.</v>
          </cell>
          <cell r="B47" t="str">
            <v>b.</v>
          </cell>
          <cell r="D47">
            <v>1</v>
          </cell>
          <cell r="F47" t="str">
            <v>PIF</v>
          </cell>
          <cell r="H47">
            <v>1</v>
          </cell>
          <cell r="J47">
            <v>1</v>
          </cell>
        </row>
        <row r="48">
          <cell r="A48" t="str">
            <v>14.</v>
          </cell>
          <cell r="B48" t="str">
            <v>c.</v>
          </cell>
          <cell r="D48">
            <v>1</v>
          </cell>
          <cell r="F48" t="str">
            <v>Federal Tax Form</v>
          </cell>
          <cell r="H48">
            <v>1</v>
          </cell>
          <cell r="J48">
            <v>1</v>
          </cell>
          <cell r="K48" t="str">
            <v>All</v>
          </cell>
        </row>
        <row r="49">
          <cell r="A49" t="str">
            <v>14.</v>
          </cell>
          <cell r="B49" t="str">
            <v>d.</v>
          </cell>
          <cell r="D49">
            <v>1</v>
          </cell>
          <cell r="F49" t="str">
            <v>State Tax Form (if applicable)</v>
          </cell>
          <cell r="H49">
            <v>1</v>
          </cell>
          <cell r="J49">
            <v>1</v>
          </cell>
          <cell r="K49" t="str">
            <v>All</v>
          </cell>
        </row>
        <row r="50">
          <cell r="A50" t="str">
            <v>14.</v>
          </cell>
          <cell r="B50" t="str">
            <v>e.</v>
          </cell>
          <cell r="D50">
            <v>1</v>
          </cell>
          <cell r="F50" t="str">
            <v>Drug Consent Form</v>
          </cell>
          <cell r="H50">
            <v>1</v>
          </cell>
          <cell r="J50">
            <v>1</v>
          </cell>
          <cell r="K50" t="str">
            <v>All</v>
          </cell>
        </row>
        <row r="51">
          <cell r="A51" t="str">
            <v>14.</v>
          </cell>
          <cell r="B51" t="str">
            <v>f.</v>
          </cell>
          <cell r="D51">
            <v>1</v>
          </cell>
          <cell r="F51" t="str">
            <v>Drug Policy Sign - Off</v>
          </cell>
          <cell r="H51">
            <v>1</v>
          </cell>
          <cell r="J51">
            <v>1</v>
          </cell>
          <cell r="K51" t="str">
            <v>Cust</v>
          </cell>
        </row>
        <row r="52">
          <cell r="A52" t="str">
            <v>14.</v>
          </cell>
          <cell r="B52" t="str">
            <v>g.</v>
          </cell>
          <cell r="D52">
            <v>1</v>
          </cell>
          <cell r="F52" t="str">
            <v>Hand Book Acknowledgment Form</v>
          </cell>
          <cell r="H52">
            <v>1</v>
          </cell>
          <cell r="J52">
            <v>1</v>
          </cell>
          <cell r="K52" t="str">
            <v>All</v>
          </cell>
        </row>
        <row r="53">
          <cell r="A53" t="str">
            <v>14.</v>
          </cell>
          <cell r="B53" t="str">
            <v>h.</v>
          </cell>
          <cell r="D53">
            <v>1</v>
          </cell>
          <cell r="F53" t="str">
            <v>Authorization Card - Union (if applicable)</v>
          </cell>
          <cell r="H53">
            <v>1</v>
          </cell>
          <cell r="J53">
            <v>1</v>
          </cell>
        </row>
        <row r="54">
          <cell r="A54" t="str">
            <v>14.</v>
          </cell>
          <cell r="B54" t="str">
            <v>I.</v>
          </cell>
          <cell r="D54">
            <v>1</v>
          </cell>
          <cell r="F54" t="str">
            <v>I-9 Form (updated for alien registration card)</v>
          </cell>
          <cell r="H54">
            <v>1</v>
          </cell>
          <cell r="J54">
            <v>1</v>
          </cell>
          <cell r="K54" t="str">
            <v>All</v>
          </cell>
        </row>
        <row r="55">
          <cell r="A55" t="str">
            <v>14.</v>
          </cell>
          <cell r="B55" t="str">
            <v>j.</v>
          </cell>
          <cell r="D55">
            <v>1</v>
          </cell>
          <cell r="F55" t="str">
            <v>Photocopies made of two documents used for identification, and retained with the I-9 Form?</v>
          </cell>
          <cell r="H55">
            <v>1</v>
          </cell>
          <cell r="J55">
            <v>1</v>
          </cell>
          <cell r="K55" t="str">
            <v>All</v>
          </cell>
        </row>
        <row r="56">
          <cell r="A56" t="str">
            <v>14.</v>
          </cell>
          <cell r="B56" t="str">
            <v>k.</v>
          </cell>
          <cell r="D56">
            <v>1</v>
          </cell>
          <cell r="F56" t="str">
            <v>Are the Progressive Discipline Forms applied appropriately?</v>
          </cell>
          <cell r="H56">
            <v>1</v>
          </cell>
          <cell r="J56">
            <v>1</v>
          </cell>
          <cell r="K56" t="str">
            <v>All</v>
          </cell>
        </row>
        <row r="57">
          <cell r="A57" t="str">
            <v>14.</v>
          </cell>
          <cell r="B57" t="str">
            <v>l.</v>
          </cell>
          <cell r="D57">
            <v>1</v>
          </cell>
          <cell r="F57" t="str">
            <v>Background checks done on all employees (if applicable)?</v>
          </cell>
          <cell r="H57">
            <v>1</v>
          </cell>
          <cell r="J57">
            <v>1</v>
          </cell>
          <cell r="K57" t="str">
            <v>All</v>
          </cell>
        </row>
        <row r="58">
          <cell r="A58" t="str">
            <v>14.</v>
          </cell>
          <cell r="B58" t="str">
            <v>m.</v>
          </cell>
          <cell r="D58">
            <v>1</v>
          </cell>
          <cell r="F58" t="str">
            <v>Hepatitis B vaccination Acceptance/Declination Form</v>
          </cell>
          <cell r="H58">
            <v>1</v>
          </cell>
          <cell r="J58">
            <v>1</v>
          </cell>
          <cell r="K58" t="str">
            <v>Cust</v>
          </cell>
        </row>
        <row r="59">
          <cell r="A59" t="str">
            <v>15.</v>
          </cell>
          <cell r="B59" t="str">
            <v>a.</v>
          </cell>
          <cell r="D59">
            <v>1</v>
          </cell>
          <cell r="F59" t="str">
            <v>Are the appropriate posters displayed:</v>
          </cell>
          <cell r="H59">
            <v>1</v>
          </cell>
          <cell r="J59">
            <v>1</v>
          </cell>
          <cell r="K59" t="str">
            <v>All</v>
          </cell>
        </row>
        <row r="60">
          <cell r="A60" t="str">
            <v>15.</v>
          </cell>
          <cell r="B60" t="str">
            <v>a.</v>
          </cell>
          <cell r="D60">
            <v>1</v>
          </cell>
          <cell r="F60" t="str">
            <v>5-1 Poster/OSHA</v>
          </cell>
          <cell r="H60">
            <v>1</v>
          </cell>
          <cell r="J60">
            <v>1</v>
          </cell>
          <cell r="K60" t="str">
            <v>All</v>
          </cell>
        </row>
        <row r="61">
          <cell r="A61" t="str">
            <v>15.</v>
          </cell>
          <cell r="B61" t="str">
            <v>b.</v>
          </cell>
          <cell r="D61">
            <v>1</v>
          </cell>
          <cell r="F61" t="str">
            <v>EEO policy letter</v>
          </cell>
          <cell r="H61">
            <v>1</v>
          </cell>
          <cell r="J61">
            <v>1</v>
          </cell>
          <cell r="K61" t="str">
            <v>All</v>
          </cell>
        </row>
        <row r="62">
          <cell r="A62" t="str">
            <v>15.</v>
          </cell>
          <cell r="B62" t="str">
            <v>c.</v>
          </cell>
          <cell r="D62">
            <v>1</v>
          </cell>
          <cell r="F62" t="str">
            <v>Workers Compensation</v>
          </cell>
          <cell r="H62">
            <v>1</v>
          </cell>
          <cell r="J62">
            <v>1</v>
          </cell>
          <cell r="K62" t="str">
            <v>All</v>
          </cell>
        </row>
        <row r="63">
          <cell r="A63" t="str">
            <v>15.</v>
          </cell>
          <cell r="B63" t="str">
            <v>d.</v>
          </cell>
          <cell r="D63">
            <v>1</v>
          </cell>
          <cell r="F63" t="str">
            <v>Appropriate State Posters (if applicable)</v>
          </cell>
          <cell r="H63">
            <v>1</v>
          </cell>
          <cell r="J63">
            <v>1</v>
          </cell>
          <cell r="K63" t="str">
            <v>All</v>
          </cell>
        </row>
        <row r="64">
          <cell r="A64" t="str">
            <v>16.</v>
          </cell>
          <cell r="D64">
            <v>1</v>
          </cell>
          <cell r="F64" t="str">
            <v>Is there a hard copy or diskette of the Personnel Policy Manual at facility?</v>
          </cell>
          <cell r="H64">
            <v>1</v>
          </cell>
          <cell r="J64">
            <v>1</v>
          </cell>
          <cell r="K64" t="str">
            <v>Cust</v>
          </cell>
        </row>
        <row r="65">
          <cell r="A65" t="str">
            <v>17.</v>
          </cell>
          <cell r="D65">
            <v>1</v>
          </cell>
          <cell r="F65" t="str">
            <v>If an employee is operating a ServiceMaster vehicle, does he or she have a valid drivers license?  (Must have verification log)</v>
          </cell>
          <cell r="H65">
            <v>1</v>
          </cell>
          <cell r="J65">
            <v>1</v>
          </cell>
          <cell r="K65" t="str">
            <v>All</v>
          </cell>
        </row>
        <row r="66">
          <cell r="A66" t="str">
            <v>18.</v>
          </cell>
          <cell r="D66">
            <v>1</v>
          </cell>
          <cell r="F66" t="str">
            <v>Is the Facility Driver’s Log up-to-date and sent to Risk Management annually? (See log)</v>
          </cell>
          <cell r="H66">
            <v>1</v>
          </cell>
          <cell r="J66">
            <v>1</v>
          </cell>
          <cell r="K66" t="str">
            <v>Cust</v>
          </cell>
        </row>
        <row r="67">
          <cell r="A67" t="str">
            <v>19.</v>
          </cell>
          <cell r="D67">
            <v>1</v>
          </cell>
          <cell r="F67" t="str">
            <v>Were all new hires given Chain of Custody Form? (see log)</v>
          </cell>
          <cell r="H67">
            <v>1</v>
          </cell>
          <cell r="J67">
            <v>1</v>
          </cell>
          <cell r="K67" t="str">
            <v>Cust</v>
          </cell>
        </row>
        <row r="68">
          <cell r="A68" t="str">
            <v>20.</v>
          </cell>
          <cell r="D68">
            <v>1</v>
          </cell>
          <cell r="F68" t="str">
            <v>Is there 100% call-in for WOTC participants at time of hire?</v>
          </cell>
          <cell r="H68">
            <v>1</v>
          </cell>
          <cell r="J68">
            <v>1</v>
          </cell>
          <cell r="K68" t="str">
            <v>Cust</v>
          </cell>
        </row>
        <row r="69">
          <cell r="A69" t="str">
            <v>21.</v>
          </cell>
          <cell r="D69">
            <v>1</v>
          </cell>
          <cell r="F69" t="str">
            <v>Are all Worker's Compensation records and other medical records kept in a separate locked file?</v>
          </cell>
          <cell r="H69">
            <v>1</v>
          </cell>
          <cell r="J69">
            <v>1</v>
          </cell>
          <cell r="K69" t="str">
            <v>Cust</v>
          </cell>
        </row>
        <row r="70">
          <cell r="A70" t="str">
            <v>22.</v>
          </cell>
          <cell r="D70">
            <v>1</v>
          </cell>
          <cell r="F70" t="str">
            <v>Are all Workers' Compensation Claims reported on a timely basis?</v>
          </cell>
          <cell r="H70">
            <v>1</v>
          </cell>
          <cell r="J70">
            <v>1</v>
          </cell>
          <cell r="K70" t="str">
            <v>Cust</v>
          </cell>
        </row>
        <row r="71">
          <cell r="A71" t="str">
            <v>23.</v>
          </cell>
          <cell r="D71">
            <v>1</v>
          </cell>
          <cell r="F71" t="str">
            <v>Are job descriptions for all positions up-to-date and in accordance with ADA requirements?  Are there transitional duty job descriptions written?</v>
          </cell>
          <cell r="H71">
            <v>1</v>
          </cell>
          <cell r="I71">
            <v>0</v>
          </cell>
          <cell r="J71">
            <v>1</v>
          </cell>
          <cell r="K71" t="str">
            <v>Cust</v>
          </cell>
        </row>
        <row r="72">
          <cell r="A72" t="str">
            <v>24.</v>
          </cell>
          <cell r="D72">
            <v>1</v>
          </cell>
          <cell r="F72" t="str">
            <v>Is there a process in place to discuss the employee’s performance?</v>
          </cell>
          <cell r="H72">
            <v>1</v>
          </cell>
          <cell r="J72">
            <v>1</v>
          </cell>
          <cell r="K72" t="str">
            <v>POM</v>
          </cell>
        </row>
        <row r="73">
          <cell r="A73" t="str">
            <v>25.</v>
          </cell>
          <cell r="D73">
            <v>1</v>
          </cell>
          <cell r="F73" t="str">
            <v>Is there a record of initial training for each employee?</v>
          </cell>
          <cell r="H73">
            <v>1</v>
          </cell>
          <cell r="J73">
            <v>1</v>
          </cell>
          <cell r="K73" t="str">
            <v>POM</v>
          </cell>
        </row>
        <row r="74">
          <cell r="A74" t="str">
            <v>26.</v>
          </cell>
          <cell r="D74">
            <v>1</v>
          </cell>
          <cell r="F74" t="str">
            <v>Has the Manager completed the SSSI-SM Self-Study Guide?</v>
          </cell>
          <cell r="H74">
            <v>1</v>
          </cell>
          <cell r="J74">
            <v>1</v>
          </cell>
        </row>
        <row r="75">
          <cell r="A75" t="str">
            <v>27.</v>
          </cell>
          <cell r="D75">
            <v>1</v>
          </cell>
          <cell r="F75" t="str">
            <v>Is the pre-screen tool currently being used?</v>
          </cell>
          <cell r="H75">
            <v>1</v>
          </cell>
          <cell r="J75">
            <v>1</v>
          </cell>
        </row>
        <row r="76">
          <cell r="A76" t="str">
            <v>28.</v>
          </cell>
          <cell r="B76" t="str">
            <v>a.</v>
          </cell>
          <cell r="D76">
            <v>1</v>
          </cell>
          <cell r="F76" t="str">
            <v>Are the SSSI-SM booklets appropriately stored?</v>
          </cell>
          <cell r="H76">
            <v>1</v>
          </cell>
          <cell r="J76">
            <v>1</v>
          </cell>
          <cell r="K76" t="str">
            <v>POM</v>
          </cell>
        </row>
        <row r="77">
          <cell r="A77">
            <v>28</v>
          </cell>
          <cell r="B77" t="str">
            <v>b.</v>
          </cell>
          <cell r="D77">
            <v>0</v>
          </cell>
          <cell r="F77" t="str">
            <v>PEOPLE SERVICES</v>
          </cell>
          <cell r="H77">
            <v>1</v>
          </cell>
          <cell r="J77">
            <v>1</v>
          </cell>
          <cell r="K77" t="str">
            <v>POM</v>
          </cell>
        </row>
        <row r="78">
          <cell r="A78">
            <v>29</v>
          </cell>
          <cell r="D78">
            <v>1</v>
          </cell>
          <cell r="F78" t="str">
            <v>GENERAL (CONTINUED)</v>
          </cell>
          <cell r="H78">
            <v>1</v>
          </cell>
          <cell r="J78">
            <v>1</v>
          </cell>
          <cell r="K78" t="str">
            <v>POM</v>
          </cell>
        </row>
        <row r="79">
          <cell r="A79" t="str">
            <v>29.</v>
          </cell>
          <cell r="D79">
            <v>1</v>
          </cell>
          <cell r="F79" t="str">
            <v>Are all grievances maintained and handled according to the Policy &amp; Procedure Guidelines and/or Union Contract?</v>
          </cell>
          <cell r="H79">
            <v>1</v>
          </cell>
          <cell r="J79">
            <v>1</v>
          </cell>
          <cell r="K79" t="str">
            <v>POM</v>
          </cell>
        </row>
        <row r="80">
          <cell r="A80" t="str">
            <v>30.</v>
          </cell>
          <cell r="B80" t="str">
            <v>a.</v>
          </cell>
          <cell r="D80">
            <v>1</v>
          </cell>
          <cell r="F80" t="str">
            <v>Is the OSHA 200 log properly displayed in February?</v>
          </cell>
          <cell r="H80">
            <v>1</v>
          </cell>
          <cell r="J80">
            <v>1</v>
          </cell>
          <cell r="K80" t="str">
            <v>POM</v>
          </cell>
        </row>
        <row r="81">
          <cell r="A81" t="str">
            <v>30.</v>
          </cell>
          <cell r="B81" t="str">
            <v>b.</v>
          </cell>
          <cell r="D81">
            <v>1</v>
          </cell>
          <cell r="F81" t="str">
            <v>Was the prior year OSHA log sent to One ServiceMaster Way, Legal Dept.?</v>
          </cell>
          <cell r="H81">
            <v>1</v>
          </cell>
          <cell r="J81">
            <v>1</v>
          </cell>
          <cell r="K81" t="str">
            <v>POM</v>
          </cell>
        </row>
        <row r="82">
          <cell r="A82" t="str">
            <v>30.</v>
          </cell>
          <cell r="B82" t="str">
            <v>c.</v>
          </cell>
          <cell r="D82">
            <v>1</v>
          </cell>
          <cell r="F82" t="str">
            <v>Are five years worth of 200 logs kept on file at the facility?</v>
          </cell>
          <cell r="H82">
            <v>1</v>
          </cell>
          <cell r="J82">
            <v>1</v>
          </cell>
          <cell r="K82" t="str">
            <v>POM</v>
          </cell>
        </row>
        <row r="83">
          <cell r="A83">
            <v>34</v>
          </cell>
          <cell r="D83">
            <v>2</v>
          </cell>
          <cell r="F83" t="str">
            <v>PEOPLE SERVICES</v>
          </cell>
          <cell r="H83" t="str">
            <v>N/A</v>
          </cell>
          <cell r="J83" t="str">
            <v>Possible</v>
          </cell>
          <cell r="K83" t="str">
            <v>EdCust</v>
          </cell>
        </row>
        <row r="84">
          <cell r="A84">
            <v>35</v>
          </cell>
          <cell r="D84">
            <v>1</v>
          </cell>
          <cell r="F84" t="str">
            <v>EMPLOYEE INTERVIEW</v>
          </cell>
          <cell r="H84" t="str">
            <v>Score</v>
          </cell>
          <cell r="J84" t="str">
            <v>Score</v>
          </cell>
          <cell r="K84" t="str">
            <v>POM</v>
          </cell>
        </row>
        <row r="85">
          <cell r="A85">
            <v>36</v>
          </cell>
          <cell r="D85">
            <v>1</v>
          </cell>
          <cell r="F85" t="str">
            <v>Please select a sampling of employees and ask the following EMPLOYEERELATIONS questions:</v>
          </cell>
          <cell r="H85">
            <v>1</v>
          </cell>
          <cell r="J85">
            <v>1</v>
          </cell>
          <cell r="K85" t="str">
            <v>POM</v>
          </cell>
        </row>
        <row r="86">
          <cell r="A86" t="str">
            <v>31.</v>
          </cell>
          <cell r="D86">
            <v>1</v>
          </cell>
          <cell r="F86" t="str">
            <v>Are employees aware of the problem solving procedures?</v>
          </cell>
          <cell r="H86">
            <v>1</v>
          </cell>
          <cell r="J86">
            <v>1</v>
          </cell>
        </row>
        <row r="87">
          <cell r="A87" t="str">
            <v>32.</v>
          </cell>
          <cell r="D87">
            <v>1</v>
          </cell>
          <cell r="F87" t="str">
            <v>Do employees feel they are treated fairly and equitably?</v>
          </cell>
          <cell r="H87">
            <v>1</v>
          </cell>
          <cell r="J87">
            <v>1</v>
          </cell>
          <cell r="K87" t="str">
            <v>POM</v>
          </cell>
        </row>
        <row r="88">
          <cell r="A88" t="str">
            <v>33.</v>
          </cell>
          <cell r="D88">
            <v>1</v>
          </cell>
          <cell r="F88" t="str">
            <v>Is there an open communication between employees and management?</v>
          </cell>
          <cell r="H88">
            <v>1</v>
          </cell>
          <cell r="J88">
            <v>1</v>
          </cell>
          <cell r="K88" t="str">
            <v>POM</v>
          </cell>
        </row>
        <row r="89">
          <cell r="A89" t="str">
            <v>34.</v>
          </cell>
          <cell r="D89">
            <v>1</v>
          </cell>
          <cell r="F89" t="str">
            <v>Are the employees aware of the benefits at the facility?</v>
          </cell>
          <cell r="H89">
            <v>1</v>
          </cell>
          <cell r="J89">
            <v>1</v>
          </cell>
          <cell r="K89" t="str">
            <v>POM</v>
          </cell>
        </row>
        <row r="90">
          <cell r="A90" t="str">
            <v>35.</v>
          </cell>
          <cell r="D90">
            <v>1</v>
          </cell>
          <cell r="F90" t="str">
            <v>Is Manager or any employee aware of any union activity at facility?</v>
          </cell>
          <cell r="H90">
            <v>1</v>
          </cell>
          <cell r="J90">
            <v>1</v>
          </cell>
          <cell r="K90" t="str">
            <v>POM</v>
          </cell>
        </row>
        <row r="91">
          <cell r="A91" t="str">
            <v>36.</v>
          </cell>
          <cell r="D91">
            <v>1</v>
          </cell>
          <cell r="F91" t="str">
            <v>Is there a positive satisfaction level between Manager and employees?</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PEOPLE SERVICES</v>
          </cell>
          <cell r="H93">
            <v>1</v>
          </cell>
          <cell r="J93" t="str">
            <v>Possible</v>
          </cell>
          <cell r="K93" t="str">
            <v>POM</v>
          </cell>
        </row>
        <row r="94">
          <cell r="A94">
            <v>44</v>
          </cell>
          <cell r="D94">
            <v>1</v>
          </cell>
          <cell r="F94" t="str">
            <v xml:space="preserve">RECORDKEEPING/PAYROLL </v>
          </cell>
          <cell r="H94" t="str">
            <v>Score</v>
          </cell>
          <cell r="J94" t="str">
            <v>Score</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t="str">
            <v>37.</v>
          </cell>
          <cell r="B96" t="str">
            <v>b.</v>
          </cell>
          <cell r="D96">
            <v>1</v>
          </cell>
          <cell r="F96" t="str">
            <v>Are Applicant Tracking Forms being used?</v>
          </cell>
          <cell r="H96">
            <v>1</v>
          </cell>
          <cell r="J96">
            <v>1</v>
          </cell>
          <cell r="K96" t="str">
            <v>POM</v>
          </cell>
        </row>
        <row r="97">
          <cell r="A97" t="str">
            <v>38.</v>
          </cell>
          <cell r="D97">
            <v>1</v>
          </cell>
          <cell r="F97" t="str">
            <v>Is there a recordkeeping system for tracking hours worked?</v>
          </cell>
          <cell r="H97">
            <v>1</v>
          </cell>
          <cell r="J97">
            <v>1</v>
          </cell>
          <cell r="K97" t="str">
            <v>POM</v>
          </cell>
        </row>
        <row r="98">
          <cell r="A98" t="str">
            <v>39.</v>
          </cell>
          <cell r="D98">
            <v>1</v>
          </cell>
          <cell r="F98" t="str">
            <v>When there are changes to the payroll record and/or schedules, are those changes initialed by the Manager and the employee?</v>
          </cell>
          <cell r="H98">
            <v>1</v>
          </cell>
          <cell r="J98">
            <v>1</v>
          </cell>
          <cell r="K98" t="str">
            <v>EdCust</v>
          </cell>
        </row>
        <row r="99">
          <cell r="A99" t="str">
            <v>40.</v>
          </cell>
          <cell r="D99">
            <v>1</v>
          </cell>
          <cell r="F99" t="str">
            <v>Are schedules posted timely and appropriately?</v>
          </cell>
          <cell r="H99">
            <v>1</v>
          </cell>
          <cell r="J99">
            <v>1</v>
          </cell>
          <cell r="K99" t="str">
            <v>EdCust</v>
          </cell>
        </row>
        <row r="100">
          <cell r="A100" t="str">
            <v>41.</v>
          </cell>
          <cell r="D100">
            <v>1</v>
          </cell>
          <cell r="F100" t="str">
            <v>Are time sheets/schedules and payroll records kept together by pay period?</v>
          </cell>
          <cell r="H100">
            <v>1</v>
          </cell>
          <cell r="J100">
            <v>1</v>
          </cell>
          <cell r="K100" t="str">
            <v>POM</v>
          </cell>
        </row>
        <row r="101">
          <cell r="A101" t="str">
            <v>42.</v>
          </cell>
          <cell r="D101">
            <v>1</v>
          </cell>
          <cell r="F101" t="str">
            <v>Are breaks given in accordance with state and federal laws?</v>
          </cell>
          <cell r="H101">
            <v>1</v>
          </cell>
          <cell r="J101">
            <v>1</v>
          </cell>
          <cell r="K101" t="str">
            <v>POM</v>
          </cell>
        </row>
        <row r="102">
          <cell r="A102" t="str">
            <v>43.</v>
          </cell>
          <cell r="D102">
            <v>1</v>
          </cell>
          <cell r="F102" t="str">
            <v>Is overtime pay pre-approved by Manager?</v>
          </cell>
          <cell r="H102">
            <v>1</v>
          </cell>
          <cell r="J102">
            <v>1</v>
          </cell>
          <cell r="K102" t="str">
            <v>POM</v>
          </cell>
        </row>
        <row r="103">
          <cell r="A103" t="str">
            <v>44.</v>
          </cell>
          <cell r="D103">
            <v>1</v>
          </cell>
          <cell r="F103" t="str">
            <v>Are records kept for overtime pay ? (Over 40 hours in a week?) (over 8 hours per day in CA &amp; NV)</v>
          </cell>
          <cell r="H103">
            <v>1</v>
          </cell>
          <cell r="J103">
            <v>1</v>
          </cell>
          <cell r="K103" t="str">
            <v>POM</v>
          </cell>
        </row>
        <row r="104">
          <cell r="A104" t="str">
            <v>45.</v>
          </cell>
          <cell r="D104">
            <v>1</v>
          </cell>
          <cell r="F104" t="str">
            <v>Are all payroll obligations met in accordance with Contractual Agreement? (If applicable)</v>
          </cell>
          <cell r="H104">
            <v>1</v>
          </cell>
          <cell r="J104">
            <v>1</v>
          </cell>
          <cell r="K104" t="str">
            <v>POM</v>
          </cell>
        </row>
        <row r="105">
          <cell r="A105" t="str">
            <v>46.</v>
          </cell>
          <cell r="D105">
            <v>1</v>
          </cell>
          <cell r="F105" t="str">
            <v>Are all applications kept on file for two years?</v>
          </cell>
          <cell r="H105">
            <v>1</v>
          </cell>
          <cell r="J105">
            <v>1</v>
          </cell>
          <cell r="K105" t="str">
            <v>POM</v>
          </cell>
        </row>
        <row r="106">
          <cell r="A106" t="str">
            <v>47.</v>
          </cell>
          <cell r="D106">
            <v>1</v>
          </cell>
          <cell r="F106" t="str">
            <v>Is payroll notified when an employee is out on worker's compensation as well as when they return to work?</v>
          </cell>
          <cell r="H106">
            <v>1</v>
          </cell>
          <cell r="J106">
            <v>1</v>
          </cell>
          <cell r="K106" t="str">
            <v>POM</v>
          </cell>
        </row>
        <row r="107">
          <cell r="A107">
            <v>54</v>
          </cell>
          <cell r="D107">
            <v>1</v>
          </cell>
          <cell r="F107" t="str">
            <v>PEOPLE SERVICES</v>
          </cell>
          <cell r="H107">
            <v>1</v>
          </cell>
          <cell r="J107" t="str">
            <v>Possible</v>
          </cell>
          <cell r="K107" t="str">
            <v>POM</v>
          </cell>
        </row>
        <row r="108">
          <cell r="A108">
            <v>55</v>
          </cell>
          <cell r="D108">
            <v>1</v>
          </cell>
          <cell r="F108" t="str">
            <v>SEPARATIONS</v>
          </cell>
          <cell r="H108" t="str">
            <v>Score</v>
          </cell>
          <cell r="J108" t="str">
            <v>Score</v>
          </cell>
          <cell r="K108" t="str">
            <v>POM</v>
          </cell>
        </row>
        <row r="109">
          <cell r="A109">
            <v>56</v>
          </cell>
          <cell r="D109">
            <v>1</v>
          </cell>
          <cell r="F109" t="str">
            <v>Is there a Fire Hazard Log? (OSHA 29 CFR 1910.38(b)(2))</v>
          </cell>
          <cell r="H109">
            <v>1</v>
          </cell>
          <cell r="J109">
            <v>1</v>
          </cell>
          <cell r="K109" t="str">
            <v>POM</v>
          </cell>
        </row>
        <row r="110">
          <cell r="A110" t="str">
            <v>48.</v>
          </cell>
          <cell r="D110">
            <v>1</v>
          </cell>
          <cell r="F110" t="str">
            <v>Are People Information Forms (PIF) completed at time of separation and forwarded to the People Information Department?</v>
          </cell>
          <cell r="H110">
            <v>1</v>
          </cell>
          <cell r="J110">
            <v>1</v>
          </cell>
          <cell r="K110" t="str">
            <v>POM</v>
          </cell>
        </row>
        <row r="111">
          <cell r="A111" t="str">
            <v>49.</v>
          </cell>
          <cell r="D111">
            <v>1</v>
          </cell>
          <cell r="F111" t="str">
            <v>Are final paychecks distributed according to Company Policy and/or Union Contract?</v>
          </cell>
          <cell r="H111">
            <v>1</v>
          </cell>
          <cell r="J111">
            <v>1</v>
          </cell>
          <cell r="K111" t="str">
            <v>POM</v>
          </cell>
        </row>
        <row r="112">
          <cell r="A112" t="str">
            <v>50.</v>
          </cell>
          <cell r="D112">
            <v>1</v>
          </cell>
          <cell r="F112" t="str">
            <v>Is all company-owned property returned at time of separation?</v>
          </cell>
          <cell r="H112">
            <v>1</v>
          </cell>
          <cell r="J112">
            <v>1</v>
          </cell>
          <cell r="K112" t="str">
            <v>POM</v>
          </cell>
        </row>
        <row r="113">
          <cell r="A113" t="str">
            <v>51.</v>
          </cell>
          <cell r="D113">
            <v>1</v>
          </cell>
          <cell r="F113" t="str">
            <v xml:space="preserve">Are all employees who resign asked to provide a resignation letter, and is that letter kept on file by the Facility Manager? </v>
          </cell>
          <cell r="H113">
            <v>1</v>
          </cell>
          <cell r="J113">
            <v>1</v>
          </cell>
          <cell r="K113" t="str">
            <v>POM</v>
          </cell>
        </row>
        <row r="114">
          <cell r="A114">
            <v>61</v>
          </cell>
          <cell r="D114">
            <v>1</v>
          </cell>
          <cell r="F114" t="str">
            <v>PEOPLE SERVICES</v>
          </cell>
          <cell r="H114">
            <v>1</v>
          </cell>
          <cell r="J114" t="str">
            <v>Possible</v>
          </cell>
          <cell r="K114" t="str">
            <v>POM</v>
          </cell>
        </row>
        <row r="115">
          <cell r="A115">
            <v>62</v>
          </cell>
          <cell r="D115">
            <v>1</v>
          </cell>
          <cell r="F115" t="str">
            <v>LABOR RELATIONS</v>
          </cell>
          <cell r="H115" t="str">
            <v>Score</v>
          </cell>
          <cell r="J115" t="str">
            <v>Score</v>
          </cell>
          <cell r="K115" t="str">
            <v>POM</v>
          </cell>
        </row>
        <row r="116">
          <cell r="A116" t="str">
            <v>52.</v>
          </cell>
          <cell r="D116">
            <v>1</v>
          </cell>
          <cell r="F116" t="str">
            <v xml:space="preserve">Are terminated employee files kept for seven years?  OSHA requires that the medical records and exposure records of employees to be kept for 30 years after termination,in some cases 40 years.  </v>
          </cell>
          <cell r="H116">
            <v>1</v>
          </cell>
          <cell r="J116">
            <v>1</v>
          </cell>
          <cell r="K116" t="str">
            <v>POM</v>
          </cell>
        </row>
        <row r="117">
          <cell r="A117">
            <v>64</v>
          </cell>
          <cell r="D117">
            <v>1</v>
          </cell>
          <cell r="F117" t="str">
            <v>If  you have Union Representation, please answer the following questions:</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t="str">
            <v>53.</v>
          </cell>
          <cell r="D119">
            <v>1</v>
          </cell>
          <cell r="F119" t="str">
            <v>Does Manager have a copy of contract, and are we in compliance with the contract?</v>
          </cell>
          <cell r="H119">
            <v>1</v>
          </cell>
          <cell r="J119">
            <v>1</v>
          </cell>
          <cell r="K119" t="str">
            <v>POM</v>
          </cell>
        </row>
        <row r="120">
          <cell r="A120" t="str">
            <v>54.</v>
          </cell>
          <cell r="D120">
            <v>1</v>
          </cell>
          <cell r="F120" t="str">
            <v>Are union dues being deducted? (if applicable)</v>
          </cell>
          <cell r="H120">
            <v>1</v>
          </cell>
          <cell r="J120">
            <v>1</v>
          </cell>
          <cell r="K120" t="str">
            <v>POM</v>
          </cell>
        </row>
        <row r="121">
          <cell r="A121" t="str">
            <v>55.</v>
          </cell>
          <cell r="D121">
            <v>1</v>
          </cell>
          <cell r="F121" t="str">
            <v>Are all grievances maintained and handled according to the union contract?</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0</v>
          </cell>
          <cell r="F123" t="str">
            <v xml:space="preserve">                                                                 Total People Services</v>
          </cell>
          <cell r="H123">
            <v>60</v>
          </cell>
          <cell r="J123">
            <v>60</v>
          </cell>
          <cell r="K123" t="str">
            <v>POM</v>
          </cell>
        </row>
        <row r="124">
          <cell r="A124">
            <v>71</v>
          </cell>
          <cell r="D124">
            <v>1</v>
          </cell>
          <cell r="F124" t="str">
            <v xml:space="preserve">                                                                  Percentage Implemented</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sheetData>
      <sheetData sheetId="6"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RISK</v>
          </cell>
          <cell r="G5" t="str">
            <v>Date:</v>
          </cell>
          <cell r="H5" t="str">
            <v>Score</v>
          </cell>
          <cell r="I5">
            <v>0</v>
          </cell>
          <cell r="J5" t="str">
            <v>Possible</v>
          </cell>
        </row>
        <row r="6">
          <cell r="A6" t="str">
            <v>Title:</v>
          </cell>
          <cell r="B6" t="str">
            <v>Purpose</v>
          </cell>
          <cell r="C6" t="str">
            <v xml:space="preserve"> </v>
          </cell>
          <cell r="F6" t="str">
            <v>ALL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1</v>
          </cell>
          <cell r="D8">
            <v>1</v>
          </cell>
          <cell r="F8" t="str">
            <v>Are all potential general liability claims reported to  SM Legal, One ServiceMaster Way IMMEDIATELY</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Are all means of egress (exit paths), including corridors, stairways and landings, properly equipped with exit signs?  Are these signs continuously illuminated? (NFPA 101: 5-8.1.2, 5-10.3.1, SOC) </v>
          </cell>
          <cell r="G9">
            <v>1</v>
          </cell>
          <cell r="H9">
            <v>1</v>
          </cell>
          <cell r="I9">
            <v>1</v>
          </cell>
          <cell r="J9">
            <v>1</v>
          </cell>
          <cell r="K9" t="str">
            <v>All</v>
          </cell>
        </row>
        <row r="10">
          <cell r="A10">
            <v>3</v>
          </cell>
          <cell r="B10" t="str">
            <v>Training - Training items relative to everyone</v>
          </cell>
          <cell r="C10">
            <v>1</v>
          </cell>
          <cell r="D10">
            <v>1</v>
          </cell>
          <cell r="F10" t="str">
            <v>Are there properly equipped eye wash stations and emergency showers in place where there is a danger of chemical splashes?  (OSHA:  1910.151)</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Has a time schedule been developed to correct discrepancies from a recent inspection in a timely manner, and has the appropriate agency been notified in writing of any discrepancies?</v>
          </cell>
          <cell r="G12">
            <v>1</v>
          </cell>
          <cell r="H12">
            <v>1</v>
          </cell>
          <cell r="I12">
            <v>1</v>
          </cell>
          <cell r="J12">
            <v>1</v>
          </cell>
          <cell r="K12" t="str">
            <v>All</v>
          </cell>
        </row>
        <row r="13">
          <cell r="A13">
            <v>6</v>
          </cell>
          <cell r="B13" t="str">
            <v>a.</v>
          </cell>
          <cell r="C13">
            <v>1</v>
          </cell>
          <cell r="D13">
            <v>1</v>
          </cell>
          <cell r="F13" t="str">
            <v xml:space="preserve">Is the OSHA 200 log properly displayed in February? </v>
          </cell>
          <cell r="G13">
            <v>1</v>
          </cell>
          <cell r="H13">
            <v>1</v>
          </cell>
          <cell r="I13">
            <v>1</v>
          </cell>
          <cell r="J13">
            <v>1</v>
          </cell>
          <cell r="K13" t="str">
            <v>All</v>
          </cell>
        </row>
        <row r="14">
          <cell r="A14">
            <v>6</v>
          </cell>
          <cell r="B14" t="str">
            <v>b.</v>
          </cell>
          <cell r="C14">
            <v>1</v>
          </cell>
          <cell r="D14">
            <v>1</v>
          </cell>
          <cell r="F14" t="str">
            <v>Was prior year log sent to One ServiceMaster Way?</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Life Safety</v>
          </cell>
          <cell r="G16">
            <v>1</v>
          </cell>
          <cell r="H16">
            <v>1</v>
          </cell>
          <cell r="I16">
            <v>1</v>
          </cell>
          <cell r="J16">
            <v>1</v>
          </cell>
          <cell r="K16" t="str">
            <v>POM</v>
          </cell>
        </row>
        <row r="17">
          <cell r="A17">
            <v>7</v>
          </cell>
          <cell r="B17" t="str">
            <v>1.  Select Services</v>
          </cell>
          <cell r="C17">
            <v>1</v>
          </cell>
          <cell r="D17">
            <v>1</v>
          </cell>
          <cell r="F17" t="str">
            <v xml:space="preserve">Are all flammable chemicals stored in a fire-resistant location? (NFPA 101.29, SOC)  </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Have hazard warning signs (low clearance, etc.) been posed where necessary. (OSHA 1910.144-145.)</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Does the manager know which Life Safety Codes apply to the various parts of the facility?</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v>12</v>
          </cell>
          <cell r="B22" t="str">
            <v>6.  To Print - Click Yellow and Grey Box - Program will print entire QPQ, Score Sheet, Action Plan, and Graphs</v>
          </cell>
          <cell r="C22">
            <v>1</v>
          </cell>
          <cell r="D22">
            <v>1</v>
          </cell>
          <cell r="F22" t="str">
            <v>Is all fire protection equipment readily available and unobstructed? (NFPA 10: 1-6 app. E)</v>
          </cell>
          <cell r="G22">
            <v>1</v>
          </cell>
          <cell r="H22">
            <v>1</v>
          </cell>
          <cell r="I22">
            <v>1</v>
          </cell>
          <cell r="J22">
            <v>1</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Are all chemicals stored in appropriate containers, in accordance with specific guidelines where such guidelines exist?  Are cleaning materials stored in rooms or spaces or cabinets that meet NFPA codes for storage of hazardous, flammable, or combustible.</v>
          </cell>
          <cell r="G24">
            <v>13</v>
          </cell>
          <cell r="H24">
            <v>1</v>
          </cell>
          <cell r="I24">
            <v>13</v>
          </cell>
          <cell r="J24">
            <v>1</v>
          </cell>
          <cell r="K24" t="str">
            <v>All</v>
          </cell>
        </row>
        <row r="25">
          <cell r="A25">
            <v>15</v>
          </cell>
          <cell r="D25">
            <v>1</v>
          </cell>
          <cell r="F25" t="str">
            <v>Does the manager know where the smoke and fire barriers are located?</v>
          </cell>
          <cell r="G25">
            <v>1</v>
          </cell>
          <cell r="H25">
            <v>1</v>
          </cell>
          <cell r="J25">
            <v>1</v>
          </cell>
          <cell r="K25" t="str">
            <v>All</v>
          </cell>
        </row>
        <row r="26">
          <cell r="A26">
            <v>16</v>
          </cell>
          <cell r="B26" t="str">
            <v>Scoring Guidelines</v>
          </cell>
          <cell r="D26">
            <v>0</v>
          </cell>
          <cell r="F26" t="str">
            <v>Hazardous Material Handling (SMSTK, OSHA 1910 Subpart H, EC 1.2.3)</v>
          </cell>
          <cell r="H26">
            <v>1</v>
          </cell>
          <cell r="J26">
            <v>1</v>
          </cell>
          <cell r="K26" t="str">
            <v>POM</v>
          </cell>
        </row>
        <row r="27">
          <cell r="A27">
            <v>16</v>
          </cell>
          <cell r="B27" t="str">
            <v>a.</v>
          </cell>
          <cell r="D27">
            <v>1</v>
          </cell>
          <cell r="F27" t="str">
            <v>Is the Hazardous Materials Checklist complete?  (SMSTK-201, EC 1.5)</v>
          </cell>
          <cell r="H27">
            <v>1</v>
          </cell>
          <cell r="J27">
            <v>1</v>
          </cell>
          <cell r="K27" t="str">
            <v>All</v>
          </cell>
        </row>
        <row r="28">
          <cell r="A28">
            <v>16</v>
          </cell>
          <cell r="B28" t="str">
            <v>b.</v>
          </cell>
          <cell r="D28">
            <v>1</v>
          </cell>
          <cell r="F28" t="str">
            <v>Is the Hazardous Materials Survey complete?  (SMSTK-202, EC 1.5)</v>
          </cell>
          <cell r="H28">
            <v>1</v>
          </cell>
          <cell r="J28">
            <v>1</v>
          </cell>
          <cell r="K28" t="str">
            <v>All</v>
          </cell>
        </row>
        <row r="29">
          <cell r="A29">
            <v>16</v>
          </cell>
          <cell r="B29" t="str">
            <v>c.</v>
          </cell>
          <cell r="D29">
            <v>1</v>
          </cell>
          <cell r="F29" t="str">
            <v>Is the Chemical Inventory complete, if applicable?  (SMSTK-203, EC 1.5)</v>
          </cell>
          <cell r="H29">
            <v>1</v>
          </cell>
          <cell r="J29">
            <v>1</v>
          </cell>
          <cell r="K29" t="str">
            <v>All</v>
          </cell>
        </row>
        <row r="30">
          <cell r="A30">
            <v>16</v>
          </cell>
          <cell r="B30" t="str">
            <v>d.</v>
          </cell>
          <cell r="D30">
            <v>1</v>
          </cell>
          <cell r="F30" t="str">
            <v>Is the EPA Hazardous Waste Inventory complete?  (SMSTK-204, EC 1.5)</v>
          </cell>
          <cell r="H30">
            <v>1</v>
          </cell>
          <cell r="J30">
            <v>1</v>
          </cell>
          <cell r="K30" t="str">
            <v>All</v>
          </cell>
        </row>
        <row r="31">
          <cell r="A31">
            <v>19</v>
          </cell>
          <cell r="D31">
            <v>1</v>
          </cell>
          <cell r="F31" t="str">
            <v>Is a Data Transfer being conducted at least biweekly?</v>
          </cell>
          <cell r="H31">
            <v>1</v>
          </cell>
          <cell r="J31">
            <v>1</v>
          </cell>
          <cell r="K31" t="str">
            <v>POM</v>
          </cell>
        </row>
        <row r="32">
          <cell r="A32">
            <v>20</v>
          </cell>
          <cell r="B32" t="str">
            <v xml:space="preserve">One of the following values should be used for scoring in the left boxes for each question.  </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B33" t="str">
            <v>Complete or substantial failure to comply with standard</v>
          </cell>
          <cell r="C33">
            <v>0</v>
          </cell>
          <cell r="D33">
            <v>2</v>
          </cell>
          <cell r="F33" t="str">
            <v>RISK</v>
          </cell>
          <cell r="H33">
            <v>1</v>
          </cell>
          <cell r="J33">
            <v>1</v>
          </cell>
          <cell r="K33" t="str">
            <v>POM</v>
          </cell>
        </row>
        <row r="34">
          <cell r="A34">
            <v>1</v>
          </cell>
          <cell r="B34" t="str">
            <v xml:space="preserve">Complete or substantial compliance with standard </v>
          </cell>
          <cell r="C34">
            <v>1</v>
          </cell>
          <cell r="F34" t="str">
            <v>ALL (CONTINUED)</v>
          </cell>
        </row>
        <row r="35">
          <cell r="A35">
            <v>17</v>
          </cell>
          <cell r="B35" t="str">
            <v>Used for NOT APPLICABLE (N/A)</v>
          </cell>
          <cell r="C35" t="str">
            <v>N/A</v>
          </cell>
          <cell r="F35" t="str">
            <v>Hazard Communication  (SMSTK, OSHA 1910.1200)</v>
          </cell>
          <cell r="H35">
            <v>19</v>
          </cell>
          <cell r="J35">
            <v>19</v>
          </cell>
        </row>
        <row r="36">
          <cell r="A36">
            <v>17</v>
          </cell>
          <cell r="B36" t="str">
            <v>a.</v>
          </cell>
          <cell r="D36">
            <v>1</v>
          </cell>
          <cell r="F36" t="str">
            <v>Is the Hazard Communication Written Program complete?  (SMSTK-301)</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18</v>
          </cell>
          <cell r="D38">
            <v>1</v>
          </cell>
          <cell r="F38" t="str">
            <v>Is the Hazardous Chemical List complete for non-ServiceMaster chemicals stored at the facility?  (SMSTK-304)</v>
          </cell>
          <cell r="H38">
            <v>1</v>
          </cell>
          <cell r="J38">
            <v>1</v>
          </cell>
          <cell r="K38" t="str">
            <v>All</v>
          </cell>
        </row>
        <row r="39">
          <cell r="D39">
            <v>0</v>
          </cell>
          <cell r="F39" t="str">
            <v>RISK-ALL</v>
          </cell>
          <cell r="J39" t="str">
            <v>Score</v>
          </cell>
        </row>
        <row r="40">
          <cell r="A40" t="str">
            <v>D.</v>
          </cell>
          <cell r="B40" t="str">
            <v>Enter previous PPA/QPQ/QPE scores on QPQ Score Sheet (Right Hand Column)</v>
          </cell>
          <cell r="F40" t="str">
            <v>CONTINUED</v>
          </cell>
        </row>
        <row r="41">
          <cell r="A41">
            <v>19</v>
          </cell>
          <cell r="B41" t="str">
            <v>Insert Previous scores in Col E on Score Page</v>
          </cell>
          <cell r="D41">
            <v>0</v>
          </cell>
          <cell r="F41" t="str">
            <v>Lock Out / Tag Out   (SMSTK, OSHA 1910.147,  SOPI 300.20)</v>
          </cell>
        </row>
        <row r="42">
          <cell r="A42">
            <v>19</v>
          </cell>
          <cell r="B42" t="str">
            <v>a.</v>
          </cell>
          <cell r="D42">
            <v>1</v>
          </cell>
          <cell r="F42" t="str">
            <v>Is the Lock Out/Tag Out Compliance Checklist complete?  (SMSTK-401)</v>
          </cell>
          <cell r="H42">
            <v>1</v>
          </cell>
          <cell r="J42">
            <v>1</v>
          </cell>
          <cell r="K42" t="str">
            <v>All</v>
          </cell>
        </row>
        <row r="43">
          <cell r="A43">
            <v>19</v>
          </cell>
          <cell r="B43" t="str">
            <v>b.</v>
          </cell>
          <cell r="D43">
            <v>1</v>
          </cell>
          <cell r="F43" t="str">
            <v>Is the Powered Equipment Inventory complete?  (SMSTK-403)  Is there documented shutdown and startup procedures?</v>
          </cell>
          <cell r="H43">
            <v>1</v>
          </cell>
          <cell r="J43">
            <v>1</v>
          </cell>
          <cell r="K43" t="str">
            <v>All</v>
          </cell>
        </row>
        <row r="44">
          <cell r="A44">
            <v>20</v>
          </cell>
          <cell r="B44" t="str">
            <v>b.</v>
          </cell>
          <cell r="D44">
            <v>0</v>
          </cell>
          <cell r="F44" t="str">
            <v>Personal Protective Equipment (SMSTK, OSHA 1910.132)</v>
          </cell>
          <cell r="H44">
            <v>1</v>
          </cell>
          <cell r="J44">
            <v>1</v>
          </cell>
          <cell r="K44" t="str">
            <v>Cust</v>
          </cell>
        </row>
        <row r="45">
          <cell r="A45">
            <v>20</v>
          </cell>
          <cell r="B45" t="str">
            <v>a.</v>
          </cell>
          <cell r="D45">
            <v>1</v>
          </cell>
          <cell r="F45" t="str">
            <v>Are work areas'  inventories listed and matched with Hazard Assessment form?  (SMSTK-501)</v>
          </cell>
          <cell r="H45">
            <v>1</v>
          </cell>
          <cell r="J45">
            <v>1</v>
          </cell>
          <cell r="K45" t="str">
            <v>All</v>
          </cell>
        </row>
        <row r="46">
          <cell r="A46">
            <v>20</v>
          </cell>
          <cell r="B46" t="str">
            <v>b.</v>
          </cell>
          <cell r="D46">
            <v>1</v>
          </cell>
          <cell r="F46" t="str">
            <v>Is PPE Hazard Assessment complete and reviewed annually?</v>
          </cell>
          <cell r="H46">
            <v>1</v>
          </cell>
          <cell r="J46">
            <v>1</v>
          </cell>
          <cell r="K46" t="str">
            <v>All</v>
          </cell>
        </row>
        <row r="47">
          <cell r="A47">
            <v>21</v>
          </cell>
          <cell r="B47" t="str">
            <v>b.</v>
          </cell>
          <cell r="D47">
            <v>1</v>
          </cell>
          <cell r="F47" t="str">
            <v>Bloodborne Pathogens (SMSTK, OSHA 1910.1030, SOPI 600.14)</v>
          </cell>
          <cell r="H47">
            <v>1</v>
          </cell>
          <cell r="J47">
            <v>1</v>
          </cell>
        </row>
        <row r="48">
          <cell r="A48">
            <v>21</v>
          </cell>
          <cell r="B48" t="str">
            <v>a</v>
          </cell>
          <cell r="D48">
            <v>1</v>
          </cell>
          <cell r="F48" t="str">
            <v>Is the Exposure Control Plan complete?  (SMSTK-601)  Is there a procedure in place to disinfect contaminated equipment?</v>
          </cell>
          <cell r="H48">
            <v>1</v>
          </cell>
          <cell r="J48">
            <v>1</v>
          </cell>
          <cell r="K48" t="str">
            <v>All</v>
          </cell>
        </row>
        <row r="49">
          <cell r="A49">
            <v>21</v>
          </cell>
          <cell r="B49" t="str">
            <v>b.</v>
          </cell>
          <cell r="D49">
            <v>1</v>
          </cell>
          <cell r="F49" t="str">
            <v>Is the Job Classification of ALL Employees Having Exposure to Bloodborne Pathogens completed by job title?  (SMSTK-602)</v>
          </cell>
          <cell r="H49">
            <v>1</v>
          </cell>
          <cell r="J49">
            <v>1</v>
          </cell>
          <cell r="K49" t="str">
            <v>All</v>
          </cell>
        </row>
        <row r="50">
          <cell r="A50">
            <v>21</v>
          </cell>
          <cell r="B50" t="str">
            <v>c.</v>
          </cell>
          <cell r="D50">
            <v>1</v>
          </cell>
          <cell r="F50" t="str">
            <v>Is the Job Classification for SOME Employees Having Exposure to Bloodborne Pathogens completed by job title?  (SMSTK-603)</v>
          </cell>
          <cell r="H50">
            <v>1</v>
          </cell>
          <cell r="J50">
            <v>1</v>
          </cell>
          <cell r="K50" t="str">
            <v>All</v>
          </cell>
        </row>
        <row r="51">
          <cell r="A51">
            <v>26</v>
          </cell>
          <cell r="B51" t="str">
            <v>f.</v>
          </cell>
          <cell r="D51">
            <v>0</v>
          </cell>
          <cell r="F51" t="str">
            <v>Check to see if Manager has reported any exposure incidents. If so:</v>
          </cell>
          <cell r="H51">
            <v>1</v>
          </cell>
          <cell r="J51">
            <v>1</v>
          </cell>
          <cell r="K51" t="str">
            <v>Cust</v>
          </cell>
        </row>
        <row r="52">
          <cell r="A52">
            <v>21</v>
          </cell>
          <cell r="B52" t="str">
            <v>d.</v>
          </cell>
          <cell r="D52">
            <v>1</v>
          </cell>
          <cell r="F52" t="str">
            <v>Has each exposure incident been called into OSW Claims or SM Legal?</v>
          </cell>
          <cell r="H52">
            <v>1</v>
          </cell>
          <cell r="J52">
            <v>1</v>
          </cell>
          <cell r="K52" t="str">
            <v>All</v>
          </cell>
        </row>
        <row r="53">
          <cell r="A53">
            <v>22</v>
          </cell>
          <cell r="B53" t="str">
            <v>h.</v>
          </cell>
          <cell r="D53">
            <v>1</v>
          </cell>
          <cell r="F53" t="str">
            <v>Asbestos Awareness  (SMSTK, OSHA, AHERA)</v>
          </cell>
          <cell r="H53">
            <v>1</v>
          </cell>
          <cell r="J53">
            <v>1</v>
          </cell>
        </row>
        <row r="54">
          <cell r="A54">
            <v>22</v>
          </cell>
          <cell r="B54" t="str">
            <v>a.</v>
          </cell>
          <cell r="D54">
            <v>1</v>
          </cell>
          <cell r="F54" t="str">
            <v>Has the Asbestos Notification Checklist been filled out. (SMSTK-702)</v>
          </cell>
          <cell r="H54">
            <v>1</v>
          </cell>
          <cell r="J54">
            <v>1</v>
          </cell>
          <cell r="K54" t="str">
            <v>All</v>
          </cell>
        </row>
        <row r="55">
          <cell r="A55">
            <v>22</v>
          </cell>
          <cell r="B55" t="str">
            <v>b.</v>
          </cell>
          <cell r="D55">
            <v>1</v>
          </cell>
          <cell r="F55" t="str">
            <v>Has Asbestos-Containing Material been identified, labeled, and recorded?  (SMSTK-703)</v>
          </cell>
          <cell r="H55">
            <v>1</v>
          </cell>
          <cell r="J55">
            <v>1</v>
          </cell>
          <cell r="K55" t="str">
            <v>All</v>
          </cell>
        </row>
        <row r="56">
          <cell r="A56">
            <v>22</v>
          </cell>
          <cell r="B56" t="str">
            <v>c.</v>
          </cell>
          <cell r="D56">
            <v>1</v>
          </cell>
          <cell r="F56" t="str">
            <v>Is the Asbestos Awareness training logged on the Scheduling and Attendance Form and are copies sent to the appropriate personnel?  (SMSTK-704)</v>
          </cell>
          <cell r="H56">
            <v>1</v>
          </cell>
          <cell r="J56">
            <v>1</v>
          </cell>
          <cell r="K56" t="str">
            <v>All</v>
          </cell>
        </row>
        <row r="57">
          <cell r="A57">
            <v>22</v>
          </cell>
          <cell r="B57" t="str">
            <v>d.</v>
          </cell>
          <cell r="D57">
            <v>1</v>
          </cell>
          <cell r="F57" t="str">
            <v>Is each ServiceMaster supervised employee’s individual Asbestos Awareness training sheet filled out to reflect actual training received and signed?  (SMSTK-705)</v>
          </cell>
          <cell r="H57">
            <v>1</v>
          </cell>
          <cell r="J57">
            <v>1</v>
          </cell>
          <cell r="K57" t="str">
            <v>All</v>
          </cell>
        </row>
        <row r="58">
          <cell r="A58">
            <v>23</v>
          </cell>
          <cell r="B58" t="str">
            <v>m.</v>
          </cell>
          <cell r="D58">
            <v>1</v>
          </cell>
          <cell r="F58" t="str">
            <v>Respiratory Protection (SMSTK, OSHA 1910.134)</v>
          </cell>
          <cell r="H58">
            <v>1</v>
          </cell>
          <cell r="J58">
            <v>1</v>
          </cell>
          <cell r="K58" t="str">
            <v>Cust</v>
          </cell>
        </row>
        <row r="59">
          <cell r="A59">
            <v>23</v>
          </cell>
          <cell r="B59" t="str">
            <v>a.</v>
          </cell>
          <cell r="D59">
            <v>1</v>
          </cell>
          <cell r="F59" t="str">
            <v xml:space="preserve">Is a "Respirator Protection" written program required?  If so, is it complete? (SMSTK-900).  </v>
          </cell>
          <cell r="H59">
            <v>1</v>
          </cell>
          <cell r="J59">
            <v>1</v>
          </cell>
          <cell r="K59" t="str">
            <v>All</v>
          </cell>
        </row>
        <row r="60">
          <cell r="A60">
            <v>23</v>
          </cell>
          <cell r="B60" t="str">
            <v>b.</v>
          </cell>
          <cell r="D60">
            <v>1</v>
          </cell>
          <cell r="F60" t="str">
            <v>Have "Exposure Assessment" forms been completed? (SMSTK-902).</v>
          </cell>
          <cell r="H60">
            <v>1</v>
          </cell>
          <cell r="J60">
            <v>1</v>
          </cell>
          <cell r="K60" t="str">
            <v>All</v>
          </cell>
        </row>
        <row r="61">
          <cell r="A61">
            <v>23</v>
          </cell>
          <cell r="B61" t="str">
            <v>c.</v>
          </cell>
          <cell r="D61">
            <v>1</v>
          </cell>
          <cell r="F61" t="str">
            <v>If respirators are required, has the fit test and evaluation checklist been completed?  (SMSTK-903).</v>
          </cell>
          <cell r="H61">
            <v>1</v>
          </cell>
          <cell r="J61">
            <v>1</v>
          </cell>
          <cell r="K61" t="str">
            <v>All</v>
          </cell>
        </row>
        <row r="62">
          <cell r="A62">
            <v>23</v>
          </cell>
          <cell r="B62" t="str">
            <v>d.</v>
          </cell>
          <cell r="D62">
            <v>1</v>
          </cell>
          <cell r="F62" t="str">
            <v>If  respirators are required, is there documentation of medical evaluations for the users of respirators? (SMSTK-905)  If respirators are being worn voluntarily, has Appendix D been given to those users?  Does the documentation indicate new technology con</v>
          </cell>
          <cell r="H62">
            <v>1</v>
          </cell>
          <cell r="J62">
            <v>1</v>
          </cell>
          <cell r="K62" t="str">
            <v>All</v>
          </cell>
        </row>
        <row r="63">
          <cell r="A63">
            <v>24</v>
          </cell>
          <cell r="B63" t="str">
            <v>d.</v>
          </cell>
          <cell r="D63">
            <v>1</v>
          </cell>
          <cell r="F63" t="str">
            <v>Is the written TB Plan complete? (SMSTK 1000 &amp; 1004)(All Facilities)</v>
          </cell>
          <cell r="H63">
            <v>1</v>
          </cell>
          <cell r="J63">
            <v>1</v>
          </cell>
          <cell r="K63" t="str">
            <v>All</v>
          </cell>
        </row>
        <row r="64">
          <cell r="A64">
            <v>37</v>
          </cell>
          <cell r="B64" t="str">
            <v>Structures. (Life Safety Code 101)</v>
          </cell>
          <cell r="D64">
            <v>0</v>
          </cell>
          <cell r="F64" t="str">
            <v>Confined Space Entry (SMSTK, OSHA 1910.146)</v>
          </cell>
          <cell r="H64">
            <v>1</v>
          </cell>
          <cell r="J64">
            <v>1</v>
          </cell>
          <cell r="K64" t="str">
            <v>Cust</v>
          </cell>
        </row>
        <row r="65">
          <cell r="A65">
            <v>25</v>
          </cell>
          <cell r="D65">
            <v>1</v>
          </cell>
          <cell r="F65" t="str">
            <v>Is the "Permit-Required Confined Space Program" complete? (SMSTK-800)</v>
          </cell>
          <cell r="H65">
            <v>1</v>
          </cell>
          <cell r="J65">
            <v>1</v>
          </cell>
          <cell r="K65" t="str">
            <v>All</v>
          </cell>
        </row>
        <row r="66">
          <cell r="A66">
            <v>39</v>
          </cell>
          <cell r="B66" t="str">
            <v>General Industry Safety and Health Standards</v>
          </cell>
          <cell r="D66">
            <v>0</v>
          </cell>
          <cell r="F66" t="str">
            <v>Are trash containers clean, and if applicable, lined and covered?</v>
          </cell>
          <cell r="H66">
            <v>1</v>
          </cell>
          <cell r="J66">
            <v>1</v>
          </cell>
          <cell r="K66" t="str">
            <v>Cust</v>
          </cell>
        </row>
        <row r="67">
          <cell r="A67">
            <v>40</v>
          </cell>
          <cell r="D67">
            <v>1</v>
          </cell>
          <cell r="F67" t="str">
            <v xml:space="preserve">                                                                    Total Risk - All</v>
          </cell>
          <cell r="H67">
            <v>42</v>
          </cell>
          <cell r="J67">
            <v>42</v>
          </cell>
          <cell r="K67" t="str">
            <v>Cust</v>
          </cell>
        </row>
        <row r="68">
          <cell r="A68">
            <v>41</v>
          </cell>
          <cell r="D68">
            <v>1</v>
          </cell>
          <cell r="F68" t="str">
            <v xml:space="preserve">                                                                    Percentage Implemented</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RISK</v>
          </cell>
          <cell r="H70">
            <v>1</v>
          </cell>
          <cell r="J70" t="str">
            <v>Possible</v>
          </cell>
          <cell r="K70" t="str">
            <v>Cust</v>
          </cell>
        </row>
        <row r="71">
          <cell r="A71">
            <v>44</v>
          </cell>
          <cell r="D71">
            <v>1</v>
          </cell>
          <cell r="F71" t="str">
            <v>POM</v>
          </cell>
          <cell r="H71" t="str">
            <v>Score</v>
          </cell>
          <cell r="I71">
            <v>0</v>
          </cell>
          <cell r="J71" t="str">
            <v>Score</v>
          </cell>
          <cell r="K71" t="str">
            <v>Cust</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Are all initiating devices (pull box stations, heat/smoke detectors, etc.) numbered and inventoried? (Check Tags)  (JCAHO SOC,  NFPA 10: 4-1, 4-3.1,  4-4, 4-4.3,  OSHA:  1910.157, E2)</v>
          </cell>
          <cell r="H73">
            <v>1</v>
          </cell>
          <cell r="J73">
            <v>1</v>
          </cell>
          <cell r="K73" t="str">
            <v>POM</v>
          </cell>
        </row>
        <row r="74">
          <cell r="A74" t="str">
            <v>26.</v>
          </cell>
          <cell r="D74">
            <v>1</v>
          </cell>
          <cell r="F74" t="str">
            <v>RISK</v>
          </cell>
          <cell r="H74">
            <v>1</v>
          </cell>
          <cell r="J74">
            <v>1</v>
          </cell>
        </row>
        <row r="75">
          <cell r="A75" t="str">
            <v>27.</v>
          </cell>
          <cell r="D75">
            <v>1</v>
          </cell>
          <cell r="F75" t="str">
            <v>POM (CONTINUED)</v>
          </cell>
          <cell r="H75">
            <v>1</v>
          </cell>
          <cell r="J75">
            <v>1</v>
          </cell>
        </row>
        <row r="76">
          <cell r="A76">
            <v>28</v>
          </cell>
          <cell r="B76" t="str">
            <v>a.</v>
          </cell>
          <cell r="D76">
            <v>1</v>
          </cell>
          <cell r="F76" t="str">
            <v>Are fire alarm pull box stations inspected annually and in working order? (ADM.:  P400.16A, SOPI:  600.1)</v>
          </cell>
          <cell r="H76">
            <v>1</v>
          </cell>
          <cell r="J76">
            <v>1</v>
          </cell>
          <cell r="K76" t="str">
            <v>POM</v>
          </cell>
        </row>
        <row r="77">
          <cell r="A77">
            <v>28</v>
          </cell>
          <cell r="B77" t="str">
            <v>b.</v>
          </cell>
          <cell r="D77">
            <v>1</v>
          </cell>
          <cell r="F77" t="str">
            <v>Are fire alarm pull box stations &amp; automatic heat/smoke detectors inspected annually and in working order? (NFPA 72:3, JCAHO 2.12a3)</v>
          </cell>
          <cell r="H77">
            <v>1</v>
          </cell>
          <cell r="J77">
            <v>1</v>
          </cell>
          <cell r="K77" t="str">
            <v>POM</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cell r="K78" t="str">
            <v>POM</v>
          </cell>
        </row>
        <row r="79">
          <cell r="A79">
            <v>30</v>
          </cell>
          <cell r="D79">
            <v>1</v>
          </cell>
          <cell r="F79" t="str">
            <v>Are all smoke detectors visually inspected at least semi-annually and TESTED annually?  (NFPA 72E:  8-3.2, JCAHO EC 2.12a3)</v>
          </cell>
          <cell r="H79">
            <v>1</v>
          </cell>
          <cell r="J79">
            <v>1</v>
          </cell>
          <cell r="K79" t="str">
            <v>POM</v>
          </cell>
        </row>
        <row r="80">
          <cell r="A80">
            <v>31</v>
          </cell>
          <cell r="B80" t="str">
            <v>a.</v>
          </cell>
          <cell r="D80">
            <v>1</v>
          </cell>
          <cell r="F80" t="str">
            <v xml:space="preserve">Is there documentation of annual test results on air duct smoke detectors?  (NFPA 72E: 8-3.4.3)  </v>
          </cell>
          <cell r="H80">
            <v>1</v>
          </cell>
          <cell r="J80">
            <v>1</v>
          </cell>
          <cell r="K80" t="str">
            <v>POM</v>
          </cell>
        </row>
        <row r="81">
          <cell r="A81">
            <v>32</v>
          </cell>
          <cell r="B81" t="str">
            <v>b.</v>
          </cell>
          <cell r="D81">
            <v>1</v>
          </cell>
          <cell r="F81" t="str">
            <v>Are all smoke dampers inspected bi-annually?  (NFPA 90A: appendix B-2)</v>
          </cell>
          <cell r="H81">
            <v>1</v>
          </cell>
          <cell r="J81">
            <v>1</v>
          </cell>
          <cell r="K81" t="str">
            <v>POM</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cell r="K82" t="str">
            <v>POM</v>
          </cell>
        </row>
        <row r="83">
          <cell r="A83">
            <v>34</v>
          </cell>
          <cell r="D83">
            <v>2</v>
          </cell>
          <cell r="F83" t="str">
            <v>(For non-restorable heat detectors over 15 years old, follow testing guidelines in NFPA 72E).  (NFPA 72E: 8-3.2, 8-3.3.1)</v>
          </cell>
          <cell r="H83" t="str">
            <v>N/A</v>
          </cell>
          <cell r="J83">
            <v>0</v>
          </cell>
          <cell r="K83" t="str">
            <v>EdCust</v>
          </cell>
        </row>
        <row r="84">
          <cell r="A84">
            <v>35</v>
          </cell>
          <cell r="D84">
            <v>1</v>
          </cell>
          <cell r="F84" t="str">
            <v>Is there annual comprehensive preventive maintenance performed on all components of the fire alarm and fire detection system by a qualified fire system professional?  (NFPA 72E: 8-1, JCAHO EC 2.12)</v>
          </cell>
          <cell r="H84">
            <v>1</v>
          </cell>
          <cell r="J84">
            <v>1</v>
          </cell>
          <cell r="K84" t="str">
            <v>POM</v>
          </cell>
        </row>
        <row r="85">
          <cell r="A85">
            <v>36</v>
          </cell>
          <cell r="D85">
            <v>1</v>
          </cell>
          <cell r="F85" t="str">
            <v xml:space="preserve">Are fire extinguishing systems that protect exhaust hoods, grease removal devices and ducts for commercial cooking ranges and deep fryers inspected by properly trained and qualified individuals at least every six months?  </v>
          </cell>
          <cell r="H85">
            <v>1</v>
          </cell>
          <cell r="J85">
            <v>1</v>
          </cell>
          <cell r="K85" t="str">
            <v>POM</v>
          </cell>
        </row>
        <row r="86">
          <cell r="A86" t="str">
            <v>31.</v>
          </cell>
          <cell r="D86">
            <v>1</v>
          </cell>
          <cell r="F86" t="str">
            <v>(Check tags)  (NFPA 96: 8-2.1)  Verify that the kitchen food (grease removal) system needs to be cleaned with non-solvent based products.  (NFPA 96:8-3.2)</v>
          </cell>
          <cell r="H86">
            <v>1</v>
          </cell>
          <cell r="J86">
            <v>1</v>
          </cell>
        </row>
        <row r="87">
          <cell r="A87">
            <v>37</v>
          </cell>
          <cell r="D87">
            <v>1</v>
          </cell>
          <cell r="F87" t="str">
            <v>Are doors that are neither an exit nor an exit access, but likely to be mistaken for an exit, identified by a sign reading “NO EXIT”?  (NFPA 101:5-10.4.2, JCAHO SOC)</v>
          </cell>
          <cell r="H87">
            <v>1</v>
          </cell>
          <cell r="J87">
            <v>1</v>
          </cell>
          <cell r="K87" t="str">
            <v>POM</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cell r="K88" t="str">
            <v>POM</v>
          </cell>
        </row>
        <row r="89">
          <cell r="A89">
            <v>39</v>
          </cell>
          <cell r="D89">
            <v>1</v>
          </cell>
          <cell r="F89" t="str">
            <v>Are non-potable water outlets &amp; piping clearly labeled to indicate “NOT FOR HUMAN CONSUMPTION”?  (OSHA 1910.141b2)</v>
          </cell>
          <cell r="H89">
            <v>1</v>
          </cell>
          <cell r="J89">
            <v>1</v>
          </cell>
          <cell r="K89" t="str">
            <v>POM</v>
          </cell>
        </row>
        <row r="90">
          <cell r="A90">
            <v>40</v>
          </cell>
          <cell r="D90">
            <v>1</v>
          </cell>
          <cell r="F90" t="str">
            <v>Are enclosures containing exposed live parts operating at greater than 50 volts nominal, kept locked with conspicuous warning signs?  (NFPA 70:  110.27)</v>
          </cell>
          <cell r="H90">
            <v>1</v>
          </cell>
          <cell r="J90">
            <v>1</v>
          </cell>
          <cell r="K90" t="str">
            <v>POM</v>
          </cell>
        </row>
        <row r="91">
          <cell r="A91">
            <v>41</v>
          </cell>
          <cell r="D91">
            <v>1</v>
          </cell>
          <cell r="F91" t="str">
            <v>Where compressed air is used for cleaning, is the pressure regulated to 30 psi or less, and is the air source fitted with a chip guard?  (OSHA:  1910.242, SOPI 600.7)</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Are emergency generators inspected weekly, tested under load for at least 30 minutes under normal operating conditions at no more than 30-day intervals, and are test results properly and completely recorded on the emergency generator log. Exception:  Self</v>
          </cell>
          <cell r="H93">
            <v>1</v>
          </cell>
          <cell r="J93">
            <v>1</v>
          </cell>
          <cell r="K93" t="str">
            <v>POM</v>
          </cell>
        </row>
        <row r="94">
          <cell r="A94">
            <v>44</v>
          </cell>
          <cell r="D94">
            <v>1</v>
          </cell>
          <cell r="F94" t="str">
            <v>Are all emergency lighting systems tested for 1-1/2 hours every year?  Are battery emergency lighting systems tested for 30 seconds every 30 days? (NFPA 101: 5-9.3)</v>
          </cell>
          <cell r="H94">
            <v>1</v>
          </cell>
          <cell r="J94">
            <v>1</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v>45</v>
          </cell>
          <cell r="B96" t="str">
            <v>b.</v>
          </cell>
          <cell r="D96">
            <v>1</v>
          </cell>
          <cell r="F96" t="str">
            <v>Has the Manager obtained emergency phone numbers and contact with utility companies and other essential services?  (i.e. water, fuel, supplies)  (SOPI:  600.12)</v>
          </cell>
          <cell r="H96">
            <v>1</v>
          </cell>
          <cell r="J96">
            <v>1</v>
          </cell>
          <cell r="K96" t="str">
            <v>POM</v>
          </cell>
        </row>
        <row r="97">
          <cell r="A97">
            <v>46</v>
          </cell>
          <cell r="D97">
            <v>1</v>
          </cell>
          <cell r="F97" t="str">
            <v xml:space="preserve">Are the facility's underground storage tanks inventoried, registered, and in compliance with State and Federal regulations? </v>
          </cell>
          <cell r="H97">
            <v>1</v>
          </cell>
          <cell r="J97">
            <v>1</v>
          </cell>
          <cell r="K97" t="str">
            <v>POM</v>
          </cell>
        </row>
        <row r="98">
          <cell r="A98">
            <v>62</v>
          </cell>
          <cell r="D98">
            <v>2</v>
          </cell>
          <cell r="F98" t="str">
            <v>RISK</v>
          </cell>
          <cell r="H98" t="str">
            <v>N/A</v>
          </cell>
          <cell r="J98">
            <v>0</v>
          </cell>
          <cell r="K98" t="str">
            <v>EdCust</v>
          </cell>
        </row>
        <row r="99">
          <cell r="A99">
            <v>63</v>
          </cell>
          <cell r="D99">
            <v>2</v>
          </cell>
          <cell r="F99" t="str">
            <v>POM (CONTINUED)</v>
          </cell>
          <cell r="H99" t="str">
            <v>N/A</v>
          </cell>
          <cell r="J99">
            <v>0</v>
          </cell>
          <cell r="K99" t="str">
            <v>EdCust</v>
          </cell>
        </row>
        <row r="100">
          <cell r="A100">
            <v>47</v>
          </cell>
          <cell r="D100">
            <v>1</v>
          </cell>
          <cell r="F100" t="str">
            <v>Are periodic inspections of elevators properly documented?  Is a copy of the latest inspection posted in the respective elevator? (ASME?ANSI A17.1)</v>
          </cell>
          <cell r="H100">
            <v>1</v>
          </cell>
          <cell r="J100">
            <v>1</v>
          </cell>
          <cell r="K100" t="str">
            <v>POM</v>
          </cell>
        </row>
        <row r="101">
          <cell r="A101">
            <v>48</v>
          </cell>
          <cell r="D101">
            <v>1</v>
          </cell>
          <cell r="F101" t="str">
            <v>Is there documentation verifying that grease removal filters and duct work on kitchen hoods have been inspected and cleaned every 6 months? (NFPA 96:8)</v>
          </cell>
          <cell r="H101">
            <v>1</v>
          </cell>
          <cell r="J101">
            <v>1</v>
          </cell>
          <cell r="K101" t="str">
            <v>POM</v>
          </cell>
        </row>
        <row r="102">
          <cell r="A102">
            <v>49</v>
          </cell>
          <cell r="D102">
            <v>1</v>
          </cell>
          <cell r="F102" t="str">
            <v>Are all pieces of portable equipment/power tools inventoried, indexed on ISIS, and given an annual safety check?  (NFPA 70B: 17, OSHA 1910.243)</v>
          </cell>
          <cell r="H102">
            <v>1</v>
          </cell>
          <cell r="J102">
            <v>1</v>
          </cell>
          <cell r="K102" t="str">
            <v>POM</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Are records for disposal of infectious waste and landfill records maintained in accordance with local codes? (NFPA 82: 2-2, EC 1.5, and EC 2.4b)</v>
          </cell>
          <cell r="H105">
            <v>1</v>
          </cell>
          <cell r="J105">
            <v>1</v>
          </cell>
          <cell r="K105" t="str">
            <v>POM</v>
          </cell>
        </row>
        <row r="106">
          <cell r="A106">
            <v>53</v>
          </cell>
          <cell r="D106">
            <v>1</v>
          </cell>
          <cell r="F106" t="str">
            <v>Is there an up-to-date list of essential services provided by emergency power sources for review? (NFPA 99:3-4.2 and SOPI 600.9)</v>
          </cell>
          <cell r="H106">
            <v>1</v>
          </cell>
          <cell r="J106">
            <v>1</v>
          </cell>
          <cell r="K106" t="str">
            <v>POM</v>
          </cell>
        </row>
        <row r="107">
          <cell r="A107">
            <v>54</v>
          </cell>
          <cell r="D107">
            <v>1</v>
          </cell>
          <cell r="F107" t="str">
            <v>Is there an inventory of all fire protection and extinguishing components and equipment on file and indexed in ISIS?</v>
          </cell>
          <cell r="H107">
            <v>1</v>
          </cell>
          <cell r="J107">
            <v>1</v>
          </cell>
          <cell r="K107" t="str">
            <v>POM</v>
          </cell>
        </row>
        <row r="108">
          <cell r="A108">
            <v>55</v>
          </cell>
          <cell r="D108">
            <v>1</v>
          </cell>
          <cell r="F108" t="str">
            <v>Is there a Fire Hazard Survey? (OSHA 29 CFR 1910.38(b)(2))</v>
          </cell>
          <cell r="H108">
            <v>1</v>
          </cell>
          <cell r="J108">
            <v>1</v>
          </cell>
          <cell r="K108" t="str">
            <v>POM</v>
          </cell>
        </row>
        <row r="109">
          <cell r="A109">
            <v>56</v>
          </cell>
          <cell r="D109">
            <v>1</v>
          </cell>
          <cell r="F109" t="str">
            <v>Is there a Fire Hazard Log? (OSHA 29 CFR 1910.38(b)(2))</v>
          </cell>
          <cell r="H109">
            <v>1</v>
          </cell>
          <cell r="J109">
            <v>1</v>
          </cell>
          <cell r="K109" t="str">
            <v>POM</v>
          </cell>
        </row>
        <row r="110">
          <cell r="A110">
            <v>57</v>
          </cell>
          <cell r="D110">
            <v>1</v>
          </cell>
          <cell r="F110" t="str">
            <v>Have tactile/Braille exit signs been provided at each exit stair door, 60" above floor?  (Does not apply to existing buildings provided the occupancy classification does not change, before 1994) (NFPA 101, 5-10.1.3)</v>
          </cell>
          <cell r="H110">
            <v>1</v>
          </cell>
          <cell r="J110">
            <v>1</v>
          </cell>
          <cell r="K110" t="str">
            <v>POM</v>
          </cell>
        </row>
        <row r="111">
          <cell r="A111">
            <v>58</v>
          </cell>
          <cell r="D111">
            <v>1</v>
          </cell>
          <cell r="F111" t="str">
            <v>Are original records on fire protection systems retained for the life of the system? (NFPA 25:1-8.2)</v>
          </cell>
          <cell r="H111">
            <v>1</v>
          </cell>
          <cell r="J111">
            <v>1</v>
          </cell>
          <cell r="K111" t="str">
            <v>POM</v>
          </cell>
        </row>
        <row r="112">
          <cell r="A112">
            <v>59</v>
          </cell>
          <cell r="D112">
            <v>1</v>
          </cell>
          <cell r="F112" t="str">
            <v>Are fire alarm power connections ona dedicated branch circuit?  Is that circuit protected by an emergency power supply source?  (NFPA 72)  Is access to disconnects restricted to authorized personnel and is the fire alarm circuit clearly marked or labeled?</v>
          </cell>
          <cell r="H112">
            <v>1</v>
          </cell>
          <cell r="J112">
            <v>1</v>
          </cell>
          <cell r="K112" t="str">
            <v>POM</v>
          </cell>
        </row>
        <row r="113">
          <cell r="A113">
            <v>60</v>
          </cell>
          <cell r="D113">
            <v>1</v>
          </cell>
          <cell r="F113" t="str">
            <v>Are all supevisory signal devices (except valve tamper switches) tested quarterly?  Are all water tamper switches and water flow devices tested semi-annually?  (NFPA 72:7-3.2 and JCAHO EC 2.12.a1)</v>
          </cell>
          <cell r="H113">
            <v>1</v>
          </cell>
          <cell r="J113">
            <v>1</v>
          </cell>
          <cell r="K113" t="str">
            <v>POM</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Are all heat detectors tested annually? (NFPA 72:7-2.2 and JCAHO EC 2.12a.3)</v>
          </cell>
          <cell r="H115">
            <v>1</v>
          </cell>
          <cell r="J115">
            <v>1</v>
          </cell>
          <cell r="K115" t="str">
            <v>POM</v>
          </cell>
        </row>
        <row r="116">
          <cell r="A116">
            <v>63</v>
          </cell>
          <cell r="D116">
            <v>1</v>
          </cell>
          <cell r="F116" t="str">
            <v>Are all Occupant Alarm Notification devices including all audible devices, speakers, and visible devices tested annually? (NFPA 72:7-2.2 and JCAHO EC 2.12b)</v>
          </cell>
          <cell r="H116">
            <v>1</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Are sprinkler control valves numbered (labeled) to indicate fire areas served? (NFPA 13: 2-7.1.1, 25:9-3.2)</v>
          </cell>
          <cell r="H119">
            <v>1</v>
          </cell>
          <cell r="J119">
            <v>1</v>
          </cell>
          <cell r="K119" t="str">
            <v>POM</v>
          </cell>
        </row>
        <row r="120">
          <cell r="A120">
            <v>67</v>
          </cell>
          <cell r="D120">
            <v>1</v>
          </cell>
          <cell r="F120" t="str">
            <v>Are sprinkler control valves secured in the normal or open position and inspected weekly (sealed valves) or monthly (for locked valves and valves with tamper switches)? (NFPA 25:9-3.31, 9-3.32)</v>
          </cell>
          <cell r="H120">
            <v>1</v>
          </cell>
          <cell r="J120">
            <v>1</v>
          </cell>
          <cell r="K120" t="str">
            <v>POM</v>
          </cell>
        </row>
        <row r="121">
          <cell r="A121">
            <v>68</v>
          </cell>
          <cell r="D121">
            <v>1</v>
          </cell>
          <cell r="F121" t="str">
            <v>Are full quarterly inspections and tests on sprinkler control valves complete if required (See Table NFPA 25:9-1)?</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1</v>
          </cell>
          <cell r="F123" t="str">
            <v>Are automatic sprinkler heads not damaged, corroded, panited or heavily laden with dirt? (NFPA 13: 9-1.1)</v>
          </cell>
          <cell r="H123">
            <v>1</v>
          </cell>
          <cell r="J123">
            <v>1</v>
          </cell>
          <cell r="K123" t="str">
            <v>POM</v>
          </cell>
        </row>
        <row r="124">
          <cell r="A124">
            <v>71</v>
          </cell>
          <cell r="D124">
            <v>1</v>
          </cell>
          <cell r="F124" t="str">
            <v>Are sprinkler heads not obstructed? (Clearance of at least 18 inches from ceiling)</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row r="127">
          <cell r="A127">
            <v>74</v>
          </cell>
          <cell r="D127">
            <v>1</v>
          </cell>
          <cell r="F127" t="str">
            <v>Are all water storage tanks (used in fire extinquisher systems) low water temperature alarms (during cold weather only) tested monthly? (NFPA 25: 6-3.3 and JCAHO EC 2.12d4)</v>
          </cell>
          <cell r="H127">
            <v>1</v>
          </cell>
          <cell r="J127">
            <v>1</v>
          </cell>
          <cell r="K127" t="str">
            <v>POM</v>
          </cell>
        </row>
        <row r="128">
          <cell r="A128">
            <v>75</v>
          </cell>
          <cell r="D128">
            <v>1</v>
          </cell>
          <cell r="F128" t="str">
            <v>Are main drain tests conducted quarterly at all system risers? (NFPA 25: Table 9-1 and JCAHO EC 2.12d6)</v>
          </cell>
          <cell r="H128">
            <v>1</v>
          </cell>
          <cell r="J128">
            <v>1</v>
          </cell>
          <cell r="K128" t="str">
            <v>POM</v>
          </cell>
        </row>
        <row r="129">
          <cell r="A129">
            <v>80</v>
          </cell>
          <cell r="D129">
            <v>2</v>
          </cell>
          <cell r="F129" t="str">
            <v>RISK</v>
          </cell>
          <cell r="H129" t="str">
            <v>N/A</v>
          </cell>
          <cell r="J129">
            <v>0</v>
          </cell>
          <cell r="K129" t="str">
            <v>Ground</v>
          </cell>
        </row>
        <row r="130">
          <cell r="A130">
            <v>81</v>
          </cell>
          <cell r="D130">
            <v>2</v>
          </cell>
          <cell r="F130" t="str">
            <v>POM (CONTINUED)</v>
          </cell>
          <cell r="H130" t="str">
            <v>N/A</v>
          </cell>
          <cell r="J130">
            <v>0</v>
          </cell>
          <cell r="K130" t="str">
            <v>Ground</v>
          </cell>
        </row>
        <row r="131">
          <cell r="A131">
            <v>76</v>
          </cell>
          <cell r="D131">
            <v>1</v>
          </cell>
          <cell r="F131" t="str">
            <v>Is an annual maintenance check performed on portable fire extinquishers by properly trained and qualified individuals? (Check tags) (NFPA 10: 4-1.2, 4-1.4, 4-4.3)</v>
          </cell>
          <cell r="H131">
            <v>1</v>
          </cell>
          <cell r="J131">
            <v>1</v>
          </cell>
          <cell r="K131" t="str">
            <v>POM</v>
          </cell>
        </row>
        <row r="132">
          <cell r="A132">
            <v>77</v>
          </cell>
          <cell r="D132">
            <v>1</v>
          </cell>
          <cell r="F132" t="str">
            <v>Are the monthly fire extinquisher inspections documented on a Fire Extinquisher Inspection Log or an equivalent facility form? (NFPA 10:4-4.3.4)</v>
          </cell>
          <cell r="H132">
            <v>1</v>
          </cell>
          <cell r="J132">
            <v>1</v>
          </cell>
          <cell r="K132" t="str">
            <v>POM</v>
          </cell>
        </row>
        <row r="133">
          <cell r="A133">
            <v>78</v>
          </cell>
          <cell r="D133">
            <v>1</v>
          </cell>
          <cell r="F133" t="str">
            <v>Is the maintenance of fire extinquishers documented on a Maintenance Record Log or an equivalent facility form?</v>
          </cell>
          <cell r="H133">
            <v>1</v>
          </cell>
          <cell r="J133">
            <v>1</v>
          </cell>
          <cell r="K133" t="str">
            <v>POM</v>
          </cell>
        </row>
        <row r="134">
          <cell r="A134">
            <v>79</v>
          </cell>
          <cell r="D134">
            <v>1</v>
          </cell>
          <cell r="F134" t="str">
            <v>Does a visual inspection of fire/smoke partitions confirm that there are no penetrations? (NFPA 101: 6-3.6 and JCAHO SOC)</v>
          </cell>
          <cell r="H134">
            <v>1</v>
          </cell>
          <cell r="J134">
            <v>1</v>
          </cell>
          <cell r="K134" t="str">
            <v>POM</v>
          </cell>
        </row>
        <row r="135">
          <cell r="A135">
            <v>80</v>
          </cell>
          <cell r="D135">
            <v>1</v>
          </cell>
          <cell r="F135" t="str">
            <v>Do fire doors meet all applicalbe local and state fire codes? (door construction).  Do they meet positive latching requirements? (NFPA 101:5-2.1.4.4)  Are gaps between such doors no more than 1/8 inch?</v>
          </cell>
          <cell r="H135">
            <v>1</v>
          </cell>
          <cell r="J135">
            <v>1</v>
          </cell>
          <cell r="K135" t="str">
            <v>POM</v>
          </cell>
        </row>
        <row r="136">
          <cell r="A136">
            <v>81</v>
          </cell>
          <cell r="D136">
            <v>1</v>
          </cell>
          <cell r="F136" t="str">
            <v>Are fire containment devices (dampers, magnetic door holders, etc.) listed on the fire equipment inventory?  Are all electromagnetic releasing devices tested annually?</v>
          </cell>
          <cell r="H136">
            <v>1</v>
          </cell>
          <cell r="J136">
            <v>1</v>
          </cell>
          <cell r="K136" t="str">
            <v>POM</v>
          </cell>
        </row>
        <row r="137">
          <cell r="A137">
            <v>87</v>
          </cell>
          <cell r="D137">
            <v>2</v>
          </cell>
          <cell r="F137" t="str">
            <v>Are dead plants removed and space filled in?</v>
          </cell>
          <cell r="H137" t="str">
            <v>N/A</v>
          </cell>
          <cell r="J137">
            <v>0</v>
          </cell>
          <cell r="K137" t="str">
            <v>Ground</v>
          </cell>
        </row>
        <row r="138">
          <cell r="A138">
            <v>88</v>
          </cell>
          <cell r="D138">
            <v>2</v>
          </cell>
          <cell r="F138" t="str">
            <v xml:space="preserve">                                                           Total Risk - POM</v>
          </cell>
          <cell r="H138">
            <v>57</v>
          </cell>
          <cell r="J138">
            <v>57</v>
          </cell>
          <cell r="K138" t="str">
            <v>Ground</v>
          </cell>
        </row>
        <row r="139">
          <cell r="F139" t="str">
            <v xml:space="preserve">                                                            Percentage Implemented</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RISK</v>
          </cell>
          <cell r="H141" t="str">
            <v>N/A</v>
          </cell>
          <cell r="J141" t="str">
            <v>Possible</v>
          </cell>
          <cell r="K141" t="str">
            <v>Ground</v>
          </cell>
        </row>
        <row r="142">
          <cell r="A142">
            <v>91</v>
          </cell>
          <cell r="D142">
            <v>2</v>
          </cell>
          <cell r="F142" t="str">
            <v xml:space="preserve">POM (EDUCATION ONLY) </v>
          </cell>
          <cell r="H142" t="str">
            <v>Score</v>
          </cell>
          <cell r="I142">
            <v>0</v>
          </cell>
          <cell r="J142" t="str">
            <v>Score</v>
          </cell>
          <cell r="K142" t="str">
            <v>Ground</v>
          </cell>
        </row>
        <row r="143">
          <cell r="A143">
            <v>82</v>
          </cell>
          <cell r="D143">
            <v>2</v>
          </cell>
          <cell r="E143">
            <v>0</v>
          </cell>
          <cell r="F143" t="str">
            <v>Has the AHERA Checklist been filled out for K-12?  (SMSTK-701)</v>
          </cell>
          <cell r="H143" t="str">
            <v>N/A</v>
          </cell>
          <cell r="J143">
            <v>0</v>
          </cell>
          <cell r="K143" t="str">
            <v>EdPOM</v>
          </cell>
        </row>
        <row r="144">
          <cell r="A144">
            <v>83</v>
          </cell>
          <cell r="D144">
            <v>2</v>
          </cell>
          <cell r="F144" t="str">
            <v>If the ServiceMaster manager is the facilities "Designated Person" under AHERA, has the agreement been modified, and has Corporate legal been notified an approved the agreement change in writing? Verify</v>
          </cell>
          <cell r="H144" t="str">
            <v>N/A</v>
          </cell>
          <cell r="J144">
            <v>0</v>
          </cell>
          <cell r="K144" t="str">
            <v>EdPOM</v>
          </cell>
        </row>
        <row r="145">
          <cell r="A145">
            <v>84</v>
          </cell>
          <cell r="D145">
            <v>2</v>
          </cell>
          <cell r="F145" t="str">
            <v>Do bleachers, grandstands, and telescopic bleachers receive periodic inspection and repair by an outside source?  Annually, an inspection should be performed and results documented by an outside source in accordance with manufacturer and NFPA standards.</v>
          </cell>
          <cell r="H145" t="str">
            <v>N/A</v>
          </cell>
          <cell r="J145">
            <v>0</v>
          </cell>
          <cell r="K145" t="str">
            <v>EdPOM</v>
          </cell>
        </row>
        <row r="146">
          <cell r="A146">
            <v>85</v>
          </cell>
          <cell r="D146">
            <v>2</v>
          </cell>
          <cell r="F146" t="str">
            <v>Has Asbestos-Containing Material been identified, labeled, and recorded?  (SMSTK-703)</v>
          </cell>
          <cell r="H146" t="str">
            <v>N/A</v>
          </cell>
          <cell r="J146">
            <v>0</v>
          </cell>
          <cell r="K146" t="str">
            <v>EdPOM</v>
          </cell>
        </row>
        <row r="147">
          <cell r="A147">
            <v>86</v>
          </cell>
          <cell r="D147">
            <v>2</v>
          </cell>
          <cell r="F147" t="str">
            <v>Is the Asbestos Awareness training logged on the Scheduling and Attendance Form and are copies sent to the appropriate personnel?  (SMSTK-704)</v>
          </cell>
          <cell r="H147" t="str">
            <v>N/A</v>
          </cell>
          <cell r="J147">
            <v>0</v>
          </cell>
          <cell r="K147" t="str">
            <v>EdPOM</v>
          </cell>
        </row>
        <row r="148">
          <cell r="A148">
            <v>87</v>
          </cell>
          <cell r="D148">
            <v>2</v>
          </cell>
          <cell r="F148" t="str">
            <v>Is each ServiceMaster supervised employee’s individual Asbestos Awareness training sheet filled out to reflect actual training received and signed?  (SMSTK-705)</v>
          </cell>
          <cell r="H148" t="str">
            <v>N/A</v>
          </cell>
          <cell r="J148">
            <v>0</v>
          </cell>
          <cell r="K148" t="str">
            <v>EdPOM</v>
          </cell>
        </row>
        <row r="149">
          <cell r="A149">
            <v>98</v>
          </cell>
          <cell r="D149">
            <v>0</v>
          </cell>
          <cell r="F149" t="str">
            <v xml:space="preserve">A qualified contractor or professional engineer is required at least once every two years to do the inspection, including capacity evaluation (One person per 18 linear inches)  (NFPA 101, 8-1.7/ 9.1.7)  </v>
          </cell>
          <cell r="H149" t="str">
            <v>N/A</v>
          </cell>
          <cell r="J149">
            <v>0</v>
          </cell>
          <cell r="K149" t="str">
            <v>Ground</v>
          </cell>
        </row>
        <row r="150">
          <cell r="F150" t="str">
            <v>(This must be an outside source)  (NFPA 102, SOPI 600.11.)</v>
          </cell>
        </row>
        <row r="151">
          <cell r="A151">
            <v>88</v>
          </cell>
          <cell r="D151">
            <v>2</v>
          </cell>
          <cell r="F151" t="str">
            <v>Have all openings on bleachers and grandstands between the seatboard and footboard and all guardrails, that are located more than 30" (76 cm) above grade, been constructed or modified such that a 4" (10.2 cm) diameter sphere cannot pass?  (NFPA 102, 4-4.4</v>
          </cell>
          <cell r="H151" t="str">
            <v>N/A</v>
          </cell>
          <cell r="J151">
            <v>0</v>
          </cell>
          <cell r="K151" t="str">
            <v>EdPOM</v>
          </cell>
        </row>
        <row r="152">
          <cell r="A152">
            <v>89</v>
          </cell>
          <cell r="D152">
            <v>2</v>
          </cell>
          <cell r="F152" t="str">
            <v>Have Facility Labs been inventoried for hazardous chemicals and materials during the past 12 months?  Have all employees of the building where the labs are located been trained in HAZCOM and been notified of what type of chemicals and materials are presen</v>
          </cell>
          <cell r="H152" t="str">
            <v>N/A</v>
          </cell>
          <cell r="J152">
            <v>0</v>
          </cell>
          <cell r="K152" t="str">
            <v>EdPOM</v>
          </cell>
        </row>
        <row r="153">
          <cell r="A153">
            <v>90</v>
          </cell>
          <cell r="D153">
            <v>2</v>
          </cell>
          <cell r="F153" t="str">
            <v>Are approved, single station smoke alarm installed in DORMITORIES, in accordance with 7-6.2.10 in every living area and sleeping room within a guest suite? (New and existing dormitories - NFPA 16/17-3.4.4.2)</v>
          </cell>
          <cell r="H153" t="str">
            <v>N/A</v>
          </cell>
          <cell r="J153">
            <v>0</v>
          </cell>
          <cell r="K153" t="str">
            <v>EdPOM</v>
          </cell>
        </row>
        <row r="154">
          <cell r="A154">
            <v>91</v>
          </cell>
          <cell r="D154">
            <v>2</v>
          </cell>
          <cell r="F154" t="str">
            <v>Are approved, single station smoke alarm installed in APARTMENTS, in accordance with NFPA 7-6.2.10 outside every sleeping area in the immediate vicinity of the bedrooms and on all levels of the dwelling including basements? (New - NFPA 18-3.4.4.1)</v>
          </cell>
          <cell r="H154" t="str">
            <v>N/A</v>
          </cell>
          <cell r="J154">
            <v>0</v>
          </cell>
          <cell r="K154" t="str">
            <v>EdPOM</v>
          </cell>
        </row>
        <row r="155">
          <cell r="A155">
            <v>92</v>
          </cell>
          <cell r="D155">
            <v>2</v>
          </cell>
          <cell r="F155" t="str">
            <v>Is there an emergency shut off valve for facility labs which use flammable gas?</v>
          </cell>
          <cell r="H155" t="str">
            <v>N/A</v>
          </cell>
          <cell r="J155">
            <v>0</v>
          </cell>
          <cell r="K155" t="str">
            <v>EdPOM</v>
          </cell>
        </row>
        <row r="156">
          <cell r="A156">
            <v>104</v>
          </cell>
          <cell r="D156">
            <v>2</v>
          </cell>
          <cell r="F156" t="str">
            <v>Oil and filters are changed/cleaned regularly.</v>
          </cell>
          <cell r="H156" t="str">
            <v>N/A</v>
          </cell>
          <cell r="J156">
            <v>0</v>
          </cell>
          <cell r="K156" t="str">
            <v>Ground</v>
          </cell>
        </row>
        <row r="157">
          <cell r="D157">
            <v>0</v>
          </cell>
          <cell r="F157" t="str">
            <v xml:space="preserve">                                                           Total Risk - POM-Education</v>
          </cell>
          <cell r="H157">
            <v>0</v>
          </cell>
          <cell r="J157">
            <v>0</v>
          </cell>
        </row>
        <row r="158">
          <cell r="F158" t="str">
            <v xml:space="preserve">                                                            Percentage Implemented</v>
          </cell>
          <cell r="H158" t="str">
            <v>N/A</v>
          </cell>
        </row>
        <row r="159">
          <cell r="F159" t="str">
            <v>Equipment And Shop Area (Continued)</v>
          </cell>
        </row>
        <row r="160">
          <cell r="A160">
            <v>105</v>
          </cell>
          <cell r="D160">
            <v>2</v>
          </cell>
          <cell r="F160" t="str">
            <v>RISK</v>
          </cell>
          <cell r="H160" t="str">
            <v>N/A</v>
          </cell>
          <cell r="J160" t="str">
            <v>Possible</v>
          </cell>
          <cell r="K160" t="str">
            <v>Ground</v>
          </cell>
        </row>
        <row r="161">
          <cell r="A161">
            <v>106</v>
          </cell>
          <cell r="D161">
            <v>2</v>
          </cell>
          <cell r="F161" t="str">
            <v>PLANT OPERATIONS AND MAINTENANCE  (HEALTHCARE ONLY)</v>
          </cell>
          <cell r="H161" t="str">
            <v>Score</v>
          </cell>
          <cell r="I161">
            <v>0</v>
          </cell>
          <cell r="J161" t="str">
            <v>Score</v>
          </cell>
          <cell r="K161" t="str">
            <v>Ground</v>
          </cell>
        </row>
        <row r="162">
          <cell r="A162">
            <v>93</v>
          </cell>
          <cell r="D162">
            <v>2</v>
          </cell>
          <cell r="F162" t="str">
            <v>If ServiceMaster is required to manage a "Medical Waste Sterilizer" , has ServiceMaster legal/safey been notified and is the appropriate contract in place.  Are all EPA reaulations being followed and periotic inspections/checks being accomplished?</v>
          </cell>
          <cell r="H162" t="str">
            <v>N/A</v>
          </cell>
          <cell r="J162">
            <v>0</v>
          </cell>
          <cell r="K162" t="str">
            <v>HPOM</v>
          </cell>
        </row>
        <row r="163">
          <cell r="A163">
            <v>94</v>
          </cell>
          <cell r="D163">
            <v>2</v>
          </cell>
          <cell r="F163" t="str">
            <v>Are electrical receptacles and/or their cover plates that are served by emergency power system readily identifiable by a distinctive color or marking that is consistent throughout the facility?  (NFPA 99; 3-4.2.2.4, 3-4.2.3.4, 3-4.2.4.4)</v>
          </cell>
          <cell r="H163" t="str">
            <v>N/A</v>
          </cell>
          <cell r="J163">
            <v>0</v>
          </cell>
          <cell r="K163" t="str">
            <v>HPOM</v>
          </cell>
        </row>
        <row r="164">
          <cell r="A164">
            <v>95</v>
          </cell>
          <cell r="D164">
            <v>2</v>
          </cell>
          <cell r="F164" t="str">
            <v>Are the non-flammable medical gas system shutoff valves identified and labeled for "service provided" and "area served"? (NFPA 99: 4-3.5.4.1)</v>
          </cell>
          <cell r="H164" t="str">
            <v>N/A</v>
          </cell>
          <cell r="J164">
            <v>0</v>
          </cell>
          <cell r="K164" t="str">
            <v>HPOM</v>
          </cell>
        </row>
        <row r="165">
          <cell r="A165">
            <v>96</v>
          </cell>
          <cell r="D165">
            <v>2</v>
          </cell>
          <cell r="F165" t="str">
            <v>Are medical air compressor(s) intake assemblies drawing either filtered or outside air? (NFPA 99: 4-3.1 (b))</v>
          </cell>
          <cell r="H165" t="str">
            <v>N/A</v>
          </cell>
          <cell r="J165">
            <v>0</v>
          </cell>
          <cell r="K165" t="str">
            <v>HPOM</v>
          </cell>
        </row>
        <row r="166">
          <cell r="A166">
            <v>97</v>
          </cell>
          <cell r="D166">
            <v>2</v>
          </cell>
          <cell r="F166" t="str">
            <v xml:space="preserve">Are all receptacles inspected and tested (in general care and wet locations annually; in critical areas every 6 months; and in no-patient areas upon installation and/or repair)?  Are the results communicated to the appropriate department heads and Safety </v>
          </cell>
          <cell r="H166" t="str">
            <v>N/A</v>
          </cell>
          <cell r="J166">
            <v>0</v>
          </cell>
          <cell r="K166" t="str">
            <v>HPOM</v>
          </cell>
        </row>
        <row r="167">
          <cell r="A167">
            <v>98</v>
          </cell>
          <cell r="D167">
            <v>2</v>
          </cell>
          <cell r="F167" t="str">
            <v>Does the manager have a copy of both the external and internal Emergency Management Plans and is the internal disaster plan readily accessible to employees for optimum exposure for POM personnel? (EC 1.6)</v>
          </cell>
          <cell r="H167" t="str">
            <v>N/A</v>
          </cell>
          <cell r="J167">
            <v>0</v>
          </cell>
          <cell r="K167" t="str">
            <v>HPOM</v>
          </cell>
        </row>
        <row r="168">
          <cell r="A168">
            <v>99</v>
          </cell>
          <cell r="D168">
            <v>2</v>
          </cell>
          <cell r="F168" t="str">
            <v>Are Line Isolation Monitors tested monthly and the results communicated to the appropriate department heads and/or Safety Committee? (NFPA 99: 3-3.3.4.2)</v>
          </cell>
          <cell r="H168" t="str">
            <v>N/A</v>
          </cell>
          <cell r="J168">
            <v>0</v>
          </cell>
          <cell r="K168" t="str">
            <v>HPOM</v>
          </cell>
        </row>
        <row r="169">
          <cell r="A169">
            <v>100</v>
          </cell>
          <cell r="D169">
            <v>2</v>
          </cell>
          <cell r="F169" t="str">
            <v>Does the staff understand the meaning of a line isolation monitor failure?  (EC 1.9)</v>
          </cell>
          <cell r="H169" t="str">
            <v>N/A</v>
          </cell>
          <cell r="J169">
            <v>0</v>
          </cell>
          <cell r="K169" t="str">
            <v>HPOM</v>
          </cell>
        </row>
        <row r="170">
          <cell r="A170">
            <v>101</v>
          </cell>
          <cell r="D170">
            <v>2</v>
          </cell>
          <cell r="F170" t="str">
            <v>Is the Facility Engineering Department's Utility Management Plan in compliance with JCAHO Standards? (EC 1.9)</v>
          </cell>
          <cell r="H170" t="str">
            <v>N/A</v>
          </cell>
          <cell r="J170">
            <v>0</v>
          </cell>
          <cell r="K170" t="str">
            <v>HPOM</v>
          </cell>
        </row>
        <row r="171">
          <cell r="A171">
            <v>102</v>
          </cell>
          <cell r="D171">
            <v>2</v>
          </cell>
          <cell r="F171" t="str">
            <v>Have administration and Safety Committee reviewed and approved the Environment of Care Management Plans and is an annual evaluation of effectiveness completed for all Management Plans?</v>
          </cell>
          <cell r="H171" t="str">
            <v>N/A</v>
          </cell>
          <cell r="J171">
            <v>0</v>
          </cell>
          <cell r="K171" t="str">
            <v>HPOM</v>
          </cell>
        </row>
        <row r="172">
          <cell r="A172">
            <v>103</v>
          </cell>
          <cell r="D172">
            <v>2</v>
          </cell>
          <cell r="F172" t="str">
            <v>Are quarterly reports provided to the Safety Committee for review for all EC areas of responsibility?</v>
          </cell>
          <cell r="H172" t="str">
            <v>N/A</v>
          </cell>
          <cell r="J172">
            <v>0</v>
          </cell>
          <cell r="K172" t="str">
            <v>HPOM</v>
          </cell>
        </row>
        <row r="173">
          <cell r="A173">
            <v>104</v>
          </cell>
          <cell r="D173">
            <v>2</v>
          </cell>
          <cell r="F173" t="str">
            <v>Is annual training provided on all Environment of Care Management Plans? (EC 1.9)</v>
          </cell>
          <cell r="H173" t="str">
            <v>N/A</v>
          </cell>
          <cell r="J173">
            <v>0</v>
          </cell>
          <cell r="K173" t="str">
            <v>HPOM</v>
          </cell>
        </row>
        <row r="174">
          <cell r="A174">
            <v>105</v>
          </cell>
          <cell r="D174">
            <v>2</v>
          </cell>
          <cell r="F174" t="str">
            <v>Are portable heating devices prohibited except in non-sleeping staff and employee areas? (NFPA 101: 12-7.7)</v>
          </cell>
          <cell r="H174" t="str">
            <v>N/A</v>
          </cell>
          <cell r="J174">
            <v>0</v>
          </cell>
          <cell r="K174" t="str">
            <v>HPOM</v>
          </cell>
        </row>
        <row r="175">
          <cell r="A175">
            <v>106</v>
          </cell>
          <cell r="D175">
            <v>2</v>
          </cell>
          <cell r="F175" t="str">
            <v>Does the facility have a written policy for ILSM?  Has a Hazard Surveillance Survey been conducted along with a Construction Site Inspection and Contractor Fire Drills and are these documented? (JCAHO EC 2.6)</v>
          </cell>
          <cell r="H175" t="str">
            <v>N/A</v>
          </cell>
          <cell r="J175">
            <v>0</v>
          </cell>
          <cell r="K175" t="str">
            <v>HPOM</v>
          </cell>
        </row>
        <row r="176">
          <cell r="A176">
            <v>107</v>
          </cell>
          <cell r="D176">
            <v>2</v>
          </cell>
          <cell r="F176" t="str">
            <v>Has a Plan for Improvement (PFI) been developed? (JCAHO)</v>
          </cell>
          <cell r="H176" t="str">
            <v>N/A</v>
          </cell>
          <cell r="J176">
            <v>0</v>
          </cell>
          <cell r="K176" t="str">
            <v>HPOM</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Is there an initial orientation for all employees on all Environment of Care Management Plans? (JCAHO)</v>
          </cell>
          <cell r="H178" t="str">
            <v>N/A</v>
          </cell>
          <cell r="J178">
            <v>0</v>
          </cell>
          <cell r="K178" t="str">
            <v>HPOM</v>
          </cell>
        </row>
        <row r="179">
          <cell r="A179">
            <v>110</v>
          </cell>
          <cell r="D179">
            <v>2</v>
          </cell>
          <cell r="F179" t="str">
            <v>Is there a Safety Management Plan that meets the criteria of the appropriate Comprehensive Accreditation Manual? (JCAHO EC 1.4)</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Are drills conducted regularly to test emergency preparadness? (JCAHO EC 2.9)</v>
          </cell>
          <cell r="H181" t="str">
            <v>N/A</v>
          </cell>
          <cell r="J181">
            <v>0</v>
          </cell>
          <cell r="K181" t="str">
            <v>HPOM</v>
          </cell>
        </row>
        <row r="182">
          <cell r="A182">
            <v>113</v>
          </cell>
          <cell r="D182">
            <v>2</v>
          </cell>
          <cell r="F182" t="str">
            <v>Is there a Life Safety Management Plan that meets the criteria of the appropriate Comprehensive Accreditation Manaul? (JCAHO EC 1.8)</v>
          </cell>
          <cell r="H182" t="str">
            <v>N/A</v>
          </cell>
          <cell r="J182">
            <v>0</v>
          </cell>
          <cell r="K182" t="str">
            <v>HPOM</v>
          </cell>
        </row>
        <row r="183">
          <cell r="A183">
            <v>114</v>
          </cell>
          <cell r="D183">
            <v>2</v>
          </cell>
          <cell r="F183" t="str">
            <v>Is a non-smoking policy communicated and enforced throughout all buildings? (JCAHO EC 5)</v>
          </cell>
          <cell r="H183" t="str">
            <v>N/A</v>
          </cell>
          <cell r="J183">
            <v>0</v>
          </cell>
          <cell r="K183" t="str">
            <v>HPOM</v>
          </cell>
        </row>
        <row r="184">
          <cell r="A184">
            <v>115</v>
          </cell>
          <cell r="D184">
            <v>2</v>
          </cell>
          <cell r="F184" t="str">
            <v>Is there a Medical Equipment Management Plan that meets the criteria of the appropriate Comprehensie Accreditation Manual (JCAHO EC 1.8)</v>
          </cell>
          <cell r="H184" t="str">
            <v>N/A</v>
          </cell>
          <cell r="J184">
            <v>0</v>
          </cell>
          <cell r="K184" t="str">
            <v>HPOM</v>
          </cell>
        </row>
        <row r="185">
          <cell r="A185">
            <v>116</v>
          </cell>
          <cell r="D185">
            <v>2</v>
          </cell>
          <cell r="F185" t="str">
            <v>Is medical equipment maintained, tested, and inspected? (JCAHO EC 2.13)</v>
          </cell>
          <cell r="H185" t="str">
            <v>N/A</v>
          </cell>
          <cell r="J185">
            <v>0</v>
          </cell>
          <cell r="K185" t="str">
            <v>HPOM</v>
          </cell>
        </row>
        <row r="186">
          <cell r="A186">
            <v>117</v>
          </cell>
          <cell r="D186">
            <v>2</v>
          </cell>
          <cell r="F186" t="str">
            <v>Are utility systems maintained, tested, and inspected? (JCAHO EC 2.14)</v>
          </cell>
          <cell r="H186" t="str">
            <v>N/A</v>
          </cell>
          <cell r="J186">
            <v>0</v>
          </cell>
          <cell r="K186" t="str">
            <v>HPOM</v>
          </cell>
        </row>
        <row r="187">
          <cell r="A187">
            <v>118</v>
          </cell>
          <cell r="D187">
            <v>2</v>
          </cell>
          <cell r="F187" t="str">
            <v>Are safety elements (signs, ladders, etc.) of the environment maintained, tested and inspected? (JCAHO EC 2.11)</v>
          </cell>
          <cell r="H187" t="str">
            <v>N/A</v>
          </cell>
          <cell r="J187">
            <v>0</v>
          </cell>
          <cell r="K187" t="str">
            <v>HPOM</v>
          </cell>
        </row>
        <row r="188">
          <cell r="A188">
            <v>119</v>
          </cell>
          <cell r="D188">
            <v>2</v>
          </cell>
          <cell r="F188" t="str">
            <v>Is there a security Management Plan that meets the criteria of the appropriate Comprehensive Accreditation Manual? (JCAHO EC 1.4)</v>
          </cell>
          <cell r="H188" t="str">
            <v>N/A</v>
          </cell>
          <cell r="J188">
            <v>0</v>
          </cell>
          <cell r="K188" t="str">
            <v>HPOM</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 xml:space="preserve">                                                           Total Risk - POM-Healthcare</v>
          </cell>
          <cell r="H190">
            <v>0</v>
          </cell>
          <cell r="J190">
            <v>0</v>
          </cell>
          <cell r="K190" t="str">
            <v>EdGround</v>
          </cell>
        </row>
        <row r="191">
          <cell r="D191">
            <v>0</v>
          </cell>
          <cell r="F191" t="str">
            <v xml:space="preserve">                                                            Percentage Implemented</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RISK</v>
          </cell>
          <cell r="H193" t="str">
            <v>N/A</v>
          </cell>
          <cell r="J193" t="str">
            <v>Possible</v>
          </cell>
          <cell r="K193" t="str">
            <v>EdGround</v>
          </cell>
        </row>
        <row r="194">
          <cell r="A194">
            <v>131</v>
          </cell>
          <cell r="D194">
            <v>2</v>
          </cell>
          <cell r="F194" t="str">
            <v>GROUNDS</v>
          </cell>
          <cell r="H194" t="str">
            <v>Score</v>
          </cell>
          <cell r="I194">
            <v>0</v>
          </cell>
          <cell r="J194" t="str">
            <v>Score</v>
          </cell>
          <cell r="K194" t="str">
            <v>EdGround</v>
          </cell>
        </row>
        <row r="195">
          <cell r="A195">
            <v>120</v>
          </cell>
          <cell r="D195">
            <v>2</v>
          </cell>
          <cell r="F195" t="str">
            <v>Has the ServiceMaster Playground Safety Program been implemented, and are monthly playground inspections being documented?</v>
          </cell>
          <cell r="H195" t="str">
            <v>N/A</v>
          </cell>
          <cell r="J195">
            <v>0</v>
          </cell>
          <cell r="K195" t="str">
            <v>Ground</v>
          </cell>
        </row>
        <row r="196">
          <cell r="A196">
            <v>121</v>
          </cell>
          <cell r="B196" t="str">
            <v>a.</v>
          </cell>
          <cell r="D196">
            <v>2</v>
          </cell>
          <cell r="F196" t="str">
            <v>Is facility in compliance with all applicable federal, state, county, and local regulations regarding purchase, handling and storage of pesticides?</v>
          </cell>
          <cell r="H196" t="str">
            <v>N/A</v>
          </cell>
          <cell r="J196">
            <v>0</v>
          </cell>
          <cell r="K196" t="str">
            <v>Ground</v>
          </cell>
        </row>
        <row r="197">
          <cell r="A197">
            <v>121</v>
          </cell>
          <cell r="B197" t="str">
            <v>b.</v>
          </cell>
          <cell r="D197">
            <v>2</v>
          </cell>
          <cell r="F197" t="str">
            <v>Are pesticide regulations and treatment records complete and on file in Manager's office?  Are personnel applying pesticides in compliance with all federal, state, county, and local regulations for application of pesticides?</v>
          </cell>
          <cell r="H197" t="str">
            <v>N/A</v>
          </cell>
          <cell r="J197">
            <v>0</v>
          </cell>
          <cell r="K197" t="str">
            <v>Ground</v>
          </cell>
        </row>
        <row r="198">
          <cell r="A198">
            <v>122</v>
          </cell>
          <cell r="D198">
            <v>2</v>
          </cell>
          <cell r="F198" t="str">
            <v>Is all line-clearance tree trimming done in compliance with ANSI Z133.1 (1994)?</v>
          </cell>
          <cell r="H198" t="str">
            <v>N/A</v>
          </cell>
          <cell r="J198">
            <v>0</v>
          </cell>
          <cell r="K198" t="str">
            <v>Ground</v>
          </cell>
        </row>
        <row r="199">
          <cell r="A199">
            <v>123</v>
          </cell>
          <cell r="D199">
            <v>2</v>
          </cell>
          <cell r="F199" t="str">
            <v>Is the transportation of gasoline done in accordance with HM-181 and HM-126(f)?</v>
          </cell>
          <cell r="H199" t="str">
            <v>N/A</v>
          </cell>
          <cell r="J199">
            <v>0</v>
          </cell>
          <cell r="K199" t="str">
            <v>Ground</v>
          </cell>
        </row>
        <row r="200">
          <cell r="A200">
            <v>137</v>
          </cell>
          <cell r="D200">
            <v>0</v>
          </cell>
          <cell r="F200" t="str">
            <v>Are irrigation heads working, properly adjusted, and with appropriate covers?</v>
          </cell>
          <cell r="H200" t="str">
            <v>N/A</v>
          </cell>
          <cell r="J200">
            <v>0</v>
          </cell>
          <cell r="K200" t="str">
            <v>EdGround</v>
          </cell>
        </row>
        <row r="201">
          <cell r="A201">
            <v>124</v>
          </cell>
          <cell r="D201">
            <v>2</v>
          </cell>
          <cell r="F201" t="str">
            <v>Right to Know documentation is up-to-date regarding pesticide treatment records, as well as information on file including MSDS.</v>
          </cell>
          <cell r="H201" t="str">
            <v>N/A</v>
          </cell>
          <cell r="J201">
            <v>0</v>
          </cell>
          <cell r="K201" t="str">
            <v>Ground</v>
          </cell>
        </row>
        <row r="202">
          <cell r="A202">
            <v>125</v>
          </cell>
          <cell r="D202">
            <v>2</v>
          </cell>
          <cell r="F202" t="str">
            <v>Are paved areas (parking lots, sidewalks, etc.) policed, free of debris and recently swept?  Free of snow, where applicable?</v>
          </cell>
          <cell r="H202" t="str">
            <v>N/A</v>
          </cell>
          <cell r="J202">
            <v>0</v>
          </cell>
          <cell r="K202" t="str">
            <v>Ground</v>
          </cell>
        </row>
        <row r="203">
          <cell r="A203">
            <v>126</v>
          </cell>
          <cell r="D203">
            <v>2</v>
          </cell>
          <cell r="F203" t="str">
            <v>Are exterior signs properly illuminated, in good repair, clear and appropriate?</v>
          </cell>
          <cell r="H203" t="str">
            <v>N/A</v>
          </cell>
          <cell r="J203">
            <v>0</v>
          </cell>
          <cell r="K203" t="str">
            <v>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 xml:space="preserve">                                                               Total Risk - Grounds</v>
          </cell>
          <cell r="H205">
            <v>0</v>
          </cell>
          <cell r="J205">
            <v>0</v>
          </cell>
          <cell r="K205" t="str">
            <v>EdGround</v>
          </cell>
        </row>
        <row r="206">
          <cell r="A206">
            <v>143</v>
          </cell>
          <cell r="D206">
            <v>2</v>
          </cell>
          <cell r="F206" t="str">
            <v xml:space="preserve">                                                                Percentage Implemented</v>
          </cell>
          <cell r="H206" t="str">
            <v>N/A</v>
          </cell>
          <cell r="J206">
            <v>0</v>
          </cell>
          <cell r="K206" t="str">
            <v>EdGround</v>
          </cell>
        </row>
        <row r="208">
          <cell r="F208" t="str">
            <v>RISK</v>
          </cell>
          <cell r="H208">
            <v>0</v>
          </cell>
          <cell r="J208" t="str">
            <v>Possible</v>
          </cell>
        </row>
        <row r="209">
          <cell r="F209" t="str">
            <v>ENVIRONMENTAL/CUSTODIAL</v>
          </cell>
          <cell r="H209" t="str">
            <v>Score</v>
          </cell>
          <cell r="I209">
            <v>0</v>
          </cell>
          <cell r="J209" t="str">
            <v>Score</v>
          </cell>
        </row>
        <row r="211">
          <cell r="A211">
            <v>127</v>
          </cell>
          <cell r="D211">
            <v>1</v>
          </cell>
          <cell r="F211" t="str">
            <v>Are wet floor signs available and used every 20 feet?</v>
          </cell>
          <cell r="H211">
            <v>1</v>
          </cell>
          <cell r="J211">
            <v>1</v>
          </cell>
          <cell r="K211" t="str">
            <v>Cust</v>
          </cell>
        </row>
        <row r="212">
          <cell r="A212">
            <v>128</v>
          </cell>
          <cell r="D212">
            <v>1</v>
          </cell>
          <cell r="F212" t="str">
            <v>Do custodians work in teams when moving or lifting large and/or heavy pieces of furniture or equipment?</v>
          </cell>
          <cell r="H212">
            <v>1</v>
          </cell>
          <cell r="J212">
            <v>1</v>
          </cell>
          <cell r="K212" t="str">
            <v>Cust</v>
          </cell>
        </row>
        <row r="213">
          <cell r="A213">
            <v>129</v>
          </cell>
          <cell r="D213">
            <v>1</v>
          </cell>
          <cell r="F213" t="str">
            <v>Has the equipment preventive maintenance program/electrical safety check been completed on all custodial equipment during the last quarter? (Electrical safety check is required by OSHA on a regular basis and before each use). (Use equipment care manual #7</v>
          </cell>
          <cell r="H213">
            <v>1</v>
          </cell>
          <cell r="J213">
            <v>1</v>
          </cell>
          <cell r="K213" t="str">
            <v>Cust</v>
          </cell>
        </row>
        <row r="214">
          <cell r="A214">
            <v>130</v>
          </cell>
          <cell r="B214" t="str">
            <v>a.</v>
          </cell>
          <cell r="D214">
            <v>1</v>
          </cell>
          <cell r="F214" t="str">
            <v>Is PPE provided and used properly when chemicals are being mixed?  Is there an eye wash station nearby?</v>
          </cell>
          <cell r="H214">
            <v>1</v>
          </cell>
          <cell r="J214">
            <v>1</v>
          </cell>
          <cell r="K214" t="str">
            <v>Cust</v>
          </cell>
        </row>
        <row r="215">
          <cell r="A215">
            <v>131</v>
          </cell>
          <cell r="B215" t="str">
            <v>b.</v>
          </cell>
          <cell r="D215">
            <v>1</v>
          </cell>
          <cell r="F215" t="str">
            <v>Are ALL chemical bottles correctly labeled?</v>
          </cell>
          <cell r="H215">
            <v>1</v>
          </cell>
          <cell r="J215">
            <v>1</v>
          </cell>
          <cell r="K215" t="str">
            <v>Cust</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 xml:space="preserve">                                                        Total Risk - Custodial</v>
          </cell>
          <cell r="H217">
            <v>5</v>
          </cell>
          <cell r="J217">
            <v>5</v>
          </cell>
          <cell r="K217" t="str">
            <v>Food</v>
          </cell>
        </row>
        <row r="218">
          <cell r="A218">
            <v>148</v>
          </cell>
          <cell r="D218">
            <v>2</v>
          </cell>
          <cell r="F218" t="str">
            <v xml:space="preserve">                                                         Percentage Implemented</v>
          </cell>
          <cell r="H218">
            <v>1</v>
          </cell>
          <cell r="J218">
            <v>0</v>
          </cell>
          <cell r="K218" t="str">
            <v>Food</v>
          </cell>
        </row>
        <row r="219">
          <cell r="D219">
            <v>0</v>
          </cell>
          <cell r="F219" t="str">
            <v>Food Preparation</v>
          </cell>
        </row>
        <row r="220">
          <cell r="A220">
            <v>149</v>
          </cell>
          <cell r="D220">
            <v>2</v>
          </cell>
          <cell r="F220" t="str">
            <v>RISK</v>
          </cell>
          <cell r="H220" t="str">
            <v>N/A</v>
          </cell>
          <cell r="J220" t="str">
            <v>Possible</v>
          </cell>
          <cell r="K220" t="str">
            <v>Food</v>
          </cell>
        </row>
        <row r="221">
          <cell r="A221">
            <v>150</v>
          </cell>
          <cell r="D221">
            <v>2</v>
          </cell>
          <cell r="F221" t="str">
            <v>FOOD AND NUTRITION/CULINARY</v>
          </cell>
          <cell r="H221" t="str">
            <v>Score</v>
          </cell>
          <cell r="J221" t="str">
            <v>Score</v>
          </cell>
          <cell r="K221" t="str">
            <v>Food</v>
          </cell>
        </row>
        <row r="222">
          <cell r="A222">
            <v>132</v>
          </cell>
          <cell r="D222">
            <v>2</v>
          </cell>
          <cell r="F222" t="str">
            <v>Is a food temperature log being used and evidence of a corrective action plan in place, when necessary.</v>
          </cell>
          <cell r="H222" t="str">
            <v>N/A</v>
          </cell>
          <cell r="J222">
            <v>0</v>
          </cell>
          <cell r="K222" t="str">
            <v>Food</v>
          </cell>
        </row>
        <row r="223">
          <cell r="A223">
            <v>133</v>
          </cell>
          <cell r="D223">
            <v>2</v>
          </cell>
          <cell r="F223" t="str">
            <v>Are food products cooled according to the HACPP Plan (70 degrees F within 2 hours and 40 degrees F within 4 hours), cooling recorded, dated, and timed?</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 xml:space="preserve">                                                        Total Risk - Food and Nutrition/Culinary</v>
          </cell>
          <cell r="H225">
            <v>0</v>
          </cell>
          <cell r="J225">
            <v>0</v>
          </cell>
        </row>
        <row r="226">
          <cell r="A226">
            <v>154</v>
          </cell>
          <cell r="D226">
            <v>2</v>
          </cell>
          <cell r="F226" t="str">
            <v xml:space="preserve">                                                         Percentage Implemented</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RISK</v>
          </cell>
          <cell r="J229" t="str">
            <v>Possible</v>
          </cell>
        </row>
        <row r="230">
          <cell r="A230">
            <v>157</v>
          </cell>
          <cell r="D230">
            <v>2</v>
          </cell>
          <cell r="F230" t="str">
            <v>LAUNDRY</v>
          </cell>
          <cell r="H230" t="str">
            <v>Score</v>
          </cell>
          <cell r="J230" t="str">
            <v>Score</v>
          </cell>
          <cell r="K230" t="str">
            <v>Food</v>
          </cell>
        </row>
        <row r="231">
          <cell r="A231">
            <v>134</v>
          </cell>
          <cell r="D231">
            <v>2</v>
          </cell>
          <cell r="F231" t="str">
            <v>Equipment down time and repair records kept for all laundry equipment.</v>
          </cell>
          <cell r="H231" t="str">
            <v>N/A</v>
          </cell>
          <cell r="J231">
            <v>0</v>
          </cell>
          <cell r="K231" t="str">
            <v>Linen</v>
          </cell>
        </row>
        <row r="232">
          <cell r="A232">
            <v>135</v>
          </cell>
          <cell r="D232">
            <v>2</v>
          </cell>
          <cell r="F232" t="str">
            <v>Floors free of excess accumulation of debris, lint, etc.  Floors cleaned daily.</v>
          </cell>
          <cell r="H232" t="str">
            <v>N/A</v>
          </cell>
          <cell r="J232">
            <v>0</v>
          </cell>
          <cell r="K232" t="str">
            <v>Linen</v>
          </cell>
        </row>
        <row r="233">
          <cell r="A233">
            <v>136</v>
          </cell>
          <cell r="D233">
            <v>2</v>
          </cell>
          <cell r="F233" t="str">
            <v>FANS:  All fans have screen guards in place.  Motor cooling vents are free of lint build up.</v>
          </cell>
          <cell r="H233" t="str">
            <v>N/A</v>
          </cell>
          <cell r="J233">
            <v>0</v>
          </cell>
          <cell r="K233" t="str">
            <v>Linen</v>
          </cell>
        </row>
        <row r="234">
          <cell r="A234">
            <v>137</v>
          </cell>
          <cell r="D234">
            <v>2</v>
          </cell>
          <cell r="F234" t="str">
            <v>Personal protective equipment (gloves, eye goggles, apron, etc.) used for handling chemicals.</v>
          </cell>
          <cell r="H234" t="str">
            <v>N/A</v>
          </cell>
          <cell r="J234">
            <v>0</v>
          </cell>
          <cell r="K234" t="str">
            <v>Linen</v>
          </cell>
        </row>
        <row r="235">
          <cell r="A235">
            <v>138</v>
          </cell>
          <cell r="D235">
            <v>2</v>
          </cell>
          <cell r="F235" t="str">
            <v>Fire extinguishers available and in clear view.</v>
          </cell>
          <cell r="H235" t="str">
            <v>N/A</v>
          </cell>
          <cell r="J235">
            <v>0</v>
          </cell>
          <cell r="K235" t="str">
            <v>Linen</v>
          </cell>
        </row>
        <row r="236">
          <cell r="A236">
            <v>139</v>
          </cell>
          <cell r="D236">
            <v>2</v>
          </cell>
          <cell r="F236" t="str">
            <v>Emergency eye wash station and emergency shower facilities available, preferably close to Chemical Mixing area.</v>
          </cell>
          <cell r="H236" t="str">
            <v>N/A</v>
          </cell>
          <cell r="J236">
            <v>0</v>
          </cell>
          <cell r="K236" t="str">
            <v>Linen</v>
          </cell>
        </row>
        <row r="237">
          <cell r="F237" t="str">
            <v>RISK</v>
          </cell>
          <cell r="H237" t="str">
            <v>N/A</v>
          </cell>
        </row>
        <row r="238">
          <cell r="F238" t="str">
            <v>LAUNDRY (CONTINUED)</v>
          </cell>
        </row>
        <row r="239">
          <cell r="A239">
            <v>140</v>
          </cell>
          <cell r="D239">
            <v>2</v>
          </cell>
          <cell r="F239" t="str">
            <v>Soiled linen chutes:  Access doors to the chute(s) are inaccessible to the public, or the access doors are kept locked.</v>
          </cell>
          <cell r="H239" t="str">
            <v>N/A</v>
          </cell>
          <cell r="J239">
            <v>0</v>
          </cell>
          <cell r="K239" t="str">
            <v>Linen</v>
          </cell>
        </row>
        <row r="240">
          <cell r="A240">
            <v>141</v>
          </cell>
          <cell r="D240">
            <v>2</v>
          </cell>
          <cell r="F240" t="str">
            <v>All soiled linen areas are completely free of any beverage or food items.</v>
          </cell>
          <cell r="H240" t="str">
            <v>N/A</v>
          </cell>
          <cell r="J240">
            <v>0</v>
          </cell>
          <cell r="K240" t="str">
            <v>Linen</v>
          </cell>
        </row>
        <row r="241">
          <cell r="A241">
            <v>142</v>
          </cell>
          <cell r="D241">
            <v>2</v>
          </cell>
          <cell r="F241" t="str">
            <v>Employees wear protective gowns and gloves when handling soiled linen.</v>
          </cell>
          <cell r="H241" t="str">
            <v>N/A</v>
          </cell>
          <cell r="J241">
            <v>0</v>
          </cell>
          <cell r="K241" t="str">
            <v>Linen</v>
          </cell>
        </row>
        <row r="242">
          <cell r="A242">
            <v>143</v>
          </cell>
          <cell r="D242">
            <v>2</v>
          </cell>
          <cell r="F242" t="str">
            <v>Safety devices on all washers work.  Doors remain locked until wash wheel is stopped.</v>
          </cell>
          <cell r="H242" t="str">
            <v>N/A</v>
          </cell>
          <cell r="J242">
            <v>0</v>
          </cell>
          <cell r="K242" t="str">
            <v>Linen</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Exposed areas of trenches have covers or grates installed.</v>
          </cell>
          <cell r="H244" t="str">
            <v>N/A</v>
          </cell>
          <cell r="J244">
            <v>0</v>
          </cell>
          <cell r="K244" t="str">
            <v>Linen</v>
          </cell>
        </row>
        <row r="245">
          <cell r="A245">
            <v>146</v>
          </cell>
          <cell r="D245">
            <v>2</v>
          </cell>
          <cell r="F245" t="str">
            <v>Ironer covered with padded cover, padding in good condition.</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On automatic press heads:  There are two separate switches to require two-handed operation to lower press head.  Two-handed operation switches have not been by-passed.</v>
          </cell>
          <cell r="H252" t="str">
            <v>N/A</v>
          </cell>
          <cell r="J252">
            <v>0</v>
          </cell>
          <cell r="K252" t="str">
            <v>Linen</v>
          </cell>
        </row>
        <row r="253">
          <cell r="A253">
            <v>154</v>
          </cell>
          <cell r="D253">
            <v>2</v>
          </cell>
          <cell r="F253" t="str">
            <v>Steam supply pipes and hot condensate return pipes are insulated to at least 6 feet above floor.</v>
          </cell>
          <cell r="H253" t="str">
            <v>N/A</v>
          </cell>
          <cell r="J253">
            <v>0</v>
          </cell>
          <cell r="K253" t="str">
            <v>Linen</v>
          </cell>
        </row>
        <row r="254">
          <cell r="A254">
            <v>155</v>
          </cell>
          <cell r="D254">
            <v>2</v>
          </cell>
          <cell r="F254" t="str">
            <v>Dryers - Safety door interlock device prevents operating with door open.</v>
          </cell>
          <cell r="H254" t="str">
            <v>N/A</v>
          </cell>
          <cell r="J254">
            <v>0</v>
          </cell>
          <cell r="K254" t="str">
            <v>Linen</v>
          </cell>
        </row>
        <row r="255">
          <cell r="A255">
            <v>156</v>
          </cell>
          <cell r="D255">
            <v>2</v>
          </cell>
          <cell r="F255" t="str">
            <v>Dryer exhaust duct work free of internal lint build-up.</v>
          </cell>
          <cell r="H255" t="str">
            <v>N/A</v>
          </cell>
          <cell r="J255">
            <v>0</v>
          </cell>
          <cell r="K255" t="str">
            <v>Linen</v>
          </cell>
        </row>
        <row r="256">
          <cell r="A256">
            <v>157</v>
          </cell>
          <cell r="D256">
            <v>2</v>
          </cell>
          <cell r="F256" t="str">
            <v>Motors:  All motors air vents are clear, free of lint build-up.</v>
          </cell>
          <cell r="H256" t="str">
            <v>N/A</v>
          </cell>
          <cell r="J256">
            <v>0</v>
          </cell>
          <cell r="K256" t="str">
            <v>Linen</v>
          </cell>
        </row>
        <row r="257">
          <cell r="A257">
            <v>158</v>
          </cell>
          <cell r="D257">
            <v>2</v>
          </cell>
          <cell r="F257" t="str">
            <v>No dryer related fires within the past 13 months.</v>
          </cell>
          <cell r="H257" t="str">
            <v>N/A</v>
          </cell>
          <cell r="J257">
            <v>0</v>
          </cell>
          <cell r="K257" t="str">
            <v>Linen</v>
          </cell>
        </row>
        <row r="258">
          <cell r="A258">
            <v>159</v>
          </cell>
          <cell r="D258">
            <v>2</v>
          </cell>
          <cell r="F258" t="str">
            <v>Machine small piece folders:  Cooling vents on motors clear, free of lint build-up.</v>
          </cell>
          <cell r="H258" t="str">
            <v>N/A</v>
          </cell>
          <cell r="J258">
            <v>0</v>
          </cell>
          <cell r="K258" t="str">
            <v>Linen</v>
          </cell>
        </row>
        <row r="259">
          <cell r="A259">
            <v>160</v>
          </cell>
          <cell r="D259">
            <v>2</v>
          </cell>
          <cell r="F259" t="str">
            <v>Machine small piece folders:  Safety guards in place, safety devices work, safety decal in place.</v>
          </cell>
          <cell r="H259" t="str">
            <v>N/A</v>
          </cell>
          <cell r="J259">
            <v>0</v>
          </cell>
          <cell r="K259" t="str">
            <v>Linen</v>
          </cell>
        </row>
        <row r="260">
          <cell r="A260">
            <v>169</v>
          </cell>
          <cell r="D260">
            <v>0</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 xml:space="preserve">                                                        Total Risk - Laundry</v>
          </cell>
          <cell r="H261">
            <v>0</v>
          </cell>
          <cell r="J261">
            <v>0</v>
          </cell>
          <cell r="K261" t="str">
            <v>Trans</v>
          </cell>
        </row>
        <row r="262">
          <cell r="A262">
            <v>171</v>
          </cell>
          <cell r="D262">
            <v>2</v>
          </cell>
          <cell r="F262" t="str">
            <v xml:space="preserve">                                                         Percentage Implemented</v>
          </cell>
          <cell r="H262" t="str">
            <v>N/A</v>
          </cell>
          <cell r="J262">
            <v>0</v>
          </cell>
          <cell r="K262" t="str">
            <v>Trans</v>
          </cell>
        </row>
        <row r="263">
          <cell r="A263">
            <v>172</v>
          </cell>
          <cell r="D263">
            <v>0</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RISK</v>
          </cell>
          <cell r="H264" t="str">
            <v>N/A</v>
          </cell>
          <cell r="J264" t="str">
            <v>Possible</v>
          </cell>
          <cell r="K264" t="str">
            <v>Trans</v>
          </cell>
        </row>
        <row r="265">
          <cell r="A265">
            <v>174</v>
          </cell>
          <cell r="D265">
            <v>2</v>
          </cell>
          <cell r="F265" t="str">
            <v>CLINICAL EQUIPMENT</v>
          </cell>
          <cell r="H265" t="str">
            <v>Score</v>
          </cell>
          <cell r="J265" t="str">
            <v>Score</v>
          </cell>
          <cell r="K265" t="str">
            <v>Trans</v>
          </cell>
        </row>
        <row r="266">
          <cell r="A266">
            <v>175</v>
          </cell>
          <cell r="D266">
            <v>2</v>
          </cell>
          <cell r="F266" t="str">
            <v>Medical Equipment Management (EC 1.8)</v>
          </cell>
          <cell r="H266" t="str">
            <v>N/A</v>
          </cell>
          <cell r="J266">
            <v>0</v>
          </cell>
          <cell r="K266" t="str">
            <v>Trans</v>
          </cell>
        </row>
        <row r="267">
          <cell r="A267">
            <v>161</v>
          </cell>
          <cell r="D267">
            <v>2</v>
          </cell>
          <cell r="F267" t="str">
            <v>Does a policy exist for compliance with the Safe Medical Device Act?  Is there a policy on incident investigation and reporting? (SOPI 600.5, SOPI 600.4, EC 1.8, IM 8.1.2, 8.1.2.3)</v>
          </cell>
          <cell r="H267" t="str">
            <v>N/A</v>
          </cell>
          <cell r="J267">
            <v>0</v>
          </cell>
          <cell r="K267" t="str">
            <v>CE</v>
          </cell>
        </row>
        <row r="268">
          <cell r="A268">
            <v>162</v>
          </cell>
          <cell r="D268">
            <v>2</v>
          </cell>
          <cell r="F268" t="str">
            <v>Does a proceduce exist for selecting medical equipment to be added to the inventory ('I.e. risk ranking)? (SOPI 400.2, SOPI 400.3, EC 1.8)</v>
          </cell>
          <cell r="H268" t="str">
            <v>N/A</v>
          </cell>
          <cell r="J268">
            <v>0</v>
          </cell>
          <cell r="K268" t="str">
            <v>CE</v>
          </cell>
        </row>
        <row r="269">
          <cell r="A269">
            <v>163</v>
          </cell>
          <cell r="D269">
            <v>2</v>
          </cell>
          <cell r="F269" t="str">
            <v>Are "user error" and "could not duplicate" work orders reported to the Safety Committee or Risk Management?  Does the report include recommendations for training or equipment replacement? (SOPI 300.5, SOPI 300.16, SOPI 600.1, EC 1.8)</v>
          </cell>
          <cell r="H269" t="str">
            <v>N/A</v>
          </cell>
          <cell r="J269">
            <v>0</v>
          </cell>
          <cell r="K269" t="str">
            <v>CE</v>
          </cell>
        </row>
        <row r="270">
          <cell r="A270">
            <v>179</v>
          </cell>
          <cell r="D270">
            <v>2</v>
          </cell>
          <cell r="F270" t="str">
            <v>RISK</v>
          </cell>
          <cell r="H270" t="str">
            <v>N/A</v>
          </cell>
          <cell r="J270">
            <v>0</v>
          </cell>
          <cell r="K270" t="str">
            <v>Trans</v>
          </cell>
        </row>
        <row r="271">
          <cell r="A271">
            <v>180</v>
          </cell>
          <cell r="D271">
            <v>2</v>
          </cell>
          <cell r="F271" t="str">
            <v>CLINICAL EQUIPMENT (CONTINUED)</v>
          </cell>
          <cell r="H271" t="str">
            <v>N/A</v>
          </cell>
          <cell r="J271">
            <v>0</v>
          </cell>
          <cell r="K271" t="str">
            <v>Trans</v>
          </cell>
        </row>
        <row r="272">
          <cell r="A272">
            <v>181</v>
          </cell>
          <cell r="D272">
            <v>2</v>
          </cell>
          <cell r="F272" t="str">
            <v>Medical Equipment Management (EC 1.8)</v>
          </cell>
          <cell r="H272" t="str">
            <v>N/A</v>
          </cell>
          <cell r="J272">
            <v>0</v>
          </cell>
          <cell r="K272" t="str">
            <v>Trans</v>
          </cell>
        </row>
        <row r="273">
          <cell r="A273">
            <v>164</v>
          </cell>
          <cell r="D273">
            <v>2</v>
          </cell>
          <cell r="F273" t="str">
            <v>Are copies of applicable health care standards or codes available on-site to all CEM personnel?  This includes, but is not limited to NFPA 99, JCAHO, CAP, BRH/HHS, OSHA FDA, EPA, local and state codes.  Verify that CEM personnel know the location of these</v>
          </cell>
          <cell r="H273" t="str">
            <v>N/A</v>
          </cell>
          <cell r="J273">
            <v>0</v>
          </cell>
          <cell r="K273" t="str">
            <v>CE</v>
          </cell>
        </row>
        <row r="274">
          <cell r="A274">
            <v>165</v>
          </cell>
          <cell r="D274">
            <v>2</v>
          </cell>
          <cell r="F274" t="str">
            <v>Are ServiceMaster policies outlining CEM responsibilities for the operation of medical equipment and hands-on maintenanceof anesthesia equipment understood by affected department managers and hospital administration? (SOPI 400.15)</v>
          </cell>
          <cell r="H274" t="str">
            <v>N/A</v>
          </cell>
          <cell r="J274">
            <v>0</v>
          </cell>
          <cell r="K274" t="str">
            <v>CE</v>
          </cell>
        </row>
        <row r="275">
          <cell r="A275">
            <v>166</v>
          </cell>
          <cell r="D275">
            <v>2</v>
          </cell>
          <cell r="F275" t="str">
            <v>Are battery disposal policies and procedures in place?  Are the manager and department personnel familiar with the policies and procedures?  Are the policies and procedures followed? (SOPI 300.11)</v>
          </cell>
          <cell r="H275" t="str">
            <v>N/A</v>
          </cell>
          <cell r="J275">
            <v>0</v>
          </cell>
          <cell r="K275" t="str">
            <v>CE</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 xml:space="preserve">                                                        Total Risk - Clinical Equipment</v>
          </cell>
          <cell r="H277">
            <v>0</v>
          </cell>
          <cell r="J277">
            <v>0</v>
          </cell>
          <cell r="K277" t="str">
            <v>Trans</v>
          </cell>
        </row>
        <row r="278">
          <cell r="F278" t="str">
            <v xml:space="preserve">                                                         Percentage Implemented</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RISK</v>
          </cell>
          <cell r="H281" t="str">
            <v>N/A</v>
          </cell>
          <cell r="J281">
            <v>0</v>
          </cell>
          <cell r="K281" t="str">
            <v>Trans</v>
          </cell>
        </row>
        <row r="282">
          <cell r="A282">
            <v>189</v>
          </cell>
          <cell r="D282">
            <v>2</v>
          </cell>
          <cell r="F282" t="str">
            <v>CENTRAL TRANSPORTATION</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t="str">
            <v>Possible</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Score</v>
          </cell>
          <cell r="J284" t="str">
            <v>Score</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Do the transporters understand and adhere to hospital and department policies on the confidentiality of patient medical records and information?</v>
          </cell>
          <cell r="H287" t="str">
            <v>N/A</v>
          </cell>
          <cell r="J287">
            <v>0</v>
          </cell>
          <cell r="K287" t="str">
            <v>Trans</v>
          </cell>
        </row>
        <row r="288">
          <cell r="A288">
            <v>169</v>
          </cell>
          <cell r="D288">
            <v>2</v>
          </cell>
          <cell r="F288" t="str">
            <v>Are the transporters washing their hands after handling a patient, before and after eating their meals, and whenever else it is appropriate under hospital policy?</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Are the couriers monitoring their courier equipment, throughout their circuit so not to place the items they are transporting at risk of loss?</v>
          </cell>
          <cell r="H291" t="str">
            <v>N/A</v>
          </cell>
          <cell r="J291">
            <v>0</v>
          </cell>
          <cell r="K291" t="str">
            <v>Trans</v>
          </cell>
        </row>
        <row r="292">
          <cell r="D292">
            <v>0</v>
          </cell>
          <cell r="F292" t="str">
            <v>LAUNDRY/LINEN</v>
          </cell>
        </row>
        <row r="293">
          <cell r="A293">
            <v>193</v>
          </cell>
          <cell r="D293">
            <v>2</v>
          </cell>
          <cell r="F293" t="str">
            <v xml:space="preserve">                                                  Total Risk - Central Transportation</v>
          </cell>
          <cell r="H293">
            <v>0</v>
          </cell>
          <cell r="J293">
            <v>0</v>
          </cell>
          <cell r="K293" t="str">
            <v>Linen</v>
          </cell>
        </row>
        <row r="294">
          <cell r="A294">
            <v>194</v>
          </cell>
          <cell r="D294">
            <v>2</v>
          </cell>
          <cell r="F294" t="str">
            <v xml:space="preserve">                                                         Percentage Implemented</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Total Risk</v>
          </cell>
          <cell r="H296">
            <v>104</v>
          </cell>
          <cell r="J296">
            <v>104</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sheetData>
      <sheetData sheetId="7"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QUALITY</v>
          </cell>
          <cell r="G5" t="str">
            <v>Date:</v>
          </cell>
          <cell r="H5" t="str">
            <v>Score</v>
          </cell>
          <cell r="I5">
            <v>0</v>
          </cell>
          <cell r="J5" t="str">
            <v>Possible</v>
          </cell>
        </row>
        <row r="6">
          <cell r="A6" t="str">
            <v>Title:</v>
          </cell>
          <cell r="B6" t="str">
            <v>Purpose</v>
          </cell>
          <cell r="C6">
            <v>0</v>
          </cell>
          <cell r="F6" t="str">
            <v>GENERAL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2</v>
          </cell>
          <cell r="D8">
            <v>1</v>
          </cell>
          <cell r="F8" t="str">
            <v>Are the attire and grooming of the managers/supervisors and lead persons in good taste?</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                                                             Total Quality - General</v>
          </cell>
          <cell r="G9">
            <v>1</v>
          </cell>
          <cell r="H9">
            <v>2</v>
          </cell>
          <cell r="I9">
            <v>1</v>
          </cell>
          <cell r="J9">
            <v>2</v>
          </cell>
          <cell r="K9" t="str">
            <v>All</v>
          </cell>
        </row>
        <row r="10">
          <cell r="A10">
            <v>3</v>
          </cell>
          <cell r="B10" t="str">
            <v>Training - Training items relative to everyone</v>
          </cell>
          <cell r="C10">
            <v>1</v>
          </cell>
          <cell r="D10">
            <v>1</v>
          </cell>
          <cell r="F10" t="str">
            <v xml:space="preserve">                                                              Percentage Implemented</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POM</v>
          </cell>
          <cell r="G12">
            <v>1</v>
          </cell>
          <cell r="H12">
            <v>1</v>
          </cell>
          <cell r="I12">
            <v>1</v>
          </cell>
          <cell r="J12" t="str">
            <v>Score</v>
          </cell>
          <cell r="K12" t="str">
            <v>All</v>
          </cell>
        </row>
        <row r="13">
          <cell r="A13">
            <v>6</v>
          </cell>
          <cell r="B13" t="str">
            <v>a.</v>
          </cell>
          <cell r="C13">
            <v>1</v>
          </cell>
          <cell r="D13">
            <v>1</v>
          </cell>
          <cell r="F13" t="str">
            <v>General</v>
          </cell>
          <cell r="G13">
            <v>1</v>
          </cell>
          <cell r="H13">
            <v>1</v>
          </cell>
          <cell r="I13">
            <v>1</v>
          </cell>
          <cell r="J13">
            <v>1</v>
          </cell>
          <cell r="K13" t="str">
            <v>All</v>
          </cell>
        </row>
        <row r="14">
          <cell r="A14">
            <v>3</v>
          </cell>
          <cell r="B14" t="str">
            <v>b.</v>
          </cell>
          <cell r="C14">
            <v>1</v>
          </cell>
          <cell r="D14">
            <v>1</v>
          </cell>
          <cell r="F14" t="str">
            <v>Are shop floors, walls, ledges, work benches, and storage areas clean and free of clutter?   (OSHA:  1910.14a3)</v>
          </cell>
          <cell r="G14">
            <v>1</v>
          </cell>
          <cell r="H14">
            <v>1</v>
          </cell>
          <cell r="I14">
            <v>1</v>
          </cell>
          <cell r="J14">
            <v>1</v>
          </cell>
          <cell r="K14" t="str">
            <v>POM</v>
          </cell>
        </row>
        <row r="15">
          <cell r="A15">
            <v>4</v>
          </cell>
          <cell r="B15" t="str">
            <v>c.</v>
          </cell>
          <cell r="C15">
            <v>1</v>
          </cell>
          <cell r="D15">
            <v>1</v>
          </cell>
          <cell r="F15" t="str">
            <v>Are trash containers non-combustible, clean, lined, and covered?  (OSHA: 1910.141a4:  NFPA:  101:31-5.4.5)</v>
          </cell>
          <cell r="G15">
            <v>1</v>
          </cell>
          <cell r="H15">
            <v>1</v>
          </cell>
          <cell r="I15">
            <v>1</v>
          </cell>
          <cell r="J15">
            <v>1</v>
          </cell>
          <cell r="K15" t="str">
            <v>POM</v>
          </cell>
        </row>
        <row r="16">
          <cell r="A16">
            <v>5</v>
          </cell>
          <cell r="B16" t="str">
            <v>COVER PAGE - PROGRAM SET UP</v>
          </cell>
          <cell r="C16">
            <v>1</v>
          </cell>
          <cell r="D16">
            <v>1</v>
          </cell>
          <cell r="F16" t="str">
            <v>Is there a current library of applicable NFPA, OSHA, EPA and applicable state/local codes and regulations available for the Manager's use?</v>
          </cell>
          <cell r="G16">
            <v>1</v>
          </cell>
          <cell r="H16">
            <v>1</v>
          </cell>
          <cell r="I16">
            <v>1</v>
          </cell>
          <cell r="J16">
            <v>1</v>
          </cell>
          <cell r="K16" t="str">
            <v>POM</v>
          </cell>
        </row>
        <row r="17">
          <cell r="A17">
            <v>6</v>
          </cell>
          <cell r="B17" t="str">
            <v>1.  Select Services</v>
          </cell>
          <cell r="C17">
            <v>1</v>
          </cell>
          <cell r="D17">
            <v>1</v>
          </cell>
          <cell r="F17" t="str">
            <v>A minimum of 95% of Preventative Maintenance requirements have been consistently completed on a monthly basis.</v>
          </cell>
          <cell r="G17">
            <v>1</v>
          </cell>
          <cell r="H17">
            <v>1</v>
          </cell>
          <cell r="I17">
            <v>1</v>
          </cell>
          <cell r="J17">
            <v>1</v>
          </cell>
          <cell r="K17" t="str">
            <v>POM</v>
          </cell>
        </row>
        <row r="18">
          <cell r="A18">
            <v>8</v>
          </cell>
          <cell r="B18" t="str">
            <v>2.  Select Payroll   (May be both Facility and ServiceMaster)</v>
          </cell>
          <cell r="C18">
            <v>1</v>
          </cell>
          <cell r="D18">
            <v>1</v>
          </cell>
          <cell r="F18" t="str">
            <v>CMMS</v>
          </cell>
          <cell r="G18">
            <v>1</v>
          </cell>
          <cell r="H18">
            <v>1</v>
          </cell>
          <cell r="I18">
            <v>1</v>
          </cell>
          <cell r="J18">
            <v>1</v>
          </cell>
          <cell r="K18" t="str">
            <v>All</v>
          </cell>
        </row>
        <row r="19">
          <cell r="A19">
            <v>7</v>
          </cell>
          <cell r="B19" t="str">
            <v>3.  Select Market</v>
          </cell>
          <cell r="C19">
            <v>1</v>
          </cell>
          <cell r="D19">
            <v>1</v>
          </cell>
          <cell r="F19" t="str">
            <v>Are equipment history records properly completed and up-to-date as verified by a review of the Asset History?</v>
          </cell>
          <cell r="G19">
            <v>1</v>
          </cell>
          <cell r="H19">
            <v>1</v>
          </cell>
          <cell r="I19">
            <v>1</v>
          </cell>
          <cell r="J19">
            <v>1</v>
          </cell>
          <cell r="K19" t="str">
            <v>POM</v>
          </cell>
        </row>
        <row r="20">
          <cell r="A20">
            <v>8</v>
          </cell>
          <cell r="B20" t="str">
            <v>4.  Click on Red and Grey box - Program will automatically score questions you are responsible for as a "1"</v>
          </cell>
          <cell r="C20">
            <v>1</v>
          </cell>
          <cell r="D20">
            <v>1</v>
          </cell>
          <cell r="F20" t="str">
            <v>Is the asset number being used for appropriate equipment on work request?  Verify from CMMS Report for "Corrective Maintenance History" for major equipment.</v>
          </cell>
          <cell r="G20">
            <v>1</v>
          </cell>
          <cell r="H20">
            <v>1</v>
          </cell>
          <cell r="I20">
            <v>1</v>
          </cell>
          <cell r="J20">
            <v>1</v>
          </cell>
          <cell r="K20" t="str">
            <v>POM</v>
          </cell>
        </row>
        <row r="21">
          <cell r="A21">
            <v>9</v>
          </cell>
          <cell r="B21" t="str">
            <v>5.  To start over click Green and Grey box - Program will automatically "N/A" every question</v>
          </cell>
          <cell r="C21">
            <v>1</v>
          </cell>
          <cell r="D21">
            <v>1</v>
          </cell>
          <cell r="F21" t="str">
            <v>Are periodic reports reviewed and discussed with department heads?</v>
          </cell>
          <cell r="G21">
            <v>1</v>
          </cell>
          <cell r="H21">
            <v>1</v>
          </cell>
          <cell r="I21">
            <v>1</v>
          </cell>
          <cell r="J21">
            <v>1</v>
          </cell>
          <cell r="K21" t="str">
            <v>POM</v>
          </cell>
        </row>
        <row r="22">
          <cell r="A22">
            <v>10</v>
          </cell>
          <cell r="B22" t="str">
            <v>6.  To Print - Click Yellow and Grey Box - Program will print entire QPQ, Score Sheet, Action Plan, and Graphs</v>
          </cell>
          <cell r="C22">
            <v>1</v>
          </cell>
          <cell r="D22">
            <v>1</v>
          </cell>
          <cell r="F22" t="str">
            <v xml:space="preserve">Are material costs routinely entered in when completing work orders?  </v>
          </cell>
          <cell r="G22">
            <v>1</v>
          </cell>
          <cell r="H22">
            <v>1</v>
          </cell>
          <cell r="I22">
            <v>1</v>
          </cell>
          <cell r="J22">
            <v>1</v>
          </cell>
          <cell r="K22" t="str">
            <v>POM</v>
          </cell>
        </row>
        <row r="23">
          <cell r="A23">
            <v>11</v>
          </cell>
          <cell r="B23" t="str">
            <v>7.  To create "Action Plan" Go to Action Plan tab and click Black and Grey box.</v>
          </cell>
          <cell r="C23">
            <v>1</v>
          </cell>
          <cell r="D23">
            <v>1</v>
          </cell>
          <cell r="F23" t="str">
            <v>Is the employee data file current?</v>
          </cell>
          <cell r="G23">
            <v>1</v>
          </cell>
          <cell r="H23">
            <v>1</v>
          </cell>
          <cell r="I23">
            <v>1</v>
          </cell>
          <cell r="J23">
            <v>1</v>
          </cell>
          <cell r="K23" t="str">
            <v>POM</v>
          </cell>
        </row>
        <row r="24">
          <cell r="A24">
            <v>12</v>
          </cell>
          <cell r="C24">
            <v>1</v>
          </cell>
          <cell r="D24">
            <v>1</v>
          </cell>
          <cell r="F24" t="str">
            <v>Management has demonstrated use and knowledge of ISIS?</v>
          </cell>
          <cell r="G24">
            <v>13</v>
          </cell>
          <cell r="H24">
            <v>1</v>
          </cell>
          <cell r="I24">
            <v>13</v>
          </cell>
          <cell r="J24">
            <v>1</v>
          </cell>
          <cell r="K24" t="str">
            <v>POM</v>
          </cell>
        </row>
        <row r="25">
          <cell r="A25">
            <v>13</v>
          </cell>
          <cell r="D25">
            <v>1</v>
          </cell>
          <cell r="F25" t="str">
            <v>Is major equipment inventoried and indexed on the PM Program?</v>
          </cell>
          <cell r="G25">
            <v>1</v>
          </cell>
          <cell r="H25">
            <v>1</v>
          </cell>
          <cell r="J25">
            <v>1</v>
          </cell>
          <cell r="K25" t="str">
            <v>POM</v>
          </cell>
        </row>
        <row r="26">
          <cell r="A26">
            <v>14</v>
          </cell>
          <cell r="D26">
            <v>1</v>
          </cell>
          <cell r="F26" t="str">
            <v xml:space="preserve">Are all purchase service contracts logged and maintained on the ISIS or equal system? </v>
          </cell>
          <cell r="H26">
            <v>1</v>
          </cell>
          <cell r="J26">
            <v>1</v>
          </cell>
          <cell r="K26" t="str">
            <v>POM</v>
          </cell>
        </row>
        <row r="27">
          <cell r="A27">
            <v>15</v>
          </cell>
          <cell r="B27" t="str">
            <v>a.</v>
          </cell>
          <cell r="D27">
            <v>1</v>
          </cell>
          <cell r="F27" t="str">
            <v>Is the Employee Module being properly used to Template Schedules and Actual Schedules on ISIS?  Are the Available Hours fields completed in accordance with and are the Actual  Hours fields completed using the Dispatch Log?</v>
          </cell>
          <cell r="H27">
            <v>1</v>
          </cell>
          <cell r="J27">
            <v>1</v>
          </cell>
          <cell r="K27" t="str">
            <v>POM</v>
          </cell>
        </row>
        <row r="28">
          <cell r="A28">
            <v>16</v>
          </cell>
          <cell r="B28" t="str">
            <v>b.</v>
          </cell>
          <cell r="D28">
            <v>1</v>
          </cell>
          <cell r="F28" t="str">
            <v>Are Work Order Type Codes properly used to define minor construction projects and corrective maintenance work orders?</v>
          </cell>
          <cell r="H28">
            <v>1</v>
          </cell>
          <cell r="J28">
            <v>1</v>
          </cell>
          <cell r="K28" t="str">
            <v>POM</v>
          </cell>
        </row>
        <row r="29">
          <cell r="A29">
            <v>17</v>
          </cell>
          <cell r="B29" t="str">
            <v>c.</v>
          </cell>
          <cell r="D29">
            <v>1</v>
          </cell>
          <cell r="F29" t="str">
            <v>Are material costs routinely entered in when completing work orders?  Verify by reviewing completed work order lists</v>
          </cell>
          <cell r="H29">
            <v>1</v>
          </cell>
          <cell r="J29">
            <v>1</v>
          </cell>
          <cell r="K29" t="str">
            <v>POM</v>
          </cell>
        </row>
        <row r="30">
          <cell r="A30">
            <v>18</v>
          </cell>
          <cell r="B30" t="str">
            <v>d.</v>
          </cell>
          <cell r="D30">
            <v>1</v>
          </cell>
          <cell r="F30" t="str">
            <v>Did the Annual Performance Review include an energy review?</v>
          </cell>
          <cell r="H30">
            <v>1</v>
          </cell>
          <cell r="J30">
            <v>1</v>
          </cell>
          <cell r="K30" t="str">
            <v>POM</v>
          </cell>
        </row>
        <row r="31">
          <cell r="A31">
            <v>19</v>
          </cell>
          <cell r="D31">
            <v>1</v>
          </cell>
          <cell r="F31" t="str">
            <v>Is a Data Transfer being conducted at least biweekly?</v>
          </cell>
          <cell r="H31">
            <v>1</v>
          </cell>
          <cell r="J31">
            <v>1</v>
          </cell>
          <cell r="K31" t="str">
            <v>POM</v>
          </cell>
        </row>
        <row r="32">
          <cell r="A32">
            <v>20</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D33">
            <v>1</v>
          </cell>
          <cell r="F33" t="str">
            <v>Is the Safety Tab in ISIS turned on and used for Lock Out/Tag Out, Confined Spaces, and Personal Protective Equipment?</v>
          </cell>
          <cell r="H33">
            <v>1</v>
          </cell>
          <cell r="J33">
            <v>1</v>
          </cell>
          <cell r="K33" t="str">
            <v>POM</v>
          </cell>
        </row>
        <row r="34">
          <cell r="F34" t="str">
            <v>ALL (CONTINUED)</v>
          </cell>
        </row>
        <row r="35">
          <cell r="A35">
            <v>17</v>
          </cell>
          <cell r="F35" t="str">
            <v xml:space="preserve">                                                             Total Quality - POM</v>
          </cell>
          <cell r="H35">
            <v>19</v>
          </cell>
          <cell r="J35">
            <v>19</v>
          </cell>
        </row>
        <row r="36">
          <cell r="A36">
            <v>17</v>
          </cell>
          <cell r="B36" t="str">
            <v>a.</v>
          </cell>
          <cell r="D36">
            <v>1</v>
          </cell>
          <cell r="F36" t="str">
            <v xml:space="preserve">                                                              Percentage Implemented</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0</v>
          </cell>
          <cell r="D38">
            <v>1</v>
          </cell>
          <cell r="F38" t="str">
            <v>QUALITY</v>
          </cell>
          <cell r="H38" t="str">
            <v>Score</v>
          </cell>
          <cell r="J38" t="str">
            <v>Possible</v>
          </cell>
          <cell r="K38" t="str">
            <v>All</v>
          </cell>
        </row>
        <row r="39">
          <cell r="D39">
            <v>0</v>
          </cell>
          <cell r="F39" t="str">
            <v>ENVIRONMENTAL/CUSTODIAL</v>
          </cell>
          <cell r="J39" t="str">
            <v>Score</v>
          </cell>
        </row>
        <row r="40">
          <cell r="F40" t="str">
            <v>**(IF USED) Where question is asked concerning "Depth of Shine" use gloss meter. An indication of 55+ is required.</v>
          </cell>
        </row>
        <row r="41">
          <cell r="A41">
            <v>0</v>
          </cell>
          <cell r="D41">
            <v>0</v>
          </cell>
          <cell r="F41" t="str">
            <v>Corridors And Stairwells</v>
          </cell>
        </row>
        <row r="42">
          <cell r="A42">
            <v>22</v>
          </cell>
          <cell r="B42" t="str">
            <v>a.</v>
          </cell>
          <cell r="D42">
            <v>1</v>
          </cell>
          <cell r="F42" t="str">
            <v>Are floors clean (free of dirt, spills, litter) and finished with a depth shine**; or is carpeting clean and free of spots?</v>
          </cell>
          <cell r="H42">
            <v>1</v>
          </cell>
          <cell r="J42">
            <v>1</v>
          </cell>
          <cell r="K42" t="str">
            <v>Cust</v>
          </cell>
        </row>
        <row r="43">
          <cell r="A43">
            <v>23</v>
          </cell>
          <cell r="B43" t="str">
            <v>a.</v>
          </cell>
          <cell r="D43">
            <v>1</v>
          </cell>
          <cell r="F43" t="str">
            <v>Is there a walk-off mat program in place?</v>
          </cell>
          <cell r="H43">
            <v>1</v>
          </cell>
          <cell r="J43">
            <v>1</v>
          </cell>
          <cell r="K43" t="str">
            <v>Cust</v>
          </cell>
        </row>
        <row r="44">
          <cell r="A44">
            <v>23</v>
          </cell>
          <cell r="B44" t="str">
            <v>b.</v>
          </cell>
          <cell r="D44">
            <v>1</v>
          </cell>
          <cell r="F44" t="str">
            <v>Does the walk-off mat program identify what size of mat is needed at each location?</v>
          </cell>
          <cell r="H44">
            <v>1</v>
          </cell>
          <cell r="J44">
            <v>1</v>
          </cell>
          <cell r="K44" t="str">
            <v>Cust</v>
          </cell>
        </row>
        <row r="45">
          <cell r="A45">
            <v>23</v>
          </cell>
          <cell r="B45" t="str">
            <v>c.</v>
          </cell>
          <cell r="D45">
            <v>1</v>
          </cell>
          <cell r="F45" t="str">
            <v>Do you have the proper mat for the location?</v>
          </cell>
          <cell r="H45">
            <v>1</v>
          </cell>
          <cell r="J45">
            <v>1</v>
          </cell>
          <cell r="K45" t="str">
            <v>Cust</v>
          </cell>
        </row>
        <row r="46">
          <cell r="A46">
            <v>23</v>
          </cell>
          <cell r="B46" t="str">
            <v>d.</v>
          </cell>
          <cell r="D46">
            <v>1</v>
          </cell>
          <cell r="F46" t="str">
            <v>Is an inventory maintained?</v>
          </cell>
          <cell r="H46">
            <v>1</v>
          </cell>
          <cell r="J46">
            <v>1</v>
          </cell>
          <cell r="K46" t="str">
            <v>Cust</v>
          </cell>
        </row>
        <row r="47">
          <cell r="A47">
            <v>21</v>
          </cell>
          <cell r="B47" t="str">
            <v>b.</v>
          </cell>
          <cell r="D47">
            <v>1</v>
          </cell>
          <cell r="F47" t="str">
            <v>QUALITY</v>
          </cell>
          <cell r="H47">
            <v>1</v>
          </cell>
          <cell r="J47">
            <v>1</v>
          </cell>
        </row>
        <row r="48">
          <cell r="A48">
            <v>21</v>
          </cell>
          <cell r="B48" t="str">
            <v>a</v>
          </cell>
          <cell r="D48">
            <v>1</v>
          </cell>
          <cell r="F48" t="str">
            <v>ENVIRONMENTAL/CUSTODIAL (CONTINUED)</v>
          </cell>
          <cell r="H48">
            <v>1</v>
          </cell>
          <cell r="J48">
            <v>1</v>
          </cell>
          <cell r="K48" t="str">
            <v>All</v>
          </cell>
        </row>
        <row r="49">
          <cell r="A49">
            <v>24</v>
          </cell>
          <cell r="B49" t="str">
            <v>b.</v>
          </cell>
          <cell r="D49">
            <v>1</v>
          </cell>
          <cell r="F49" t="str">
            <v>Are walls and lockers clean?</v>
          </cell>
          <cell r="H49">
            <v>1</v>
          </cell>
          <cell r="J49">
            <v>1</v>
          </cell>
          <cell r="K49" t="str">
            <v>Cust</v>
          </cell>
        </row>
        <row r="50">
          <cell r="A50">
            <v>25</v>
          </cell>
          <cell r="B50" t="str">
            <v>c.</v>
          </cell>
          <cell r="D50">
            <v>1</v>
          </cell>
          <cell r="F50" t="str">
            <v>Are water fountains, vents, and registers clean?</v>
          </cell>
          <cell r="H50">
            <v>1</v>
          </cell>
          <cell r="J50">
            <v>1</v>
          </cell>
          <cell r="K50" t="str">
            <v>Cust</v>
          </cell>
        </row>
        <row r="51">
          <cell r="A51">
            <v>26</v>
          </cell>
          <cell r="B51" t="str">
            <v>f.</v>
          </cell>
          <cell r="D51">
            <v>1</v>
          </cell>
          <cell r="F51" t="str">
            <v>Are trash containers clean, and if applicable, lined and covered?</v>
          </cell>
          <cell r="H51">
            <v>1</v>
          </cell>
          <cell r="J51">
            <v>1</v>
          </cell>
          <cell r="K51" t="str">
            <v>Cust</v>
          </cell>
        </row>
        <row r="52">
          <cell r="A52">
            <v>27</v>
          </cell>
          <cell r="B52" t="str">
            <v>d.</v>
          </cell>
          <cell r="D52">
            <v>1</v>
          </cell>
          <cell r="F52" t="str">
            <v>Are stairwells cleaned and handrails dusted?</v>
          </cell>
          <cell r="H52">
            <v>1</v>
          </cell>
          <cell r="J52">
            <v>1</v>
          </cell>
          <cell r="K52" t="str">
            <v>Cust</v>
          </cell>
        </row>
        <row r="53">
          <cell r="A53">
            <v>22</v>
          </cell>
          <cell r="B53" t="str">
            <v>h.</v>
          </cell>
          <cell r="D53">
            <v>1</v>
          </cell>
          <cell r="F53" t="str">
            <v>Restrooms</v>
          </cell>
          <cell r="H53">
            <v>1</v>
          </cell>
          <cell r="J53">
            <v>1</v>
          </cell>
        </row>
        <row r="54">
          <cell r="A54">
            <v>28</v>
          </cell>
          <cell r="B54" t="str">
            <v>a.</v>
          </cell>
          <cell r="D54">
            <v>1</v>
          </cell>
          <cell r="F54" t="str">
            <v>Are floors clean (free of dirt, spills, litter) and grout lines clean and free of dirt build-up?</v>
          </cell>
          <cell r="H54">
            <v>1</v>
          </cell>
          <cell r="J54">
            <v>1</v>
          </cell>
          <cell r="K54" t="str">
            <v>Cust</v>
          </cell>
        </row>
        <row r="55">
          <cell r="A55">
            <v>29</v>
          </cell>
          <cell r="B55" t="str">
            <v>b.</v>
          </cell>
          <cell r="D55">
            <v>1</v>
          </cell>
          <cell r="F55" t="str">
            <v>Are corners and baseboards clean?</v>
          </cell>
          <cell r="H55">
            <v>1</v>
          </cell>
          <cell r="J55">
            <v>1</v>
          </cell>
          <cell r="K55" t="str">
            <v>Cust</v>
          </cell>
        </row>
        <row r="56">
          <cell r="A56">
            <v>30</v>
          </cell>
          <cell r="B56" t="str">
            <v>c.</v>
          </cell>
          <cell r="D56">
            <v>1</v>
          </cell>
          <cell r="F56" t="str">
            <v>Are walls clean (free of smudges, marks and graffiti) and shower wall if applicable, clean and free of  spots?</v>
          </cell>
          <cell r="H56">
            <v>1</v>
          </cell>
          <cell r="J56">
            <v>1</v>
          </cell>
          <cell r="K56" t="str">
            <v>Cust</v>
          </cell>
        </row>
        <row r="57">
          <cell r="A57">
            <v>31</v>
          </cell>
          <cell r="B57" t="str">
            <v>d.</v>
          </cell>
          <cell r="D57">
            <v>1</v>
          </cell>
          <cell r="F57" t="str">
            <v>Are urinal and toilet bowls clean?</v>
          </cell>
          <cell r="H57">
            <v>1</v>
          </cell>
          <cell r="J57">
            <v>1</v>
          </cell>
          <cell r="K57" t="str">
            <v>Cust</v>
          </cell>
        </row>
        <row r="58">
          <cell r="A58">
            <v>32</v>
          </cell>
          <cell r="B58" t="str">
            <v>m.</v>
          </cell>
          <cell r="D58">
            <v>1</v>
          </cell>
          <cell r="F58" t="str">
            <v>Are urinal and toilet stall partitions clean?</v>
          </cell>
          <cell r="H58">
            <v>1</v>
          </cell>
          <cell r="J58">
            <v>1</v>
          </cell>
          <cell r="K58" t="str">
            <v>Cust</v>
          </cell>
        </row>
        <row r="59">
          <cell r="A59">
            <v>33</v>
          </cell>
          <cell r="B59" t="str">
            <v>a.</v>
          </cell>
          <cell r="D59">
            <v>1</v>
          </cell>
          <cell r="F59" t="str">
            <v>Are sinks and counter tops free of soap build-up; are mirrors clean?</v>
          </cell>
          <cell r="H59">
            <v>1</v>
          </cell>
          <cell r="J59">
            <v>1</v>
          </cell>
          <cell r="K59" t="str">
            <v>Cust</v>
          </cell>
        </row>
        <row r="60">
          <cell r="A60">
            <v>34</v>
          </cell>
          <cell r="B60" t="str">
            <v>b.</v>
          </cell>
          <cell r="D60">
            <v>1</v>
          </cell>
          <cell r="F60" t="str">
            <v>Is all exposed chrome cleaned and polished?</v>
          </cell>
          <cell r="H60">
            <v>1</v>
          </cell>
          <cell r="J60">
            <v>1</v>
          </cell>
          <cell r="K60" t="str">
            <v>Cust</v>
          </cell>
        </row>
        <row r="61">
          <cell r="A61">
            <v>35</v>
          </cell>
          <cell r="B61" t="str">
            <v>c.</v>
          </cell>
          <cell r="D61">
            <v>1</v>
          </cell>
          <cell r="F61" t="str">
            <v>Are trash containers clean, and if applicable, lined and covered?</v>
          </cell>
          <cell r="H61">
            <v>1</v>
          </cell>
          <cell r="J61">
            <v>1</v>
          </cell>
          <cell r="K61" t="str">
            <v>Cust</v>
          </cell>
        </row>
        <row r="62">
          <cell r="A62">
            <v>36</v>
          </cell>
          <cell r="B62" t="str">
            <v>d.</v>
          </cell>
          <cell r="D62">
            <v>1</v>
          </cell>
          <cell r="F62" t="str">
            <v>Are supply dispensers clean and adequately filled?</v>
          </cell>
          <cell r="H62">
            <v>1</v>
          </cell>
          <cell r="J62">
            <v>1</v>
          </cell>
          <cell r="K62" t="str">
            <v>Cust</v>
          </cell>
        </row>
        <row r="63">
          <cell r="A63">
            <v>24</v>
          </cell>
          <cell r="B63" t="str">
            <v>d.</v>
          </cell>
          <cell r="D63">
            <v>1</v>
          </cell>
          <cell r="F63" t="str">
            <v>Custodial Closets</v>
          </cell>
          <cell r="H63">
            <v>1</v>
          </cell>
          <cell r="J63">
            <v>1</v>
          </cell>
          <cell r="K63" t="str">
            <v>All</v>
          </cell>
        </row>
        <row r="64">
          <cell r="A64">
            <v>37</v>
          </cell>
          <cell r="D64">
            <v>1</v>
          </cell>
          <cell r="F64" t="str">
            <v>Are floors and walls clean?</v>
          </cell>
          <cell r="H64">
            <v>1</v>
          </cell>
          <cell r="J64">
            <v>1</v>
          </cell>
          <cell r="K64" t="str">
            <v>Cust</v>
          </cell>
        </row>
        <row r="65">
          <cell r="A65">
            <v>38</v>
          </cell>
          <cell r="D65">
            <v>1</v>
          </cell>
          <cell r="F65" t="str">
            <v>Are chemicals, supplies, mop handles, etc., stored neatly above floors?  Are closets kept locked at all times?</v>
          </cell>
          <cell r="H65">
            <v>1</v>
          </cell>
          <cell r="J65">
            <v>1</v>
          </cell>
          <cell r="K65" t="str">
            <v>Cust</v>
          </cell>
        </row>
        <row r="66">
          <cell r="A66">
            <v>39</v>
          </cell>
          <cell r="D66">
            <v>1</v>
          </cell>
          <cell r="F66" t="str">
            <v>Are trash containers clean, and if applicable, lined and covered?</v>
          </cell>
          <cell r="H66">
            <v>1</v>
          </cell>
          <cell r="J66">
            <v>1</v>
          </cell>
          <cell r="K66" t="str">
            <v>Cust</v>
          </cell>
        </row>
        <row r="67">
          <cell r="A67">
            <v>40</v>
          </cell>
          <cell r="D67">
            <v>1</v>
          </cell>
          <cell r="F67" t="str">
            <v>Is deep sink and/or drain clean?</v>
          </cell>
          <cell r="H67">
            <v>1</v>
          </cell>
          <cell r="J67">
            <v>1</v>
          </cell>
          <cell r="K67" t="str">
            <v>Cust</v>
          </cell>
        </row>
        <row r="68">
          <cell r="A68">
            <v>41</v>
          </cell>
          <cell r="D68">
            <v>1</v>
          </cell>
          <cell r="F68" t="str">
            <v>Are rotos, vacuums, automatic scrubbers and other equipment clean?</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Are chemical bottles properly labeled?</v>
          </cell>
          <cell r="H70">
            <v>1</v>
          </cell>
          <cell r="J70">
            <v>1</v>
          </cell>
          <cell r="K70" t="str">
            <v>Cust</v>
          </cell>
        </row>
        <row r="71">
          <cell r="A71">
            <v>44</v>
          </cell>
          <cell r="D71">
            <v>1</v>
          </cell>
          <cell r="F71" t="str">
            <v>Are mop buckets clean and mops clean and free of odor?</v>
          </cell>
          <cell r="H71">
            <v>1</v>
          </cell>
          <cell r="I71">
            <v>0</v>
          </cell>
          <cell r="J71">
            <v>1</v>
          </cell>
          <cell r="K71" t="str">
            <v>Cust</v>
          </cell>
        </row>
        <row r="72">
          <cell r="A72">
            <v>26</v>
          </cell>
          <cell r="D72">
            <v>0</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Total Quality- Environmental/Custodial</v>
          </cell>
          <cell r="H73">
            <v>26</v>
          </cell>
          <cell r="J73">
            <v>26</v>
          </cell>
          <cell r="K73" t="str">
            <v>POM</v>
          </cell>
        </row>
        <row r="74">
          <cell r="A74" t="str">
            <v>26.</v>
          </cell>
          <cell r="D74">
            <v>1</v>
          </cell>
          <cell r="F74" t="str">
            <v xml:space="preserve">                                                              Percentage Implemented</v>
          </cell>
          <cell r="H74">
            <v>1</v>
          </cell>
          <cell r="J74">
            <v>1</v>
          </cell>
        </row>
        <row r="75">
          <cell r="A75" t="str">
            <v>27.</v>
          </cell>
          <cell r="D75">
            <v>1</v>
          </cell>
          <cell r="F75" t="str">
            <v>POM (CONTINUED)</v>
          </cell>
          <cell r="H75">
            <v>1</v>
          </cell>
          <cell r="J75">
            <v>1</v>
          </cell>
        </row>
        <row r="76">
          <cell r="A76">
            <v>28</v>
          </cell>
          <cell r="B76" t="str">
            <v>a.</v>
          </cell>
          <cell r="D76">
            <v>1</v>
          </cell>
          <cell r="F76" t="str">
            <v>QUALITY</v>
          </cell>
          <cell r="H76">
            <v>1</v>
          </cell>
          <cell r="J76">
            <v>1</v>
          </cell>
          <cell r="K76" t="str">
            <v>POM</v>
          </cell>
        </row>
        <row r="77">
          <cell r="A77">
            <v>28</v>
          </cell>
          <cell r="B77" t="str">
            <v>b.</v>
          </cell>
          <cell r="D77">
            <v>0</v>
          </cell>
          <cell r="F77" t="str">
            <v>CUSTODIAL (EDUCATION ONLY)</v>
          </cell>
          <cell r="H77">
            <v>1</v>
          </cell>
          <cell r="J77">
            <v>1</v>
          </cell>
          <cell r="K77" t="str">
            <v>POM</v>
          </cell>
        </row>
        <row r="78">
          <cell r="A78">
            <v>29</v>
          </cell>
          <cell r="D78">
            <v>1</v>
          </cell>
          <cell r="F78" t="str">
            <v>Classrooms (Instructional / Vocational / Labs)</v>
          </cell>
          <cell r="H78">
            <v>1</v>
          </cell>
          <cell r="J78">
            <v>1</v>
          </cell>
          <cell r="K78" t="str">
            <v>POM</v>
          </cell>
        </row>
        <row r="79">
          <cell r="A79">
            <v>45</v>
          </cell>
          <cell r="D79">
            <v>2</v>
          </cell>
          <cell r="F79" t="str">
            <v>Are floors clean (free of dirt, spills, litter) and finished with a depth shine**; or is carpeting clean and free of spots?</v>
          </cell>
          <cell r="H79" t="str">
            <v>N/A</v>
          </cell>
          <cell r="J79">
            <v>0</v>
          </cell>
          <cell r="K79" t="str">
            <v>EdCust</v>
          </cell>
        </row>
        <row r="80">
          <cell r="A80">
            <v>46</v>
          </cell>
          <cell r="B80" t="str">
            <v>a.</v>
          </cell>
          <cell r="D80">
            <v>2</v>
          </cell>
          <cell r="F80" t="str">
            <v>Are walls clean (free of smudges, marks, graffiti)?</v>
          </cell>
          <cell r="H80" t="str">
            <v>N/A</v>
          </cell>
          <cell r="J80">
            <v>0</v>
          </cell>
          <cell r="K80" t="str">
            <v>EdCust</v>
          </cell>
        </row>
        <row r="81">
          <cell r="A81">
            <v>47</v>
          </cell>
          <cell r="B81" t="str">
            <v>b.</v>
          </cell>
          <cell r="D81">
            <v>2</v>
          </cell>
          <cell r="F81" t="str">
            <v>Are window interiors and ledges clean and dusted?</v>
          </cell>
          <cell r="H81" t="str">
            <v>N/A</v>
          </cell>
          <cell r="J81">
            <v>0</v>
          </cell>
          <cell r="K81" t="str">
            <v>EdCust</v>
          </cell>
        </row>
        <row r="82">
          <cell r="A82">
            <v>48</v>
          </cell>
          <cell r="B82" t="str">
            <v>c.</v>
          </cell>
          <cell r="D82">
            <v>2</v>
          </cell>
          <cell r="F82" t="str">
            <v>Are chalkboards cleaned?</v>
          </cell>
          <cell r="H82" t="str">
            <v>N/A</v>
          </cell>
          <cell r="J82">
            <v>0</v>
          </cell>
          <cell r="K82" t="str">
            <v>EdCust</v>
          </cell>
        </row>
        <row r="83">
          <cell r="A83">
            <v>49</v>
          </cell>
          <cell r="D83">
            <v>2</v>
          </cell>
          <cell r="F83" t="str">
            <v>Are all horizontal surfaces clean and free of dust?  (shelving, alarms, clocks, etc.)</v>
          </cell>
          <cell r="H83" t="str">
            <v>N/A</v>
          </cell>
          <cell r="J83">
            <v>0</v>
          </cell>
          <cell r="K83" t="str">
            <v>EdCust</v>
          </cell>
        </row>
        <row r="84">
          <cell r="A84">
            <v>50</v>
          </cell>
          <cell r="D84">
            <v>2</v>
          </cell>
          <cell r="F84" t="str">
            <v>Are all furnishings arranged neatly and orderly?</v>
          </cell>
          <cell r="H84" t="str">
            <v>N/A</v>
          </cell>
          <cell r="J84">
            <v>0</v>
          </cell>
          <cell r="K84" t="str">
            <v>EdCust</v>
          </cell>
        </row>
        <row r="85">
          <cell r="A85">
            <v>51</v>
          </cell>
          <cell r="D85">
            <v>2</v>
          </cell>
          <cell r="F85" t="str">
            <v>Are trash containers clean and, if applicable, lined and covered?</v>
          </cell>
          <cell r="H85" t="str">
            <v>N/A</v>
          </cell>
          <cell r="J85">
            <v>0</v>
          </cell>
          <cell r="K85" t="str">
            <v>EdCust</v>
          </cell>
        </row>
        <row r="86">
          <cell r="A86" t="str">
            <v>31.</v>
          </cell>
          <cell r="D86">
            <v>1</v>
          </cell>
          <cell r="F86" t="str">
            <v>Offices (Administrative / Faculty)</v>
          </cell>
          <cell r="H86">
            <v>1</v>
          </cell>
          <cell r="J86">
            <v>1</v>
          </cell>
        </row>
        <row r="87">
          <cell r="A87">
            <v>52</v>
          </cell>
          <cell r="D87">
            <v>2</v>
          </cell>
          <cell r="F87" t="str">
            <v>Are floors clean (free of dirt, spills, litter) and finished with a depth shine**; or is carpeting clean and free of spots?</v>
          </cell>
          <cell r="H87" t="str">
            <v>N/A</v>
          </cell>
          <cell r="J87">
            <v>0</v>
          </cell>
          <cell r="K87" t="str">
            <v>EdCust</v>
          </cell>
        </row>
        <row r="88">
          <cell r="A88">
            <v>53</v>
          </cell>
          <cell r="D88">
            <v>2</v>
          </cell>
          <cell r="F88" t="str">
            <v>Are walls clean (free of smudges, marks, graffiti)?</v>
          </cell>
          <cell r="H88" t="str">
            <v>N/A</v>
          </cell>
          <cell r="J88">
            <v>0</v>
          </cell>
          <cell r="K88" t="str">
            <v>EdCust</v>
          </cell>
        </row>
        <row r="89">
          <cell r="A89">
            <v>54</v>
          </cell>
          <cell r="D89">
            <v>2</v>
          </cell>
          <cell r="F89" t="str">
            <v>Are window interiors and ledges clean and dusted?</v>
          </cell>
          <cell r="H89" t="str">
            <v>N/A</v>
          </cell>
          <cell r="J89">
            <v>0</v>
          </cell>
          <cell r="K89" t="str">
            <v>EdCust</v>
          </cell>
        </row>
        <row r="90">
          <cell r="A90">
            <v>55</v>
          </cell>
          <cell r="D90">
            <v>2</v>
          </cell>
          <cell r="F90" t="str">
            <v>Are furniture and bookshelves clean and dusted or polished?</v>
          </cell>
          <cell r="H90" t="str">
            <v>N/A</v>
          </cell>
          <cell r="J90">
            <v>0</v>
          </cell>
          <cell r="K90" t="str">
            <v>EdCust</v>
          </cell>
        </row>
        <row r="91">
          <cell r="A91">
            <v>56</v>
          </cell>
          <cell r="D91">
            <v>2</v>
          </cell>
          <cell r="F91" t="str">
            <v>Are trash containers clean and, if applicable, lined and covered?</v>
          </cell>
          <cell r="H91" t="str">
            <v>N/A</v>
          </cell>
          <cell r="J91">
            <v>0</v>
          </cell>
          <cell r="K91" t="str">
            <v>EdCust</v>
          </cell>
        </row>
        <row r="92">
          <cell r="A92">
            <v>42</v>
          </cell>
          <cell r="D92">
            <v>1</v>
          </cell>
          <cell r="F92" t="str">
            <v>Gymnasium</v>
          </cell>
          <cell r="H92">
            <v>1</v>
          </cell>
          <cell r="J92">
            <v>1</v>
          </cell>
          <cell r="K92" t="str">
            <v>POM</v>
          </cell>
        </row>
        <row r="93">
          <cell r="A93">
            <v>57</v>
          </cell>
          <cell r="D93">
            <v>2</v>
          </cell>
          <cell r="F93" t="str">
            <v>Are floors clean (free of dirt, spills, litter), and do they have a good shine?</v>
          </cell>
          <cell r="H93" t="str">
            <v>N/A</v>
          </cell>
          <cell r="J93">
            <v>0</v>
          </cell>
          <cell r="K93" t="str">
            <v>EdCust</v>
          </cell>
        </row>
        <row r="94">
          <cell r="A94">
            <v>58</v>
          </cell>
          <cell r="D94">
            <v>2</v>
          </cell>
          <cell r="F94" t="str">
            <v>Are walls clean?</v>
          </cell>
          <cell r="H94" t="str">
            <v>N/A</v>
          </cell>
          <cell r="J94">
            <v>0</v>
          </cell>
          <cell r="K94" t="str">
            <v>EdCust</v>
          </cell>
        </row>
        <row r="95">
          <cell r="A95">
            <v>59</v>
          </cell>
          <cell r="B95" t="str">
            <v>a.</v>
          </cell>
          <cell r="D95">
            <v>2</v>
          </cell>
          <cell r="F95" t="str">
            <v>Are water fountains, vents and registers clean?</v>
          </cell>
          <cell r="H95" t="str">
            <v>N/A</v>
          </cell>
          <cell r="J95">
            <v>0</v>
          </cell>
          <cell r="K95" t="str">
            <v>EdCust</v>
          </cell>
        </row>
        <row r="96">
          <cell r="A96">
            <v>60</v>
          </cell>
          <cell r="B96" t="str">
            <v>b.</v>
          </cell>
          <cell r="D96">
            <v>2</v>
          </cell>
          <cell r="F96" t="str">
            <v>Are bleachers free of dirt, spills and litter?</v>
          </cell>
          <cell r="H96" t="str">
            <v>N/A</v>
          </cell>
          <cell r="J96">
            <v>0</v>
          </cell>
          <cell r="K96" t="str">
            <v>EdCust</v>
          </cell>
        </row>
        <row r="97">
          <cell r="A97">
            <v>61</v>
          </cell>
          <cell r="D97">
            <v>2</v>
          </cell>
          <cell r="F97" t="str">
            <v>Are lockers clean and dusted?</v>
          </cell>
          <cell r="H97" t="str">
            <v>N/A</v>
          </cell>
          <cell r="J97">
            <v>0</v>
          </cell>
          <cell r="K97" t="str">
            <v>EdCust</v>
          </cell>
        </row>
        <row r="98">
          <cell r="A98">
            <v>62</v>
          </cell>
          <cell r="D98">
            <v>2</v>
          </cell>
          <cell r="F98" t="str">
            <v>Are urinal and toilet stall partitions clean?</v>
          </cell>
          <cell r="H98" t="str">
            <v>N/A</v>
          </cell>
          <cell r="J98">
            <v>0</v>
          </cell>
          <cell r="K98" t="str">
            <v>EdCust</v>
          </cell>
        </row>
        <row r="99">
          <cell r="A99">
            <v>63</v>
          </cell>
          <cell r="D99">
            <v>2</v>
          </cell>
          <cell r="F99" t="str">
            <v>Are showers, sinks and counter tops free of soap build-up; are mirrors clean?</v>
          </cell>
          <cell r="H99" t="str">
            <v>N/A</v>
          </cell>
          <cell r="J99">
            <v>0</v>
          </cell>
          <cell r="K99" t="str">
            <v>EdCust</v>
          </cell>
        </row>
        <row r="100">
          <cell r="A100">
            <v>64</v>
          </cell>
          <cell r="D100">
            <v>2</v>
          </cell>
          <cell r="F100" t="str">
            <v>Is all exposed chrome polished around sinks, urinals, toilets and in the shower?</v>
          </cell>
          <cell r="H100" t="str">
            <v>N/A</v>
          </cell>
          <cell r="J100">
            <v>0</v>
          </cell>
          <cell r="K100" t="str">
            <v>EdCust</v>
          </cell>
        </row>
        <row r="101">
          <cell r="A101">
            <v>65</v>
          </cell>
          <cell r="D101">
            <v>2</v>
          </cell>
          <cell r="F101" t="str">
            <v>Are trash containers clean and, if applicable, lined and covered?</v>
          </cell>
          <cell r="H101" t="str">
            <v>N/A</v>
          </cell>
          <cell r="J101">
            <v>0</v>
          </cell>
          <cell r="K101" t="str">
            <v>EdCust</v>
          </cell>
        </row>
        <row r="102">
          <cell r="A102">
            <v>66</v>
          </cell>
          <cell r="D102">
            <v>2</v>
          </cell>
          <cell r="F102" t="str">
            <v>Are supply dispensers clean and adequately filled?</v>
          </cell>
          <cell r="H102" t="str">
            <v>N/A</v>
          </cell>
          <cell r="J102">
            <v>0</v>
          </cell>
          <cell r="K102" t="str">
            <v>EdCust</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QUALITY</v>
          </cell>
          <cell r="H105">
            <v>1</v>
          </cell>
          <cell r="J105">
            <v>1</v>
          </cell>
          <cell r="K105" t="str">
            <v>POM</v>
          </cell>
        </row>
        <row r="106">
          <cell r="A106">
            <v>53</v>
          </cell>
          <cell r="D106">
            <v>1</v>
          </cell>
          <cell r="F106" t="str">
            <v>CUSTODIAL (EDUCATION ONLY) (CONTINUED)</v>
          </cell>
          <cell r="H106">
            <v>1</v>
          </cell>
          <cell r="J106">
            <v>1</v>
          </cell>
          <cell r="K106" t="str">
            <v>POM</v>
          </cell>
        </row>
        <row r="107">
          <cell r="A107">
            <v>54</v>
          </cell>
          <cell r="D107">
            <v>1</v>
          </cell>
          <cell r="F107" t="str">
            <v>Auditorium / Library / Commons</v>
          </cell>
          <cell r="H107">
            <v>1</v>
          </cell>
          <cell r="J107">
            <v>1</v>
          </cell>
          <cell r="K107" t="str">
            <v>POM</v>
          </cell>
        </row>
        <row r="108">
          <cell r="A108">
            <v>67</v>
          </cell>
          <cell r="D108">
            <v>2</v>
          </cell>
          <cell r="F108" t="str">
            <v>Are floors clean (free of dirt, spills, litter) and finished with a depth shine**; or is carpeting clean and free of spots?</v>
          </cell>
          <cell r="H108" t="str">
            <v>N/A</v>
          </cell>
          <cell r="J108">
            <v>0</v>
          </cell>
          <cell r="K108" t="str">
            <v>EdCust</v>
          </cell>
        </row>
        <row r="109">
          <cell r="A109">
            <v>68</v>
          </cell>
          <cell r="D109">
            <v>2</v>
          </cell>
          <cell r="F109" t="str">
            <v>Are the walls clean?</v>
          </cell>
          <cell r="H109" t="str">
            <v>N/A</v>
          </cell>
          <cell r="J109">
            <v>0</v>
          </cell>
          <cell r="K109" t="str">
            <v>EdCust</v>
          </cell>
        </row>
        <row r="110">
          <cell r="A110">
            <v>69</v>
          </cell>
          <cell r="D110">
            <v>2</v>
          </cell>
          <cell r="F110" t="str">
            <v>Are water fountains, vents and registers clean?</v>
          </cell>
          <cell r="H110" t="str">
            <v>N/A</v>
          </cell>
          <cell r="J110">
            <v>0</v>
          </cell>
          <cell r="K110" t="str">
            <v>EdCust</v>
          </cell>
        </row>
        <row r="111">
          <cell r="A111">
            <v>70</v>
          </cell>
          <cell r="D111">
            <v>2</v>
          </cell>
          <cell r="F111" t="str">
            <v>Are the bleachers/seats free of dirt, spills and litter?</v>
          </cell>
          <cell r="H111" t="str">
            <v>N/A</v>
          </cell>
          <cell r="J111">
            <v>0</v>
          </cell>
          <cell r="K111" t="str">
            <v>EdCust</v>
          </cell>
        </row>
        <row r="112">
          <cell r="A112">
            <v>71</v>
          </cell>
          <cell r="D112">
            <v>2</v>
          </cell>
          <cell r="F112" t="str">
            <v>Are the lockers clean and dusted?</v>
          </cell>
          <cell r="H112" t="str">
            <v>N/A</v>
          </cell>
          <cell r="J112">
            <v>0</v>
          </cell>
          <cell r="K112" t="str">
            <v>EdCust</v>
          </cell>
        </row>
        <row r="113">
          <cell r="A113">
            <v>72</v>
          </cell>
          <cell r="D113">
            <v>2</v>
          </cell>
          <cell r="F113" t="str">
            <v>Are trash containers clean and, if applicable, lined and covered?</v>
          </cell>
          <cell r="H113" t="str">
            <v>N/A</v>
          </cell>
          <cell r="J113">
            <v>0</v>
          </cell>
          <cell r="K113" t="str">
            <v>EdCust</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 xml:space="preserve">                                                               Total Quality - Custodial (Education Only)</v>
          </cell>
          <cell r="H115">
            <v>0</v>
          </cell>
          <cell r="J115">
            <v>0</v>
          </cell>
          <cell r="K115" t="str">
            <v>POM</v>
          </cell>
        </row>
        <row r="116">
          <cell r="A116">
            <v>63</v>
          </cell>
          <cell r="D116">
            <v>1</v>
          </cell>
          <cell r="F116" t="str">
            <v xml:space="preserve">                                                               Percentage Implemented</v>
          </cell>
          <cell r="H116" t="str">
            <v>N/A</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QUALITY</v>
          </cell>
          <cell r="H119">
            <v>1</v>
          </cell>
          <cell r="J119">
            <v>1</v>
          </cell>
          <cell r="K119" t="str">
            <v>POM</v>
          </cell>
        </row>
        <row r="120">
          <cell r="A120">
            <v>67</v>
          </cell>
          <cell r="D120">
            <v>1</v>
          </cell>
          <cell r="F120" t="str">
            <v>GROUNDS</v>
          </cell>
          <cell r="H120" t="str">
            <v>Score</v>
          </cell>
          <cell r="J120" t="str">
            <v>Possible</v>
          </cell>
          <cell r="K120" t="str">
            <v>POM</v>
          </cell>
        </row>
        <row r="121">
          <cell r="A121">
            <v>68</v>
          </cell>
          <cell r="D121">
            <v>1</v>
          </cell>
          <cell r="F121" t="str">
            <v>Turf</v>
          </cell>
          <cell r="H121">
            <v>1</v>
          </cell>
          <cell r="J121" t="str">
            <v>Score</v>
          </cell>
          <cell r="K121" t="str">
            <v>POM</v>
          </cell>
        </row>
        <row r="122">
          <cell r="A122">
            <v>73</v>
          </cell>
          <cell r="D122">
            <v>2</v>
          </cell>
          <cell r="F122" t="str">
            <v>Do turf areas have a uniform, healthy appearance? (free of bare spots and not compacted)</v>
          </cell>
          <cell r="H122" t="str">
            <v>N/A</v>
          </cell>
          <cell r="J122">
            <v>0</v>
          </cell>
          <cell r="K122" t="str">
            <v>Ground</v>
          </cell>
        </row>
        <row r="123">
          <cell r="A123">
            <v>74</v>
          </cell>
          <cell r="D123">
            <v>2</v>
          </cell>
          <cell r="F123" t="str">
            <v>Is mowing performed frequently enough to eliminate heavy clipping accumulation?</v>
          </cell>
          <cell r="H123" t="str">
            <v>N/A</v>
          </cell>
          <cell r="J123">
            <v>0</v>
          </cell>
          <cell r="K123" t="str">
            <v>Ground</v>
          </cell>
        </row>
        <row r="124">
          <cell r="A124">
            <v>75</v>
          </cell>
          <cell r="D124">
            <v>2</v>
          </cell>
          <cell r="F124" t="str">
            <v>Is turf trimmed around trees, fences and buildings?</v>
          </cell>
          <cell r="H124" t="str">
            <v>N/A</v>
          </cell>
          <cell r="J124">
            <v>0</v>
          </cell>
          <cell r="K124" t="str">
            <v>Ground</v>
          </cell>
        </row>
        <row r="125">
          <cell r="A125">
            <v>76</v>
          </cell>
          <cell r="D125">
            <v>2</v>
          </cell>
          <cell r="F125" t="str">
            <v>Are curbs and sidewalks neatly edged?</v>
          </cell>
          <cell r="H125" t="str">
            <v>N/A</v>
          </cell>
          <cell r="J125">
            <v>0</v>
          </cell>
          <cell r="K125" t="str">
            <v>Ground</v>
          </cell>
        </row>
        <row r="126">
          <cell r="A126">
            <v>77</v>
          </cell>
          <cell r="D126">
            <v>2</v>
          </cell>
          <cell r="F126" t="str">
            <v>Managers know turf varieties being grown?</v>
          </cell>
          <cell r="H126" t="str">
            <v>N/A</v>
          </cell>
          <cell r="J126">
            <v>0</v>
          </cell>
          <cell r="K126" t="str">
            <v>Ground</v>
          </cell>
        </row>
        <row r="127">
          <cell r="A127">
            <v>78</v>
          </cell>
          <cell r="D127">
            <v>2</v>
          </cell>
          <cell r="F127" t="str">
            <v>The turf is mowed to an appropriate height?</v>
          </cell>
          <cell r="H127" t="str">
            <v>N/A</v>
          </cell>
          <cell r="J127">
            <v>0</v>
          </cell>
          <cell r="K127" t="str">
            <v>Ground</v>
          </cell>
        </row>
        <row r="128">
          <cell r="A128">
            <v>79</v>
          </cell>
          <cell r="D128">
            <v>2</v>
          </cell>
          <cell r="F128" t="str">
            <v>The turf contains a minimum of weeds?</v>
          </cell>
          <cell r="H128" t="str">
            <v>N/A</v>
          </cell>
          <cell r="J128">
            <v>0</v>
          </cell>
          <cell r="K128" t="str">
            <v>Ground</v>
          </cell>
        </row>
        <row r="129">
          <cell r="A129">
            <v>80</v>
          </cell>
          <cell r="D129">
            <v>2</v>
          </cell>
          <cell r="F129" t="str">
            <v>Turf areas have been aerated within the last year?</v>
          </cell>
          <cell r="H129" t="str">
            <v>N/A</v>
          </cell>
          <cell r="J129">
            <v>0</v>
          </cell>
          <cell r="K129" t="str">
            <v>Ground</v>
          </cell>
        </row>
        <row r="130">
          <cell r="A130">
            <v>81</v>
          </cell>
          <cell r="D130">
            <v>2</v>
          </cell>
          <cell r="F130" t="str">
            <v>Repair and reseeding of damaged turf is done on a routine and as needed basis?</v>
          </cell>
          <cell r="H130" t="str">
            <v>N/A</v>
          </cell>
          <cell r="J130">
            <v>0</v>
          </cell>
          <cell r="K130" t="str">
            <v>Ground</v>
          </cell>
        </row>
        <row r="131">
          <cell r="A131">
            <v>76</v>
          </cell>
          <cell r="D131">
            <v>1</v>
          </cell>
          <cell r="F131" t="str">
            <v>Trees / Shrubs / Beds</v>
          </cell>
          <cell r="H131">
            <v>1</v>
          </cell>
          <cell r="J131">
            <v>1</v>
          </cell>
          <cell r="K131" t="str">
            <v>POM</v>
          </cell>
        </row>
        <row r="132">
          <cell r="A132">
            <v>82</v>
          </cell>
          <cell r="D132">
            <v>2</v>
          </cell>
          <cell r="F132" t="str">
            <v>Are trees and shrubs pruned and trimmed in an attractive manner?</v>
          </cell>
          <cell r="H132" t="str">
            <v>N/A</v>
          </cell>
          <cell r="J132">
            <v>0</v>
          </cell>
          <cell r="K132" t="str">
            <v>Ground</v>
          </cell>
        </row>
        <row r="133">
          <cell r="A133">
            <v>83</v>
          </cell>
          <cell r="D133">
            <v>2</v>
          </cell>
          <cell r="F133" t="str">
            <v>Are flower and shrub beds neatly edged and weed free?</v>
          </cell>
          <cell r="H133" t="str">
            <v>N/A</v>
          </cell>
          <cell r="J133">
            <v>0</v>
          </cell>
          <cell r="K133" t="str">
            <v>Ground</v>
          </cell>
        </row>
        <row r="134">
          <cell r="A134">
            <v>84</v>
          </cell>
          <cell r="D134">
            <v>2</v>
          </cell>
          <cell r="F134" t="str">
            <v>Are the base of trees mulched and sprayed to provide a finished appearance and to avoid lawn mower damage?</v>
          </cell>
          <cell r="H134" t="str">
            <v>N/A</v>
          </cell>
          <cell r="J134">
            <v>0</v>
          </cell>
          <cell r="K134" t="str">
            <v>Ground</v>
          </cell>
        </row>
        <row r="135">
          <cell r="A135">
            <v>85</v>
          </cell>
          <cell r="D135">
            <v>2</v>
          </cell>
          <cell r="F135" t="str">
            <v>Are ground covers vigorous and neat?</v>
          </cell>
          <cell r="H135" t="str">
            <v>N/A</v>
          </cell>
          <cell r="J135">
            <v>0</v>
          </cell>
          <cell r="K135" t="str">
            <v>Ground</v>
          </cell>
        </row>
        <row r="136">
          <cell r="A136">
            <v>86</v>
          </cell>
          <cell r="D136">
            <v>2</v>
          </cell>
          <cell r="F136" t="str">
            <v>Accents of color/flowers are used to enhance high visibility areas?</v>
          </cell>
          <cell r="H136" t="str">
            <v>N/A</v>
          </cell>
          <cell r="J136">
            <v>0</v>
          </cell>
          <cell r="K136" t="str">
            <v>Ground</v>
          </cell>
        </row>
        <row r="137">
          <cell r="A137">
            <v>87</v>
          </cell>
          <cell r="D137">
            <v>2</v>
          </cell>
          <cell r="F137" t="str">
            <v>Are dead plants removed and space filled in?</v>
          </cell>
          <cell r="H137" t="str">
            <v>N/A</v>
          </cell>
          <cell r="J137">
            <v>0</v>
          </cell>
          <cell r="K137" t="str">
            <v>Ground</v>
          </cell>
        </row>
        <row r="138">
          <cell r="A138">
            <v>88</v>
          </cell>
          <cell r="D138">
            <v>2</v>
          </cell>
          <cell r="F138" t="str">
            <v>Diseased plants are identified and corrective action taken?</v>
          </cell>
          <cell r="H138" t="str">
            <v>N/A</v>
          </cell>
          <cell r="J138">
            <v>0</v>
          </cell>
          <cell r="K138" t="str">
            <v>Ground</v>
          </cell>
        </row>
        <row r="139">
          <cell r="F139" t="str">
            <v>Hard Surfaces / Fences / Signs / Trash</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Are curbs, sidewalks and parking lots weed-free?</v>
          </cell>
          <cell r="H141" t="str">
            <v>N/A</v>
          </cell>
          <cell r="J141">
            <v>0</v>
          </cell>
          <cell r="K141" t="str">
            <v>Ground</v>
          </cell>
        </row>
        <row r="142">
          <cell r="A142">
            <v>91</v>
          </cell>
          <cell r="D142">
            <v>2</v>
          </cell>
          <cell r="F142" t="str">
            <v>Are fences in good repair and free of trash and vegetative growth?  (weeds &amp; grass)</v>
          </cell>
          <cell r="H142" t="str">
            <v>N/A</v>
          </cell>
          <cell r="I142">
            <v>0</v>
          </cell>
          <cell r="J142">
            <v>0</v>
          </cell>
          <cell r="K142" t="str">
            <v>Ground</v>
          </cell>
        </row>
        <row r="143">
          <cell r="A143">
            <v>92</v>
          </cell>
          <cell r="D143">
            <v>2</v>
          </cell>
          <cell r="E143">
            <v>0</v>
          </cell>
          <cell r="F143" t="str">
            <v>Are parking lot gutters free of built up leaves, trash and debris?</v>
          </cell>
          <cell r="H143" t="str">
            <v>N/A</v>
          </cell>
          <cell r="J143">
            <v>0</v>
          </cell>
          <cell r="K143" t="str">
            <v>Ground</v>
          </cell>
        </row>
        <row r="144">
          <cell r="A144">
            <v>93</v>
          </cell>
          <cell r="D144">
            <v>2</v>
          </cell>
          <cell r="F144" t="str">
            <v>Are potholes absent and new ones are filled in immediately?</v>
          </cell>
          <cell r="H144" t="str">
            <v>N/A</v>
          </cell>
          <cell r="J144">
            <v>0</v>
          </cell>
          <cell r="K144" t="str">
            <v>Ground</v>
          </cell>
        </row>
        <row r="145">
          <cell r="A145">
            <v>94</v>
          </cell>
          <cell r="D145">
            <v>2</v>
          </cell>
          <cell r="F145" t="str">
            <v>Are signs legible and located in a conspicuous location?  Painted road, parking lot, and curb markings are in good repair?</v>
          </cell>
          <cell r="H145" t="str">
            <v>N/A</v>
          </cell>
          <cell r="J145">
            <v>0</v>
          </cell>
          <cell r="K145" t="str">
            <v>Ground</v>
          </cell>
        </row>
        <row r="146">
          <cell r="A146">
            <v>95</v>
          </cell>
          <cell r="D146">
            <v>2</v>
          </cell>
          <cell r="F146" t="str">
            <v>Are building exteriors free of leaves, trash and debris?</v>
          </cell>
          <cell r="H146" t="str">
            <v>N/A</v>
          </cell>
          <cell r="J146">
            <v>0</v>
          </cell>
          <cell r="K146" t="str">
            <v>Ground</v>
          </cell>
        </row>
        <row r="147">
          <cell r="A147">
            <v>96</v>
          </cell>
          <cell r="D147">
            <v>2</v>
          </cell>
          <cell r="F147" t="str">
            <v>Are building exteriors free of unsightly storage?</v>
          </cell>
          <cell r="H147" t="str">
            <v>N/A</v>
          </cell>
          <cell r="J147">
            <v>0</v>
          </cell>
          <cell r="K147" t="str">
            <v>Ground</v>
          </cell>
        </row>
        <row r="148">
          <cell r="A148">
            <v>97</v>
          </cell>
          <cell r="D148">
            <v>2</v>
          </cell>
          <cell r="F148" t="str">
            <v>Are building exteriors and walkways free of graffiti?</v>
          </cell>
          <cell r="H148" t="str">
            <v>N/A</v>
          </cell>
          <cell r="J148">
            <v>0</v>
          </cell>
          <cell r="K148" t="str">
            <v>Ground</v>
          </cell>
        </row>
        <row r="149">
          <cell r="A149">
            <v>98</v>
          </cell>
          <cell r="D149">
            <v>2</v>
          </cell>
          <cell r="F149" t="str">
            <v>Are outside trash containers in good repair, suitable to the surroundings and emptied routinely to prevent overflow?</v>
          </cell>
          <cell r="H149" t="str">
            <v>N/A</v>
          </cell>
          <cell r="J149">
            <v>0</v>
          </cell>
          <cell r="K149" t="str">
            <v>Ground</v>
          </cell>
        </row>
        <row r="150">
          <cell r="F150" t="str">
            <v>Equipment And Shop Area</v>
          </cell>
        </row>
        <row r="151">
          <cell r="A151">
            <v>99</v>
          </cell>
          <cell r="D151">
            <v>2</v>
          </cell>
          <cell r="F151" t="str">
            <v>Is grounds equipment cleaned daily?</v>
          </cell>
          <cell r="H151" t="str">
            <v>N/A</v>
          </cell>
          <cell r="J151">
            <v>0</v>
          </cell>
          <cell r="K151" t="str">
            <v>Ground</v>
          </cell>
        </row>
        <row r="152">
          <cell r="A152">
            <v>100</v>
          </cell>
          <cell r="D152">
            <v>2</v>
          </cell>
          <cell r="F152" t="str">
            <v>Are mower blades kept sharp?</v>
          </cell>
          <cell r="H152" t="str">
            <v>N/A</v>
          </cell>
          <cell r="J152">
            <v>0</v>
          </cell>
          <cell r="K152" t="str">
            <v>Ground</v>
          </cell>
        </row>
        <row r="153">
          <cell r="A153">
            <v>101</v>
          </cell>
          <cell r="D153">
            <v>2</v>
          </cell>
          <cell r="F153" t="str">
            <v>Are shop and bench areas clean and orderly?</v>
          </cell>
          <cell r="H153" t="str">
            <v>N/A</v>
          </cell>
          <cell r="J153">
            <v>0</v>
          </cell>
          <cell r="K153" t="str">
            <v>Ground</v>
          </cell>
        </row>
        <row r="154">
          <cell r="A154">
            <v>102</v>
          </cell>
          <cell r="D154">
            <v>2</v>
          </cell>
          <cell r="F154" t="str">
            <v>Are tools cleaned and stored in an orderly fashion?</v>
          </cell>
          <cell r="H154" t="str">
            <v>N/A</v>
          </cell>
          <cell r="J154">
            <v>0</v>
          </cell>
          <cell r="K154" t="str">
            <v>Ground</v>
          </cell>
        </row>
        <row r="155">
          <cell r="A155">
            <v>103</v>
          </cell>
          <cell r="D155">
            <v>2</v>
          </cell>
          <cell r="F155" t="str">
            <v>Is equipment properly stored when not in use?</v>
          </cell>
          <cell r="H155" t="str">
            <v>N/A</v>
          </cell>
          <cell r="J155">
            <v>0</v>
          </cell>
          <cell r="K155" t="str">
            <v>Ground</v>
          </cell>
        </row>
        <row r="156">
          <cell r="A156">
            <v>104</v>
          </cell>
          <cell r="D156">
            <v>2</v>
          </cell>
          <cell r="F156" t="str">
            <v>Oil and filters are changed/cleaned regularly.</v>
          </cell>
          <cell r="H156" t="str">
            <v>N/A</v>
          </cell>
          <cell r="J156">
            <v>0</v>
          </cell>
          <cell r="K156" t="str">
            <v>Ground</v>
          </cell>
        </row>
        <row r="157">
          <cell r="D157">
            <v>0</v>
          </cell>
          <cell r="F157" t="str">
            <v>QUALITY</v>
          </cell>
          <cell r="H157">
            <v>0</v>
          </cell>
          <cell r="J157">
            <v>0</v>
          </cell>
        </row>
        <row r="158">
          <cell r="F158" t="str">
            <v>GROUNDS (CONTINUED)</v>
          </cell>
          <cell r="H158" t="str">
            <v>N/A</v>
          </cell>
        </row>
        <row r="159">
          <cell r="F159" t="str">
            <v>Equipment And Shop Area (Continued)</v>
          </cell>
        </row>
        <row r="160">
          <cell r="A160">
            <v>105</v>
          </cell>
          <cell r="D160">
            <v>2</v>
          </cell>
          <cell r="F160" t="str">
            <v>Vehicles are in safe operating condition.</v>
          </cell>
          <cell r="H160" t="str">
            <v>N/A</v>
          </cell>
          <cell r="J160">
            <v>0</v>
          </cell>
          <cell r="K160" t="str">
            <v>Ground</v>
          </cell>
        </row>
        <row r="161">
          <cell r="A161">
            <v>106</v>
          </cell>
          <cell r="D161">
            <v>2</v>
          </cell>
          <cell r="F161" t="str">
            <v>Routine preventive maintenance is being done and records are kept up-to-date.</v>
          </cell>
          <cell r="H161" t="str">
            <v>N/A</v>
          </cell>
          <cell r="I161">
            <v>0</v>
          </cell>
          <cell r="J161">
            <v>0</v>
          </cell>
          <cell r="K161" t="str">
            <v>Ground</v>
          </cell>
        </row>
        <row r="162">
          <cell r="A162">
            <v>107</v>
          </cell>
          <cell r="D162">
            <v>2</v>
          </cell>
          <cell r="F162" t="str">
            <v>Pesticides are in appropriate containers, labeled and in approved storage containers.</v>
          </cell>
          <cell r="H162" t="str">
            <v>N/A</v>
          </cell>
          <cell r="J162">
            <v>0</v>
          </cell>
          <cell r="K162" t="str">
            <v>Ground</v>
          </cell>
        </row>
        <row r="163">
          <cell r="A163">
            <v>94</v>
          </cell>
          <cell r="D163">
            <v>0</v>
          </cell>
          <cell r="F163" t="str">
            <v>Irrigation</v>
          </cell>
          <cell r="H163" t="str">
            <v>N/A</v>
          </cell>
          <cell r="J163">
            <v>0</v>
          </cell>
          <cell r="K163" t="str">
            <v>HPOM</v>
          </cell>
        </row>
        <row r="164">
          <cell r="A164">
            <v>108</v>
          </cell>
          <cell r="D164">
            <v>2</v>
          </cell>
          <cell r="F164" t="str">
            <v>Irrigation is scheduled for an appropriate length, frequency and time of day to maximize water use.</v>
          </cell>
          <cell r="H164" t="str">
            <v>N/A</v>
          </cell>
          <cell r="J164">
            <v>0</v>
          </cell>
          <cell r="K164" t="str">
            <v>Ground</v>
          </cell>
        </row>
        <row r="165">
          <cell r="A165">
            <v>109</v>
          </cell>
          <cell r="D165">
            <v>2</v>
          </cell>
          <cell r="F165" t="str">
            <v>Irrigation heads are maintained and in proper working order.</v>
          </cell>
          <cell r="H165" t="str">
            <v>N/A</v>
          </cell>
          <cell r="J165">
            <v>0</v>
          </cell>
          <cell r="K165" t="str">
            <v>Ground</v>
          </cell>
        </row>
        <row r="166">
          <cell r="A166">
            <v>110</v>
          </cell>
          <cell r="D166">
            <v>2</v>
          </cell>
          <cell r="F166" t="str">
            <v>Major turf head location charts are maintained and up-to-date.</v>
          </cell>
          <cell r="H166" t="str">
            <v>N/A</v>
          </cell>
          <cell r="J166">
            <v>0</v>
          </cell>
          <cell r="K166" t="str">
            <v>Ground</v>
          </cell>
        </row>
        <row r="167">
          <cell r="A167">
            <v>111</v>
          </cell>
          <cell r="D167">
            <v>2</v>
          </cell>
          <cell r="F167" t="str">
            <v>Valve location charts are maintained and up-to-date?.</v>
          </cell>
          <cell r="H167" t="str">
            <v>N/A</v>
          </cell>
          <cell r="J167">
            <v>0</v>
          </cell>
          <cell r="K167" t="str">
            <v>Ground</v>
          </cell>
        </row>
        <row r="168">
          <cell r="A168">
            <v>112</v>
          </cell>
          <cell r="D168">
            <v>2</v>
          </cell>
          <cell r="F168" t="str">
            <v>Controllers are in good repair and function properly.</v>
          </cell>
          <cell r="H168" t="str">
            <v>N/A</v>
          </cell>
          <cell r="J168">
            <v>0</v>
          </cell>
          <cell r="K168" t="str">
            <v>Ground</v>
          </cell>
        </row>
        <row r="169">
          <cell r="A169">
            <v>113</v>
          </cell>
          <cell r="D169">
            <v>2</v>
          </cell>
          <cell r="F169" t="str">
            <v>An irrigation system preventive maintenance schedule is established</v>
          </cell>
          <cell r="H169" t="str">
            <v>N/A</v>
          </cell>
          <cell r="J169">
            <v>0</v>
          </cell>
          <cell r="K169" t="str">
            <v>Ground</v>
          </cell>
        </row>
        <row r="170">
          <cell r="A170">
            <v>114</v>
          </cell>
          <cell r="D170">
            <v>2</v>
          </cell>
          <cell r="F170" t="str">
            <v>Adequate repair parts are in stock.</v>
          </cell>
          <cell r="H170" t="str">
            <v>N/A</v>
          </cell>
          <cell r="J170">
            <v>0</v>
          </cell>
          <cell r="K170" t="str">
            <v>Ground</v>
          </cell>
        </row>
        <row r="171">
          <cell r="A171">
            <v>115</v>
          </cell>
          <cell r="D171">
            <v>2</v>
          </cell>
          <cell r="F171" t="str">
            <v>Irrigation patterns provide even coverage.</v>
          </cell>
          <cell r="H171" t="str">
            <v>N/A</v>
          </cell>
          <cell r="J171">
            <v>0</v>
          </cell>
          <cell r="K171" t="str">
            <v>Ground</v>
          </cell>
        </row>
        <row r="172">
          <cell r="A172">
            <v>103</v>
          </cell>
          <cell r="D172">
            <v>2</v>
          </cell>
          <cell r="F172" t="str">
            <v>Snow Removal</v>
          </cell>
          <cell r="H172" t="str">
            <v>N/A</v>
          </cell>
          <cell r="J172">
            <v>0</v>
          </cell>
          <cell r="K172" t="str">
            <v>HPOM</v>
          </cell>
        </row>
        <row r="173">
          <cell r="A173">
            <v>116</v>
          </cell>
          <cell r="D173">
            <v>2</v>
          </cell>
          <cell r="F173" t="str">
            <v>Start times and call-in procedures are established.</v>
          </cell>
          <cell r="H173" t="str">
            <v>N/A</v>
          </cell>
          <cell r="J173">
            <v>0</v>
          </cell>
          <cell r="K173" t="str">
            <v>Ground</v>
          </cell>
        </row>
        <row r="174">
          <cell r="A174">
            <v>117</v>
          </cell>
          <cell r="D174">
            <v>2</v>
          </cell>
          <cell r="F174" t="str">
            <v>Employees are trained on proper procedures and use of equipment for snow removal including safety precautions.</v>
          </cell>
          <cell r="H174" t="str">
            <v>N/A</v>
          </cell>
          <cell r="J174">
            <v>0</v>
          </cell>
          <cell r="K174" t="str">
            <v>Ground</v>
          </cell>
        </row>
        <row r="175">
          <cell r="A175">
            <v>118</v>
          </cell>
          <cell r="D175">
            <v>2</v>
          </cell>
          <cell r="F175" t="str">
            <v>Adequate materials and spare parts are on-hand and labeled.</v>
          </cell>
          <cell r="H175" t="str">
            <v>N/A</v>
          </cell>
          <cell r="J175">
            <v>0</v>
          </cell>
          <cell r="K175" t="str">
            <v>Ground</v>
          </cell>
        </row>
        <row r="176">
          <cell r="A176">
            <v>119</v>
          </cell>
          <cell r="D176">
            <v>2</v>
          </cell>
          <cell r="F176" t="str">
            <v>Arrangements have been made with an outside contractor if necessary.</v>
          </cell>
          <cell r="H176" t="str">
            <v>N/A</v>
          </cell>
          <cell r="J176">
            <v>0</v>
          </cell>
          <cell r="K176" t="str">
            <v>Ground</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 xml:space="preserve">                                                               Total Quality - Grounds</v>
          </cell>
          <cell r="H178">
            <v>0</v>
          </cell>
          <cell r="J178">
            <v>0</v>
          </cell>
          <cell r="K178" t="str">
            <v>HPOM</v>
          </cell>
        </row>
        <row r="179">
          <cell r="A179">
            <v>110</v>
          </cell>
          <cell r="D179">
            <v>2</v>
          </cell>
          <cell r="F179" t="str">
            <v xml:space="preserve">                                                               Percentage Implemented</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Recreational / Playground Equipment (EDUCATION ONLY)</v>
          </cell>
          <cell r="H181" t="str">
            <v>N/A</v>
          </cell>
          <cell r="J181">
            <v>0</v>
          </cell>
          <cell r="K181" t="str">
            <v>HPOM</v>
          </cell>
        </row>
        <row r="182">
          <cell r="A182">
            <v>120</v>
          </cell>
          <cell r="D182">
            <v>2</v>
          </cell>
          <cell r="F182" t="str">
            <v>Is all equipment over an impact-absorption surface of proper depth to cushion falls?</v>
          </cell>
          <cell r="H182" t="str">
            <v>N/A</v>
          </cell>
          <cell r="J182">
            <v>0</v>
          </cell>
          <cell r="K182" t="str">
            <v>EdGround</v>
          </cell>
        </row>
        <row r="183">
          <cell r="A183">
            <v>121</v>
          </cell>
          <cell r="D183">
            <v>2</v>
          </cell>
          <cell r="F183" t="str">
            <v>Does the resilient surface extend 6 feet in all directions from stationary equipment?  (In compliance with CPSC guidelines)</v>
          </cell>
          <cell r="H183" t="str">
            <v>N/A</v>
          </cell>
          <cell r="J183">
            <v>0</v>
          </cell>
          <cell r="K183" t="str">
            <v>EdGround</v>
          </cell>
        </row>
        <row r="184">
          <cell r="A184">
            <v>122</v>
          </cell>
          <cell r="D184">
            <v>2</v>
          </cell>
          <cell r="F184" t="str">
            <v>Is equipment inspected monthly to comply with CPSC guidelines?  Completed inspection forms are on file with repairs noted.</v>
          </cell>
          <cell r="H184" t="str">
            <v>N/A</v>
          </cell>
          <cell r="J184">
            <v>0</v>
          </cell>
          <cell r="K184" t="str">
            <v>EdGround</v>
          </cell>
        </row>
        <row r="185">
          <cell r="A185">
            <v>123</v>
          </cell>
          <cell r="D185">
            <v>2</v>
          </cell>
          <cell r="F185" t="str">
            <v>Is area free from all broken glass, rocks, sticks and debris?</v>
          </cell>
          <cell r="H185" t="str">
            <v>N/A</v>
          </cell>
          <cell r="J185">
            <v>0</v>
          </cell>
          <cell r="K185" t="str">
            <v>EdGround</v>
          </cell>
        </row>
        <row r="186">
          <cell r="A186">
            <v>124</v>
          </cell>
          <cell r="D186">
            <v>2</v>
          </cell>
          <cell r="F186" t="str">
            <v>Are equipment footings properly covered?</v>
          </cell>
          <cell r="H186" t="str">
            <v>N/A</v>
          </cell>
          <cell r="J186">
            <v>0</v>
          </cell>
          <cell r="K186" t="str">
            <v>EdGround</v>
          </cell>
        </row>
        <row r="187">
          <cell r="A187">
            <v>125</v>
          </cell>
          <cell r="D187">
            <v>2</v>
          </cell>
          <cell r="F187" t="str">
            <v>Is equipment cleaned and painted?</v>
          </cell>
          <cell r="H187" t="str">
            <v>N/A</v>
          </cell>
          <cell r="J187">
            <v>0</v>
          </cell>
          <cell r="K187" t="str">
            <v>EdGround</v>
          </cell>
        </row>
        <row r="188">
          <cell r="A188">
            <v>126</v>
          </cell>
          <cell r="D188">
            <v>2</v>
          </cell>
          <cell r="F188" t="str">
            <v>Is incident reporting system in place and on file?</v>
          </cell>
          <cell r="H188" t="str">
            <v>N/A</v>
          </cell>
          <cell r="J188">
            <v>0</v>
          </cell>
          <cell r="K188" t="str">
            <v>EdGround</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Are playground site maps on file for each playground?</v>
          </cell>
          <cell r="H190" t="str">
            <v>N/A</v>
          </cell>
          <cell r="J190">
            <v>0</v>
          </cell>
          <cell r="K190" t="str">
            <v>EdGround</v>
          </cell>
        </row>
        <row r="191">
          <cell r="D191">
            <v>0</v>
          </cell>
          <cell r="F191" t="str">
            <v>Athletic Fields (EDUCATION ONLY)</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Are fields and fence lines free of weeds?</v>
          </cell>
          <cell r="H193" t="str">
            <v>N/A</v>
          </cell>
          <cell r="J193">
            <v>0</v>
          </cell>
          <cell r="K193" t="str">
            <v>EdGround</v>
          </cell>
        </row>
        <row r="194">
          <cell r="A194">
            <v>131</v>
          </cell>
          <cell r="D194">
            <v>2</v>
          </cell>
          <cell r="F194" t="str">
            <v>Are spectator areas clean and free of trash and debris?</v>
          </cell>
          <cell r="H194" t="str">
            <v>N/A</v>
          </cell>
          <cell r="I194">
            <v>0</v>
          </cell>
          <cell r="J194">
            <v>0</v>
          </cell>
          <cell r="K194" t="str">
            <v>EdGround</v>
          </cell>
        </row>
        <row r="195">
          <cell r="A195">
            <v>132</v>
          </cell>
          <cell r="D195">
            <v>2</v>
          </cell>
          <cell r="F195" t="str">
            <v>Are athletic fields free of holes, bumps, bare areas and tripping hazards?</v>
          </cell>
          <cell r="H195" t="str">
            <v>N/A</v>
          </cell>
          <cell r="J195">
            <v>0</v>
          </cell>
          <cell r="K195" t="str">
            <v>EdGround</v>
          </cell>
        </row>
        <row r="196">
          <cell r="A196">
            <v>133</v>
          </cell>
          <cell r="B196" t="str">
            <v>a.</v>
          </cell>
          <cell r="D196">
            <v>2</v>
          </cell>
          <cell r="F196" t="str">
            <v>Is the repair and reseeding of damaged turf areas done on a routine and as-needed basis?</v>
          </cell>
          <cell r="H196" t="str">
            <v>N/A</v>
          </cell>
          <cell r="J196">
            <v>0</v>
          </cell>
          <cell r="K196" t="str">
            <v>EdGround</v>
          </cell>
        </row>
        <row r="197">
          <cell r="A197">
            <v>134</v>
          </cell>
          <cell r="B197" t="str">
            <v>b.</v>
          </cell>
          <cell r="D197">
            <v>2</v>
          </cell>
          <cell r="F197" t="str">
            <v>Is mowing done frequently enough to eliminate heavy clipping accumulation?</v>
          </cell>
          <cell r="H197" t="str">
            <v>N/A</v>
          </cell>
          <cell r="J197">
            <v>0</v>
          </cell>
          <cell r="K197" t="str">
            <v>EdGround</v>
          </cell>
        </row>
        <row r="198">
          <cell r="A198">
            <v>135</v>
          </cell>
          <cell r="D198">
            <v>2</v>
          </cell>
          <cell r="F198" t="str">
            <v>Are all athletic fields aerated at least twice a year? (Must be in at least two (2) different directions each time!)</v>
          </cell>
          <cell r="H198" t="str">
            <v>N/A</v>
          </cell>
          <cell r="J198">
            <v>0</v>
          </cell>
          <cell r="K198" t="str">
            <v>EdGround</v>
          </cell>
        </row>
        <row r="199">
          <cell r="A199">
            <v>136</v>
          </cell>
          <cell r="D199">
            <v>2</v>
          </cell>
          <cell r="F199" t="str">
            <v>Are athletic fields fertilized at least twice a year, according to soil test results?</v>
          </cell>
          <cell r="H199" t="str">
            <v>N/A</v>
          </cell>
          <cell r="J199">
            <v>0</v>
          </cell>
          <cell r="K199" t="str">
            <v>EdGround</v>
          </cell>
        </row>
        <row r="200">
          <cell r="A200">
            <v>137</v>
          </cell>
          <cell r="D200">
            <v>2</v>
          </cell>
          <cell r="F200" t="str">
            <v>Are irrigation heads working, properly adjusted, and with appropriate covers?</v>
          </cell>
          <cell r="H200" t="str">
            <v>N/A</v>
          </cell>
          <cell r="J200">
            <v>0</v>
          </cell>
          <cell r="K200" t="str">
            <v>EdGround</v>
          </cell>
        </row>
        <row r="201">
          <cell r="A201">
            <v>138</v>
          </cell>
          <cell r="D201">
            <v>2</v>
          </cell>
          <cell r="F201" t="str">
            <v>Are baseball infields vegetation free, properly graded and edges well defined?</v>
          </cell>
          <cell r="H201" t="str">
            <v>N/A</v>
          </cell>
          <cell r="J201">
            <v>0</v>
          </cell>
          <cell r="K201" t="str">
            <v>EdGround</v>
          </cell>
        </row>
        <row r="202">
          <cell r="A202">
            <v>139</v>
          </cell>
          <cell r="D202">
            <v>2</v>
          </cell>
          <cell r="F202" t="str">
            <v>Does the football field have appropriate crown and good drainage?</v>
          </cell>
          <cell r="H202" t="str">
            <v>N/A</v>
          </cell>
          <cell r="J202">
            <v>0</v>
          </cell>
          <cell r="K202" t="str">
            <v>EdGround</v>
          </cell>
        </row>
        <row r="203">
          <cell r="A203">
            <v>140</v>
          </cell>
          <cell r="D203">
            <v>2</v>
          </cell>
          <cell r="F203" t="str">
            <v>Is the track free of weeds and grass?</v>
          </cell>
          <cell r="H203" t="str">
            <v>N/A</v>
          </cell>
          <cell r="J203">
            <v>0</v>
          </cell>
          <cell r="K203" t="str">
            <v>EdGround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Are irrigation maps and plans on file and up-to-date?</v>
          </cell>
          <cell r="H205" t="str">
            <v>N/A</v>
          </cell>
          <cell r="J205">
            <v>0</v>
          </cell>
          <cell r="K205" t="str">
            <v>EdGround</v>
          </cell>
        </row>
        <row r="206">
          <cell r="A206">
            <v>143</v>
          </cell>
          <cell r="D206">
            <v>2</v>
          </cell>
          <cell r="F206" t="str">
            <v>Does the Manager have a good relationship with the Athletic Director?</v>
          </cell>
          <cell r="H206" t="str">
            <v>N/A</v>
          </cell>
          <cell r="J206">
            <v>0</v>
          </cell>
          <cell r="K206" t="str">
            <v>EdGround</v>
          </cell>
        </row>
        <row r="208">
          <cell r="F208" t="str">
            <v xml:space="preserve">                                                                     Total Quality - Education Only</v>
          </cell>
          <cell r="H208">
            <v>0</v>
          </cell>
          <cell r="J208">
            <v>0</v>
          </cell>
        </row>
        <row r="209">
          <cell r="F209" t="str">
            <v xml:space="preserve">                                                                     Percentage Implemented</v>
          </cell>
          <cell r="H209" t="str">
            <v>N/A</v>
          </cell>
          <cell r="I209">
            <v>0</v>
          </cell>
          <cell r="J209" t="str">
            <v>Score</v>
          </cell>
        </row>
        <row r="211">
          <cell r="A211">
            <v>127</v>
          </cell>
          <cell r="D211">
            <v>1</v>
          </cell>
          <cell r="F211" t="str">
            <v>QUALITY</v>
          </cell>
          <cell r="H211">
            <v>1</v>
          </cell>
          <cell r="J211">
            <v>1</v>
          </cell>
          <cell r="K211" t="str">
            <v>Cust</v>
          </cell>
        </row>
        <row r="212">
          <cell r="A212">
            <v>128</v>
          </cell>
          <cell r="D212">
            <v>1</v>
          </cell>
          <cell r="F212" t="str">
            <v>FOOD AND NUTRITION/CULINARY</v>
          </cell>
          <cell r="H212">
            <v>1</v>
          </cell>
          <cell r="J212">
            <v>1</v>
          </cell>
          <cell r="K212" t="str">
            <v>Cust</v>
          </cell>
        </row>
        <row r="213">
          <cell r="A213">
            <v>144</v>
          </cell>
          <cell r="D213">
            <v>2</v>
          </cell>
          <cell r="F213" t="str">
            <v>Financial reports are up-to-date, accurate and monitored by the Director. (SOP Series 400)</v>
          </cell>
          <cell r="H213" t="str">
            <v>N/A</v>
          </cell>
          <cell r="J213">
            <v>0</v>
          </cell>
          <cell r="K213" t="str">
            <v>Food</v>
          </cell>
        </row>
        <row r="214">
          <cell r="A214">
            <v>145</v>
          </cell>
          <cell r="B214" t="str">
            <v>a.</v>
          </cell>
          <cell r="D214">
            <v>2</v>
          </cell>
          <cell r="F214" t="str">
            <v>Reviewed the previous month (YTD) FMS or actual vs. budget against Fast Financials for gross profit, total manhours/100 meals, total food cost/meal, and total supply cost/meal.</v>
          </cell>
          <cell r="H214" t="str">
            <v>N/A</v>
          </cell>
          <cell r="J214">
            <v>0</v>
          </cell>
          <cell r="K214" t="str">
            <v>Food</v>
          </cell>
        </row>
        <row r="215">
          <cell r="A215">
            <v>145</v>
          </cell>
          <cell r="B215" t="str">
            <v>b.</v>
          </cell>
          <cell r="D215">
            <v>2</v>
          </cell>
          <cell r="F215" t="str">
            <v>Review the previous week's Invoice Transmittal.  Are invoices from the primary supplier (M) annual or (O) order/receiving?  M is bad, O is good.</v>
          </cell>
          <cell r="H215" t="str">
            <v>N/A</v>
          </cell>
          <cell r="J215">
            <v>0</v>
          </cell>
          <cell r="K215" t="str">
            <v>Food</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Inventories are accurate and match established par stock levels. (SOPs 200.9, 400.4, and 400.5)</v>
          </cell>
          <cell r="H217" t="str">
            <v>N/A</v>
          </cell>
          <cell r="J217">
            <v>0</v>
          </cell>
          <cell r="K217" t="str">
            <v>Food</v>
          </cell>
        </row>
        <row r="218">
          <cell r="A218">
            <v>148</v>
          </cell>
          <cell r="D218">
            <v>2</v>
          </cell>
          <cell r="F218" t="str">
            <v>Food and Nutrition Services Department is in compliance with all regulatory agencies and meets standards.</v>
          </cell>
          <cell r="H218" t="str">
            <v>N/A</v>
          </cell>
          <cell r="J218">
            <v>0</v>
          </cell>
          <cell r="K218" t="str">
            <v>Food</v>
          </cell>
        </row>
        <row r="219">
          <cell r="D219">
            <v>0</v>
          </cell>
          <cell r="F219" t="str">
            <v>Food Preparation</v>
          </cell>
        </row>
        <row r="220">
          <cell r="A220">
            <v>149</v>
          </cell>
          <cell r="D220">
            <v>2</v>
          </cell>
          <cell r="F220" t="str">
            <v>Is there clear evidence that, when appropriate, advance prep (rough prep/ingredient control) is being used.</v>
          </cell>
          <cell r="H220" t="str">
            <v>N/A</v>
          </cell>
          <cell r="J220">
            <v>0</v>
          </cell>
          <cell r="K220" t="str">
            <v>Food</v>
          </cell>
        </row>
        <row r="221">
          <cell r="A221">
            <v>150</v>
          </cell>
          <cell r="D221">
            <v>2</v>
          </cell>
          <cell r="F221" t="str">
            <v>Is there clear evidence that, when appropriate, batch cooking is being used?</v>
          </cell>
          <cell r="H221" t="str">
            <v>N/A</v>
          </cell>
          <cell r="J221">
            <v>0</v>
          </cell>
          <cell r="K221" t="str">
            <v>Food</v>
          </cell>
        </row>
        <row r="222">
          <cell r="A222">
            <v>151</v>
          </cell>
          <cell r="D222">
            <v>2</v>
          </cell>
          <cell r="F222" t="str">
            <v>Are the production personnel (including Management) tasting the food prior to service?</v>
          </cell>
          <cell r="H222" t="str">
            <v>N/A</v>
          </cell>
          <cell r="J222">
            <v>0</v>
          </cell>
          <cell r="K222" t="str">
            <v>Food</v>
          </cell>
        </row>
        <row r="223">
          <cell r="A223">
            <v>152</v>
          </cell>
          <cell r="D223">
            <v>2</v>
          </cell>
          <cell r="F223" t="str">
            <v>Are overs and unders recorded on the Food Production Record or MMS postcost?</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Purchasing, Receiving, and Storage</v>
          </cell>
          <cell r="H225">
            <v>0</v>
          </cell>
          <cell r="J225">
            <v>0</v>
          </cell>
        </row>
        <row r="226">
          <cell r="A226">
            <v>154</v>
          </cell>
          <cell r="D226">
            <v>2</v>
          </cell>
          <cell r="F226" t="str">
            <v>Is there clear evidence that the storeroom clerk is checking the product before receiving it?</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Proper Food Handling and Storage</v>
          </cell>
          <cell r="J229" t="str">
            <v>Possible</v>
          </cell>
        </row>
        <row r="230">
          <cell r="A230">
            <v>157</v>
          </cell>
          <cell r="D230">
            <v>2</v>
          </cell>
          <cell r="F230" t="str">
            <v>Are all food products labeled, covered, and dated correctly?</v>
          </cell>
          <cell r="H230" t="str">
            <v>N/A</v>
          </cell>
          <cell r="J230">
            <v>0</v>
          </cell>
          <cell r="K230" t="str">
            <v>Food</v>
          </cell>
        </row>
        <row r="231">
          <cell r="A231">
            <v>134</v>
          </cell>
          <cell r="D231">
            <v>0</v>
          </cell>
          <cell r="F231" t="str">
            <v>Food Presentation and Proper Portioning</v>
          </cell>
          <cell r="H231" t="str">
            <v>N/A</v>
          </cell>
          <cell r="J231">
            <v>0</v>
          </cell>
          <cell r="K231" t="str">
            <v>Linen</v>
          </cell>
        </row>
        <row r="232">
          <cell r="A232">
            <v>158</v>
          </cell>
          <cell r="D232">
            <v>2</v>
          </cell>
          <cell r="F232" t="str">
            <v>Are steam table arrangements being followed (portions listed match the recipe, correct serving utensils and pan sizes)?</v>
          </cell>
          <cell r="H232" t="str">
            <v>N/A</v>
          </cell>
          <cell r="J232">
            <v>0</v>
          </cell>
          <cell r="K232" t="str">
            <v>Food</v>
          </cell>
        </row>
        <row r="233">
          <cell r="A233">
            <v>159</v>
          </cell>
          <cell r="D233">
            <v>2</v>
          </cell>
          <cell r="F233" t="str">
            <v>Is food appropriately garnished?</v>
          </cell>
          <cell r="H233" t="str">
            <v>N/A</v>
          </cell>
          <cell r="J233">
            <v>0</v>
          </cell>
          <cell r="K233" t="str">
            <v>Food</v>
          </cell>
        </row>
        <row r="234">
          <cell r="A234">
            <v>160</v>
          </cell>
          <cell r="D234">
            <v>2</v>
          </cell>
          <cell r="F234" t="str">
            <v>Do the offerings have excellent appearance and taste?</v>
          </cell>
          <cell r="H234" t="str">
            <v>N/A</v>
          </cell>
          <cell r="J234">
            <v>0</v>
          </cell>
          <cell r="K234" t="str">
            <v>Food</v>
          </cell>
        </row>
        <row r="235">
          <cell r="A235">
            <v>138</v>
          </cell>
          <cell r="D235">
            <v>2</v>
          </cell>
          <cell r="F235" t="str">
            <v>Fire extinguishers available and in clear view.</v>
          </cell>
          <cell r="H235" t="str">
            <v>N/A</v>
          </cell>
          <cell r="J235">
            <v>0</v>
          </cell>
          <cell r="K235" t="str">
            <v>Linen</v>
          </cell>
        </row>
        <row r="236">
          <cell r="A236">
            <v>139</v>
          </cell>
          <cell r="D236">
            <v>2</v>
          </cell>
          <cell r="F236" t="str">
            <v>Total Quality-Food and Nutrition</v>
          </cell>
          <cell r="H236">
            <v>0</v>
          </cell>
          <cell r="J236">
            <v>0</v>
          </cell>
          <cell r="K236" t="str">
            <v>Linen</v>
          </cell>
        </row>
        <row r="237">
          <cell r="F237" t="str">
            <v xml:space="preserve">                                                                     Percentage Implemented</v>
          </cell>
          <cell r="H237" t="str">
            <v>N/A</v>
          </cell>
        </row>
        <row r="238">
          <cell r="F238" t="str">
            <v>LAUNDRY (CONTINUED)</v>
          </cell>
        </row>
        <row r="239">
          <cell r="A239">
            <v>140</v>
          </cell>
          <cell r="D239">
            <v>2</v>
          </cell>
          <cell r="F239" t="str">
            <v>QUALITY</v>
          </cell>
          <cell r="H239" t="str">
            <v>N/A</v>
          </cell>
          <cell r="J239">
            <v>0</v>
          </cell>
          <cell r="K239" t="str">
            <v>Linen</v>
          </cell>
        </row>
        <row r="240">
          <cell r="A240">
            <v>141</v>
          </cell>
          <cell r="D240">
            <v>2</v>
          </cell>
          <cell r="F240" t="str">
            <v>FOOD AND NUTRITION (HEALTHCARE ONLY)</v>
          </cell>
          <cell r="H240" t="str">
            <v>N/A</v>
          </cell>
          <cell r="J240">
            <v>0</v>
          </cell>
          <cell r="K240" t="str">
            <v>Linen</v>
          </cell>
        </row>
        <row r="241">
          <cell r="A241">
            <v>161</v>
          </cell>
          <cell r="D241">
            <v>2</v>
          </cell>
          <cell r="F241" t="str">
            <v>Cashier Reports and Cafeteria Sales Summaries are available, complete, and accurate.  (SOP 400.10, 400.11, 400.12, 900.11 and department policy)</v>
          </cell>
          <cell r="H241" t="str">
            <v>N/A</v>
          </cell>
          <cell r="J241">
            <v>0</v>
          </cell>
          <cell r="K241" t="str">
            <v>HFood</v>
          </cell>
        </row>
        <row r="242">
          <cell r="A242">
            <v>162</v>
          </cell>
          <cell r="D242">
            <v>2</v>
          </cell>
          <cell r="F242" t="str">
            <v>Is there clear evidence that a marketing plan has been prepared monthly and is being implemented?</v>
          </cell>
          <cell r="H242" t="str">
            <v>N/A</v>
          </cell>
          <cell r="J242">
            <v>0</v>
          </cell>
          <cell r="K242" t="str">
            <v>HFood</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Total Quality-Food and Nutrition (Healthcare Only)</v>
          </cell>
          <cell r="H244">
            <v>0</v>
          </cell>
          <cell r="J244">
            <v>0</v>
          </cell>
          <cell r="K244" t="str">
            <v>Linen</v>
          </cell>
        </row>
        <row r="245">
          <cell r="A245">
            <v>146</v>
          </cell>
          <cell r="D245">
            <v>2</v>
          </cell>
          <cell r="F245" t="str">
            <v xml:space="preserve">                                                                     Percentage Implemented</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QUALITY</v>
          </cell>
          <cell r="H252" t="str">
            <v>N/A</v>
          </cell>
          <cell r="J252">
            <v>0</v>
          </cell>
          <cell r="K252" t="str">
            <v>Linen</v>
          </cell>
        </row>
        <row r="253">
          <cell r="A253">
            <v>154</v>
          </cell>
          <cell r="D253">
            <v>2</v>
          </cell>
          <cell r="F253" t="str">
            <v>CENTRAL TRANSPORTATION</v>
          </cell>
          <cell r="H253" t="str">
            <v>N/A</v>
          </cell>
          <cell r="J253">
            <v>0</v>
          </cell>
          <cell r="K253" t="str">
            <v>Linen</v>
          </cell>
        </row>
        <row r="254">
          <cell r="A254">
            <v>163</v>
          </cell>
          <cell r="D254">
            <v>2</v>
          </cell>
          <cell r="F254" t="str">
            <v>Are dispatch employees speaking professionally when receiving telephone requests and are they using standard terminology when communicating?</v>
          </cell>
          <cell r="H254" t="str">
            <v>N/A</v>
          </cell>
          <cell r="J254">
            <v>0</v>
          </cell>
          <cell r="K254" t="str">
            <v>Trans</v>
          </cell>
        </row>
        <row r="255">
          <cell r="A255">
            <v>164</v>
          </cell>
          <cell r="D255">
            <v>2</v>
          </cell>
          <cell r="F255" t="str">
            <v>Are the dispatch employees contacting the destination departments when a patient is delayed or cancelled?</v>
          </cell>
          <cell r="H255" t="str">
            <v>N/A</v>
          </cell>
          <cell r="J255">
            <v>0</v>
          </cell>
          <cell r="K255" t="str">
            <v>Trans</v>
          </cell>
        </row>
        <row r="256">
          <cell r="A256">
            <v>165</v>
          </cell>
          <cell r="D256">
            <v>2</v>
          </cell>
          <cell r="F256" t="str">
            <v>Is the electronic communication system being used correctly by each Transporter?  Are the Transporters using standard terminology?</v>
          </cell>
          <cell r="H256" t="str">
            <v>N/A</v>
          </cell>
          <cell r="J256">
            <v>0</v>
          </cell>
          <cell r="K256" t="str">
            <v>Trans</v>
          </cell>
        </row>
        <row r="257">
          <cell r="A257">
            <v>166</v>
          </cell>
          <cell r="D257">
            <v>2</v>
          </cell>
          <cell r="F257" t="str">
            <v>Does the Department Performance Summary indicate that the Central Transportation Department is performing to standard for all time codes per productivity standards, per FTE?</v>
          </cell>
          <cell r="H257" t="str">
            <v>N/A</v>
          </cell>
          <cell r="J257">
            <v>0</v>
          </cell>
          <cell r="K257" t="str">
            <v>Trans</v>
          </cell>
        </row>
        <row r="258">
          <cell r="A258">
            <v>167</v>
          </cell>
          <cell r="D258">
            <v>2</v>
          </cell>
          <cell r="F258" t="str">
            <v>Are the Requests per Hour Summary Graph and the Requests per Day Summary Graph reviewed, regularly to adjust department staffing levels based on the demand for service each hour and each day?</v>
          </cell>
          <cell r="H258" t="str">
            <v>N/A</v>
          </cell>
          <cell r="J258">
            <v>0</v>
          </cell>
          <cell r="K258" t="str">
            <v>Trans</v>
          </cell>
        </row>
        <row r="259">
          <cell r="A259">
            <v>168</v>
          </cell>
          <cell r="D259">
            <v>2</v>
          </cell>
          <cell r="F259" t="str">
            <v>Is the Transport Type Summary used to determine the need to adjust courier routes in response to a large number of STAT runs performed by the CTD?</v>
          </cell>
          <cell r="H259" t="str">
            <v>N/A</v>
          </cell>
          <cell r="J259">
            <v>0</v>
          </cell>
          <cell r="K259" t="str">
            <v>Trans</v>
          </cell>
        </row>
        <row r="260">
          <cell r="A260">
            <v>169</v>
          </cell>
          <cell r="D260">
            <v>2</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Can the Central Transportation Department be used as a Tour and Reference site for potential customers?</v>
          </cell>
          <cell r="H261" t="str">
            <v>N/A</v>
          </cell>
          <cell r="J261">
            <v>0</v>
          </cell>
          <cell r="K261" t="str">
            <v>Trans</v>
          </cell>
        </row>
        <row r="262">
          <cell r="A262">
            <v>171</v>
          </cell>
          <cell r="D262">
            <v>2</v>
          </cell>
          <cell r="F262" t="str">
            <v>Are all complaints handled promptly, in a factual mannner and records kept on all actions taken?</v>
          </cell>
          <cell r="H262" t="str">
            <v>N/A</v>
          </cell>
          <cell r="J262">
            <v>0</v>
          </cell>
          <cell r="K262" t="str">
            <v>Trans</v>
          </cell>
        </row>
        <row r="263">
          <cell r="A263">
            <v>172</v>
          </cell>
          <cell r="D263">
            <v>2</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Is the computer hardware sufficient in its power and quantity?  Is it in good repair, and is the dispatch area clean and organized?</v>
          </cell>
          <cell r="H264" t="str">
            <v>N/A</v>
          </cell>
          <cell r="J264">
            <v>0</v>
          </cell>
          <cell r="K264" t="str">
            <v>Trans</v>
          </cell>
        </row>
        <row r="265">
          <cell r="A265">
            <v>174</v>
          </cell>
          <cell r="D265">
            <v>2</v>
          </cell>
          <cell r="F265" t="str">
            <v>Is the radio hardware sufficient in its performance and quantity?  Is it in good repair, and organized so to be used efficiently and have all portable radios been accounted for at change of shift?</v>
          </cell>
          <cell r="H265" t="str">
            <v>N/A</v>
          </cell>
          <cell r="J265">
            <v>0</v>
          </cell>
          <cell r="K265" t="str">
            <v>Trans</v>
          </cell>
        </row>
        <row r="266">
          <cell r="A266">
            <v>175</v>
          </cell>
          <cell r="D266">
            <v>2</v>
          </cell>
          <cell r="F266" t="str">
            <v>Are all dispatch employees sufficiently trained in the use of the dispatch computer and communication equipment, so as to maximize the performance of the department?</v>
          </cell>
          <cell r="H266" t="str">
            <v>N/A</v>
          </cell>
          <cell r="J266">
            <v>0</v>
          </cell>
          <cell r="K266" t="str">
            <v>Trans</v>
          </cell>
        </row>
        <row r="267">
          <cell r="A267">
            <v>176</v>
          </cell>
          <cell r="D267">
            <v>2</v>
          </cell>
          <cell r="F267" t="str">
            <v>Do the dispatch employees make full use of the CTD software features which assist management to address problems with user departments, such as delay codes, cancellations and stat requests?</v>
          </cell>
          <cell r="H267" t="str">
            <v>N/A</v>
          </cell>
          <cell r="J267">
            <v>0</v>
          </cell>
          <cell r="K267" t="str">
            <v>Trans</v>
          </cell>
        </row>
        <row r="268">
          <cell r="A268">
            <v>177</v>
          </cell>
          <cell r="D268">
            <v>2</v>
          </cell>
          <cell r="F268" t="str">
            <v>Are the dispatch employees making good decisions when selecting priorities and assigning the most appropriate transporter or courier to a task?</v>
          </cell>
          <cell r="H268" t="str">
            <v>N/A</v>
          </cell>
          <cell r="J268">
            <v>0</v>
          </cell>
          <cell r="K268" t="str">
            <v>Trans</v>
          </cell>
        </row>
        <row r="269">
          <cell r="A269">
            <v>178</v>
          </cell>
          <cell r="D269">
            <v>2</v>
          </cell>
          <cell r="F269" t="str">
            <v>Do the dispatch employees bring user problems to the attention of the transportation supervisors for the rapid resolution of complaints?</v>
          </cell>
          <cell r="H269" t="str">
            <v>N/A</v>
          </cell>
          <cell r="J269">
            <v>0</v>
          </cell>
          <cell r="K269" t="str">
            <v>Trans</v>
          </cell>
        </row>
        <row r="270">
          <cell r="A270">
            <v>179</v>
          </cell>
          <cell r="D270">
            <v>2</v>
          </cell>
          <cell r="F270" t="str">
            <v>Are transport employees trained, on the operation of the dispatch system, so to fill in for a dispatch employee if necessary?</v>
          </cell>
          <cell r="H270" t="str">
            <v>N/A</v>
          </cell>
          <cell r="J270">
            <v>0</v>
          </cell>
          <cell r="K270" t="str">
            <v>Trans</v>
          </cell>
        </row>
        <row r="271">
          <cell r="A271">
            <v>180</v>
          </cell>
          <cell r="D271">
            <v>2</v>
          </cell>
          <cell r="F271" t="str">
            <v>Is the transportation equipment sufficient in its variety and quantity?  Is it maintained in good repair, and kept clean by the transporters, using approved disinfectants?</v>
          </cell>
          <cell r="H271" t="str">
            <v>N/A</v>
          </cell>
          <cell r="J271">
            <v>0</v>
          </cell>
          <cell r="K271" t="str">
            <v>Trans</v>
          </cell>
        </row>
        <row r="272">
          <cell r="A272">
            <v>181</v>
          </cell>
          <cell r="D272">
            <v>2</v>
          </cell>
          <cell r="F272" t="str">
            <v>Are the transporters speaking to the patients they transport in a friendly yet professional manner?  When in doubt, are transporters communicating with the hospital staff, so to obtain the information necessary for the safe transport of the patient?</v>
          </cell>
          <cell r="H272" t="str">
            <v>N/A</v>
          </cell>
          <cell r="J272">
            <v>0</v>
          </cell>
          <cell r="K272" t="str">
            <v>Trans</v>
          </cell>
        </row>
        <row r="273">
          <cell r="A273">
            <v>182</v>
          </cell>
          <cell r="D273">
            <v>2</v>
          </cell>
          <cell r="F273" t="str">
            <v>Are the transporters reporting all delays to the dispatchers in a timely manner?</v>
          </cell>
          <cell r="H273" t="str">
            <v>N/A</v>
          </cell>
          <cell r="J273">
            <v>0</v>
          </cell>
          <cell r="K273" t="str">
            <v>Trans</v>
          </cell>
        </row>
        <row r="274">
          <cell r="A274">
            <v>183</v>
          </cell>
          <cell r="D274">
            <v>2</v>
          </cell>
          <cell r="F274" t="str">
            <v>Are the transporters appropriately parking transportation equipment when finished with a patient move so it is readily available for the next patient move?</v>
          </cell>
          <cell r="H274" t="str">
            <v>N/A</v>
          </cell>
          <cell r="J274">
            <v>0</v>
          </cell>
          <cell r="K274" t="str">
            <v>Trans</v>
          </cell>
        </row>
        <row r="275">
          <cell r="A275">
            <v>184</v>
          </cell>
          <cell r="D275">
            <v>2</v>
          </cell>
          <cell r="F275" t="str">
            <v>Are transporters trained in the courier operation, so to replace a courier on their route if necessary?</v>
          </cell>
          <cell r="H275" t="str">
            <v>N/A</v>
          </cell>
          <cell r="J275">
            <v>0</v>
          </cell>
          <cell r="K275" t="str">
            <v>Trans</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Are the portable radios being used correctly by each courier?  Are the couriers using standard terminology when communicating on the radio?</v>
          </cell>
          <cell r="H277" t="str">
            <v>N/A</v>
          </cell>
          <cell r="J277">
            <v>0</v>
          </cell>
          <cell r="K277" t="str">
            <v>Trans</v>
          </cell>
        </row>
        <row r="278">
          <cell r="F278" t="str">
            <v>QUALITY</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Are the couriers communicating, in a professional manner, with the staff members of the departments they serve?  When in doubt, are couriers seeking clarification from these staff members, so to deliver items to their correct locations?</v>
          </cell>
          <cell r="H281" t="str">
            <v>N/A</v>
          </cell>
          <cell r="J281">
            <v>0</v>
          </cell>
          <cell r="K281" t="str">
            <v>Trans</v>
          </cell>
        </row>
        <row r="282">
          <cell r="A282">
            <v>189</v>
          </cell>
          <cell r="D282">
            <v>2</v>
          </cell>
          <cell r="F282" t="str">
            <v>Do the couriers understand and adhere to hospital and department policies on the confidentiality of patient medical records and hospital correspondence.</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v>0</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N/A</v>
          </cell>
          <cell r="J284">
            <v>0</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Total Quality-Central Transportation</v>
          </cell>
          <cell r="H287">
            <v>0</v>
          </cell>
          <cell r="J287">
            <v>0</v>
          </cell>
          <cell r="K287" t="str">
            <v>Trans</v>
          </cell>
        </row>
        <row r="288">
          <cell r="A288">
            <v>169</v>
          </cell>
          <cell r="D288">
            <v>2</v>
          </cell>
          <cell r="F288" t="str">
            <v xml:space="preserve">                                                                                  Percentage Implemented</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QUALITY</v>
          </cell>
          <cell r="H291" t="str">
            <v>N/A</v>
          </cell>
          <cell r="J291">
            <v>0</v>
          </cell>
          <cell r="K291" t="str">
            <v>Trans</v>
          </cell>
        </row>
        <row r="292">
          <cell r="D292">
            <v>0</v>
          </cell>
          <cell r="F292" t="str">
            <v>LAUNDRY/LINEN</v>
          </cell>
        </row>
        <row r="293">
          <cell r="A293">
            <v>193</v>
          </cell>
          <cell r="D293">
            <v>2</v>
          </cell>
          <cell r="F293" t="str">
            <v>Wash Aisle Service Report completed on each washing machine at least monthly.</v>
          </cell>
          <cell r="H293" t="str">
            <v>N/A</v>
          </cell>
          <cell r="J293">
            <v>0</v>
          </cell>
          <cell r="K293" t="str">
            <v>Linen</v>
          </cell>
        </row>
        <row r="294">
          <cell r="A294">
            <v>194</v>
          </cell>
          <cell r="D294">
            <v>2</v>
          </cell>
          <cell r="F294" t="str">
            <v>Wash Aisle Production Log being used to record all wash loads for start time, end time, weight, and classification.  Record kept for 1 year.</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Inventory of all laundry equipment is up-to-date with make, model, seriel number, capacity, and year manufactured.</v>
          </cell>
          <cell r="H296" t="str">
            <v>N/A</v>
          </cell>
          <cell r="J296">
            <v>0</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row r="298">
          <cell r="A298">
            <v>198</v>
          </cell>
          <cell r="D298">
            <v>2</v>
          </cell>
          <cell r="F298" t="str">
            <v>Manager has completed the Laundry Quality Performance Quotient inspection at least twice per year.</v>
          </cell>
          <cell r="H298" t="str">
            <v>N/A</v>
          </cell>
          <cell r="J298">
            <v>0</v>
          </cell>
          <cell r="K298" t="str">
            <v>Linen</v>
          </cell>
        </row>
        <row r="299">
          <cell r="A299">
            <v>199</v>
          </cell>
          <cell r="D299">
            <v>2</v>
          </cell>
          <cell r="F299" t="str">
            <v>When laundry manager has responsibility for linen management, the Linen Management Program Absolutes form is also completed for linen service.</v>
          </cell>
          <cell r="H299" t="str">
            <v>N/A</v>
          </cell>
          <cell r="J299">
            <v>0</v>
          </cell>
          <cell r="K299" t="str">
            <v>Linen</v>
          </cell>
        </row>
        <row r="300">
          <cell r="A300">
            <v>200</v>
          </cell>
          <cell r="D300">
            <v>2</v>
          </cell>
          <cell r="F300" t="str">
            <v>Manager has completed the Linen Quality Performance Quotient inspection at least twice per year.</v>
          </cell>
          <cell r="H300" t="str">
            <v>N/A</v>
          </cell>
          <cell r="J300">
            <v>0</v>
          </cell>
          <cell r="K300" t="str">
            <v>Linen</v>
          </cell>
        </row>
        <row r="301">
          <cell r="A301">
            <v>201</v>
          </cell>
          <cell r="D301">
            <v>2</v>
          </cell>
          <cell r="F301" t="str">
            <v>Linen delivery quotas have been calculated for each area and is in writing.</v>
          </cell>
          <cell r="H301" t="str">
            <v>N/A</v>
          </cell>
          <cell r="J301">
            <v>0</v>
          </cell>
          <cell r="K301" t="str">
            <v>Linen</v>
          </cell>
        </row>
        <row r="302">
          <cell r="A302">
            <v>202</v>
          </cell>
          <cell r="D302">
            <v>2</v>
          </cell>
          <cell r="F302" t="str">
            <v>There is a written linen specification for all linen items used in the system.</v>
          </cell>
          <cell r="H302" t="str">
            <v>N/A</v>
          </cell>
          <cell r="J302">
            <v>0</v>
          </cell>
          <cell r="K302" t="str">
            <v>Linen</v>
          </cell>
        </row>
        <row r="303">
          <cell r="A303">
            <v>203</v>
          </cell>
          <cell r="D303">
            <v>2</v>
          </cell>
          <cell r="F303" t="str">
            <v>A linen replacement schedule has been calculated and put into writing.</v>
          </cell>
          <cell r="H303" t="str">
            <v>N/A</v>
          </cell>
          <cell r="J303">
            <v>0</v>
          </cell>
          <cell r="K303" t="str">
            <v>Linen</v>
          </cell>
        </row>
        <row r="304">
          <cell r="A304">
            <v>204</v>
          </cell>
          <cell r="D304">
            <v>2</v>
          </cell>
          <cell r="F304" t="str">
            <v>If linen service is provided by a commercial laundry or other off-site laundry, documented inspection visits have been made to the laundry at least once within the past 6 months.</v>
          </cell>
          <cell r="H304" t="str">
            <v>N/A</v>
          </cell>
          <cell r="J304">
            <v>0</v>
          </cell>
          <cell r="K304" t="str">
            <v>Linen</v>
          </cell>
        </row>
        <row r="305">
          <cell r="A305">
            <v>205</v>
          </cell>
          <cell r="D305">
            <v>2</v>
          </cell>
          <cell r="F305" t="str">
            <v>Overall appearance of laundry and/or linen departments clean and orderly.  Carts, equipment and work flow organized?</v>
          </cell>
          <cell r="H305" t="str">
            <v>N/A</v>
          </cell>
          <cell r="J305">
            <v>0</v>
          </cell>
          <cell r="K305" t="str">
            <v>Linen</v>
          </cell>
        </row>
        <row r="306">
          <cell r="A306">
            <v>206</v>
          </cell>
          <cell r="D306">
            <v>2</v>
          </cell>
          <cell r="F306" t="str">
            <v>Appearance of walls, window, ledges clean, free of spots, build up?</v>
          </cell>
          <cell r="H306" t="str">
            <v>N/A</v>
          </cell>
          <cell r="J306">
            <v>0</v>
          </cell>
          <cell r="K306" t="str">
            <v>Linen</v>
          </cell>
        </row>
        <row r="307">
          <cell r="A307">
            <v>207</v>
          </cell>
          <cell r="D307">
            <v>2</v>
          </cell>
          <cell r="F307" t="str">
            <v>Overhead pipes, lights, etc. clean, free of lint build up?</v>
          </cell>
          <cell r="H307" t="str">
            <v>N/A</v>
          </cell>
          <cell r="J307">
            <v>0</v>
          </cell>
          <cell r="K307" t="str">
            <v>Linen</v>
          </cell>
        </row>
        <row r="308">
          <cell r="A308">
            <v>208</v>
          </cell>
          <cell r="D308">
            <v>2</v>
          </cell>
          <cell r="F308" t="str">
            <v>All windows which can be opened have screens which are in good repair, free of holes?</v>
          </cell>
          <cell r="H308" t="str">
            <v>N/A</v>
          </cell>
          <cell r="J308">
            <v>0</v>
          </cell>
          <cell r="K308" t="str">
            <v>Linen</v>
          </cell>
        </row>
        <row r="309">
          <cell r="A309">
            <v>209</v>
          </cell>
          <cell r="D309">
            <v>2</v>
          </cell>
          <cell r="F309" t="str">
            <v>Areas between and behind equipment, between washers and walls, etc. clean and free of debris?</v>
          </cell>
          <cell r="H309" t="str">
            <v>N/A</v>
          </cell>
          <cell r="J309">
            <v>0</v>
          </cell>
          <cell r="K309" t="str">
            <v>Linen</v>
          </cell>
        </row>
        <row r="310">
          <cell r="A310">
            <v>210</v>
          </cell>
          <cell r="D310">
            <v>2</v>
          </cell>
          <cell r="F310" t="str">
            <v>All unused tools, parts, etc. are properly stored?</v>
          </cell>
          <cell r="H310" t="str">
            <v>N/A</v>
          </cell>
          <cell r="J310">
            <v>0</v>
          </cell>
          <cell r="K310" t="str">
            <v>Linen</v>
          </cell>
        </row>
        <row r="311">
          <cell r="A311">
            <v>211</v>
          </cell>
          <cell r="D311">
            <v>2</v>
          </cell>
          <cell r="F311" t="str">
            <v>Equipment maintenance program is in place and being documented;  at least 95% or better of all routine maintenance functions are completed to date?</v>
          </cell>
          <cell r="H311" t="str">
            <v>N/A</v>
          </cell>
          <cell r="J311">
            <v>0</v>
          </cell>
          <cell r="K311" t="str">
            <v>Linen</v>
          </cell>
        </row>
        <row r="312">
          <cell r="F312" t="str">
            <v>Soiled Linen Handling</v>
          </cell>
        </row>
        <row r="313">
          <cell r="A313">
            <v>212</v>
          </cell>
          <cell r="D313">
            <v>2</v>
          </cell>
          <cell r="F313" t="str">
            <v>Soiled linen chutes:  There is a written policy which describes the frequency and method of cleaning soiled linen chutes.  And, actual practice follows the written policy?</v>
          </cell>
          <cell r="H313" t="str">
            <v>N/A</v>
          </cell>
          <cell r="J313">
            <v>0</v>
          </cell>
          <cell r="K313" t="str">
            <v>Linen</v>
          </cell>
        </row>
        <row r="314">
          <cell r="F314" t="str">
            <v>QUALITY</v>
          </cell>
        </row>
        <row r="315">
          <cell r="F315" t="str">
            <v>LAUNDRY/LINEN (CONTINUED)</v>
          </cell>
        </row>
        <row r="316">
          <cell r="A316">
            <v>213</v>
          </cell>
          <cell r="D316">
            <v>2</v>
          </cell>
          <cell r="F316" t="str">
            <v>Soiled linen room appears organized;  carts and work flow are orderly.  Area cleaned daily?</v>
          </cell>
          <cell r="H316" t="str">
            <v>N/A</v>
          </cell>
          <cell r="J316">
            <v>0</v>
          </cell>
          <cell r="K316" t="str">
            <v>Linen</v>
          </cell>
        </row>
        <row r="317">
          <cell r="A317">
            <v>214</v>
          </cell>
          <cell r="D317">
            <v>2</v>
          </cell>
          <cell r="F317" t="str">
            <v>Soiled linen carts are clearly marked "Soiled Linen Only" or similar.  Carts are free of excess debris accumulation and wheels free of strings, lint, etc.?</v>
          </cell>
          <cell r="H317" t="str">
            <v>N/A</v>
          </cell>
          <cell r="J317">
            <v>0</v>
          </cell>
          <cell r="K317" t="str">
            <v>Linen</v>
          </cell>
        </row>
        <row r="318">
          <cell r="A318">
            <v>215</v>
          </cell>
          <cell r="D318">
            <v>2</v>
          </cell>
          <cell r="F318" t="str">
            <v>Transported soiled linen in contained inside closed hamper bags or is completely covered?</v>
          </cell>
          <cell r="H318" t="str">
            <v>N/A</v>
          </cell>
          <cell r="J318">
            <v>0</v>
          </cell>
          <cell r="K318" t="str">
            <v>Linen</v>
          </cell>
        </row>
        <row r="319">
          <cell r="F319" t="str">
            <v>Wash Aisle and Equipment</v>
          </cell>
        </row>
        <row r="320">
          <cell r="A320">
            <v>216</v>
          </cell>
          <cell r="D320">
            <v>2</v>
          </cell>
          <cell r="F320" t="str">
            <v>Current washing formulas posted?</v>
          </cell>
          <cell r="H320" t="str">
            <v>N/A</v>
          </cell>
          <cell r="J320">
            <v>0</v>
          </cell>
          <cell r="K320" t="str">
            <v>Linen</v>
          </cell>
        </row>
        <row r="321">
          <cell r="A321">
            <v>217</v>
          </cell>
          <cell r="D321">
            <v>2</v>
          </cell>
          <cell r="F321" t="str">
            <v>Appearance of washing supplies storage area clean and orderly?</v>
          </cell>
          <cell r="H321" t="str">
            <v>N/A</v>
          </cell>
          <cell r="J321">
            <v>0</v>
          </cell>
          <cell r="K321" t="str">
            <v>Linen</v>
          </cell>
        </row>
        <row r="322">
          <cell r="A322">
            <v>218</v>
          </cell>
          <cell r="D322">
            <v>2</v>
          </cell>
          <cell r="F322" t="str">
            <v>Overall appearance of washers good:  clean, free of grease, soap, lint build-up etc.?</v>
          </cell>
          <cell r="H322" t="str">
            <v>N/A</v>
          </cell>
          <cell r="J322">
            <v>0</v>
          </cell>
          <cell r="K322" t="str">
            <v>Linen</v>
          </cell>
        </row>
        <row r="323">
          <cell r="A323">
            <v>219</v>
          </cell>
          <cell r="D323">
            <v>2</v>
          </cell>
          <cell r="F323" t="str">
            <v>Supply compartment on washers clean;  they are free of chemcal build-up?</v>
          </cell>
          <cell r="H323" t="str">
            <v>N/A</v>
          </cell>
          <cell r="J323">
            <v>0</v>
          </cell>
          <cell r="K323" t="str">
            <v>Linen</v>
          </cell>
        </row>
        <row r="324">
          <cell r="A324">
            <v>220</v>
          </cell>
          <cell r="D324">
            <v>2</v>
          </cell>
          <cell r="F324" t="str">
            <v>Washer dump valves work and are free of any leaks?</v>
          </cell>
          <cell r="H324" t="str">
            <v>N/A</v>
          </cell>
          <cell r="J324">
            <v>0</v>
          </cell>
          <cell r="K324" t="str">
            <v>Linen</v>
          </cell>
        </row>
        <row r="325">
          <cell r="A325">
            <v>221</v>
          </cell>
          <cell r="D325">
            <v>2</v>
          </cell>
          <cell r="F325" t="str">
            <v>Drains and trenches free of build up, debris, sludge, lint, rags, etc.?</v>
          </cell>
          <cell r="H325" t="str">
            <v>N/A</v>
          </cell>
          <cell r="J325">
            <v>0</v>
          </cell>
          <cell r="K325" t="str">
            <v>Linen</v>
          </cell>
        </row>
        <row r="326">
          <cell r="A326">
            <v>222</v>
          </cell>
          <cell r="D326">
            <v>2</v>
          </cell>
          <cell r="F326" t="str">
            <v>Washer loads properly weighed and classified?</v>
          </cell>
          <cell r="H326" t="str">
            <v>N/A</v>
          </cell>
          <cell r="J326">
            <v>0</v>
          </cell>
          <cell r="K326" t="str">
            <v>Linen</v>
          </cell>
        </row>
        <row r="327">
          <cell r="A327">
            <v>223</v>
          </cell>
          <cell r="D327">
            <v>2</v>
          </cell>
          <cell r="F327" t="str">
            <v>Report log kept to record all wash loads by weight, classification, time in, and time out?</v>
          </cell>
          <cell r="H327" t="str">
            <v>N/A</v>
          </cell>
          <cell r="J327">
            <v>0</v>
          </cell>
          <cell r="K327" t="str">
            <v>Linen</v>
          </cell>
        </row>
        <row r="328">
          <cell r="A328">
            <v>224</v>
          </cell>
          <cell r="D328">
            <v>2</v>
          </cell>
          <cell r="F328" t="str">
            <v>Surgery linen washed separately?</v>
          </cell>
          <cell r="H328" t="str">
            <v>N/A</v>
          </cell>
          <cell r="J328">
            <v>0</v>
          </cell>
          <cell r="K328" t="str">
            <v>Linen</v>
          </cell>
        </row>
        <row r="329">
          <cell r="A329">
            <v>225</v>
          </cell>
          <cell r="D329">
            <v>2</v>
          </cell>
          <cell r="F329" t="str">
            <v>Stain work procedures and wash formulas established?</v>
          </cell>
          <cell r="H329" t="str">
            <v>N/A</v>
          </cell>
          <cell r="J329">
            <v>0</v>
          </cell>
          <cell r="K329" t="str">
            <v>Linen</v>
          </cell>
        </row>
        <row r="330">
          <cell r="A330">
            <v>226</v>
          </cell>
          <cell r="D330">
            <v>2</v>
          </cell>
          <cell r="F330" t="str">
            <v>Handling procedures ensure that linen which is still stained after rewashing is taken out of circulation to prevent continuous recirculation and rewashing?</v>
          </cell>
          <cell r="H330" t="str">
            <v>N/A</v>
          </cell>
          <cell r="J330">
            <v>0</v>
          </cell>
          <cell r="K330" t="str">
            <v>Linen</v>
          </cell>
        </row>
        <row r="331">
          <cell r="A331">
            <v>227</v>
          </cell>
          <cell r="D331">
            <v>2</v>
          </cell>
          <cell r="F331" t="str">
            <v>Storage areas, work flow, procedures, and air flow ensure complete separation of clean linen from soiled linen and minimize the potential for cross contamination?</v>
          </cell>
          <cell r="H331" t="str">
            <v>N/A</v>
          </cell>
          <cell r="J331">
            <v>0</v>
          </cell>
          <cell r="K331" t="str">
            <v>Linen</v>
          </cell>
        </row>
        <row r="332">
          <cell r="A332">
            <v>228</v>
          </cell>
          <cell r="D332">
            <v>2</v>
          </cell>
          <cell r="F332" t="str">
            <v>Washer production sufficient to meet daily needs?</v>
          </cell>
          <cell r="H332" t="str">
            <v>N/A</v>
          </cell>
          <cell r="J332">
            <v>0</v>
          </cell>
          <cell r="K332" t="str">
            <v>Linen</v>
          </cell>
        </row>
        <row r="333">
          <cell r="D333">
            <v>0</v>
          </cell>
          <cell r="F333" t="str">
            <v>Flatwork:  Ironers, Feeders, Folders</v>
          </cell>
        </row>
        <row r="334">
          <cell r="A334">
            <v>229</v>
          </cell>
          <cell r="D334">
            <v>2</v>
          </cell>
          <cell r="F334" t="str">
            <v>Ironers are warmed up graduallyprior to use.  Thermal oil type are also cooled down gradually?</v>
          </cell>
          <cell r="H334" t="str">
            <v>N/A</v>
          </cell>
          <cell r="J334">
            <v>0</v>
          </cell>
          <cell r="K334" t="str">
            <v>Linen</v>
          </cell>
        </row>
        <row r="335">
          <cell r="A335">
            <v>230</v>
          </cell>
          <cell r="D335">
            <v>2</v>
          </cell>
          <cell r="F335" t="str">
            <v>Valves, traps, joints, etc. free of leaks? (steam, gas, and/or oil)</v>
          </cell>
          <cell r="H335" t="str">
            <v>N/A</v>
          </cell>
          <cell r="J335">
            <v>0</v>
          </cell>
          <cell r="K335" t="str">
            <v>Linen</v>
          </cell>
        </row>
        <row r="336">
          <cell r="A336">
            <v>231</v>
          </cell>
          <cell r="D336">
            <v>2</v>
          </cell>
          <cell r="F336" t="str">
            <v>Cleaning pad run through ironer daily?</v>
          </cell>
          <cell r="H336" t="str">
            <v>N/A</v>
          </cell>
          <cell r="J336">
            <v>0</v>
          </cell>
          <cell r="K336" t="str">
            <v>Linen</v>
          </cell>
        </row>
        <row r="337">
          <cell r="A337">
            <v>232</v>
          </cell>
          <cell r="D337">
            <v>2</v>
          </cell>
          <cell r="F337" t="str">
            <v>Wax cloth run through ironers on a schedule which is based on operating time or work load?</v>
          </cell>
          <cell r="H337" t="str">
            <v>N/A</v>
          </cell>
          <cell r="J337">
            <v>0</v>
          </cell>
          <cell r="K337" t="str">
            <v>Linen</v>
          </cell>
        </row>
        <row r="338">
          <cell r="A338">
            <v>233</v>
          </cell>
          <cell r="D338">
            <v>2</v>
          </cell>
          <cell r="F338" t="str">
            <v>All belts are in good condition.  Belts are free of lint build up on underside of belt?</v>
          </cell>
          <cell r="H338" t="str">
            <v>N/A</v>
          </cell>
          <cell r="J338">
            <v>0</v>
          </cell>
          <cell r="K338" t="str">
            <v>Linen</v>
          </cell>
        </row>
        <row r="339">
          <cell r="A339">
            <v>234</v>
          </cell>
          <cell r="D339">
            <v>2</v>
          </cell>
          <cell r="F339" t="str">
            <v>For Chest Ironers:  Padding and covers on rolls.  For Cylinder Ironers:  Padding and cover on pressure rolls, belts on cylinders.  All in good condition?</v>
          </cell>
          <cell r="H339" t="str">
            <v>N/A</v>
          </cell>
          <cell r="J339">
            <v>0</v>
          </cell>
          <cell r="K339" t="str">
            <v>Linen</v>
          </cell>
        </row>
        <row r="340">
          <cell r="A340">
            <v>235</v>
          </cell>
          <cell r="D340">
            <v>2</v>
          </cell>
          <cell r="F340" t="str">
            <v>Workers use the regular OFF switch to stop ironer for routine shut down.  (They do not use emergency stop devices for normal or routine stopping of ironer)?</v>
          </cell>
          <cell r="H340" t="str">
            <v>N/A</v>
          </cell>
          <cell r="J340">
            <v>0</v>
          </cell>
          <cell r="K340" t="str">
            <v>Linen</v>
          </cell>
        </row>
        <row r="341">
          <cell r="A341">
            <v>236</v>
          </cell>
          <cell r="D341">
            <v>2</v>
          </cell>
          <cell r="F341" t="str">
            <v>Appearance of ironer systems clean, free of build up.  Chest (or cylinders) free of build-up?</v>
          </cell>
          <cell r="H341" t="str">
            <v>N/A</v>
          </cell>
          <cell r="J341">
            <v>0</v>
          </cell>
          <cell r="K341" t="str">
            <v>Linen</v>
          </cell>
        </row>
        <row r="342">
          <cell r="A342">
            <v>237</v>
          </cell>
          <cell r="D342">
            <v>2</v>
          </cell>
          <cell r="F342" t="str">
            <v>There is a written schedule for periodic cleaning inside the ironer covers, guards, drive train, etc The schedule is followed.</v>
          </cell>
          <cell r="H342" t="str">
            <v>N/A</v>
          </cell>
          <cell r="J342">
            <v>0</v>
          </cell>
          <cell r="K342" t="str">
            <v>Linen</v>
          </cell>
        </row>
        <row r="343">
          <cell r="A343">
            <v>238</v>
          </cell>
          <cell r="D343">
            <v>2</v>
          </cell>
          <cell r="F343" t="str">
            <v>Guide tapes in place, and no more than 3 guide tapes missing?</v>
          </cell>
          <cell r="H343" t="str">
            <v>N/A</v>
          </cell>
          <cell r="J343">
            <v>0</v>
          </cell>
          <cell r="K343" t="str">
            <v>Linen</v>
          </cell>
        </row>
        <row r="344">
          <cell r="A344">
            <v>239</v>
          </cell>
          <cell r="D344">
            <v>2</v>
          </cell>
          <cell r="F344" t="str">
            <v>Feeding and folding equipment clean, free of lint build up?</v>
          </cell>
          <cell r="H344" t="str">
            <v>N/A</v>
          </cell>
          <cell r="J344">
            <v>0</v>
          </cell>
          <cell r="K344" t="str">
            <v>Linen</v>
          </cell>
        </row>
        <row r="345">
          <cell r="A345">
            <v>240</v>
          </cell>
          <cell r="D345">
            <v>2</v>
          </cell>
          <cell r="F345" t="str">
            <v>Feeders and folders adjusted to produce straight, even folds?  Stacked linen neat and square?</v>
          </cell>
          <cell r="H345" t="str">
            <v>N/A</v>
          </cell>
          <cell r="J345">
            <v>0</v>
          </cell>
          <cell r="K345" t="str">
            <v>Linen</v>
          </cell>
        </row>
        <row r="346">
          <cell r="A346">
            <v>241</v>
          </cell>
          <cell r="D346">
            <v>2</v>
          </cell>
          <cell r="F346" t="str">
            <v>Compressed air supply is adequate?  Compressed air is dry; no moisture build up?</v>
          </cell>
          <cell r="H346" t="str">
            <v>N/A</v>
          </cell>
          <cell r="J346">
            <v>0</v>
          </cell>
          <cell r="K346" t="str">
            <v>Linen</v>
          </cell>
        </row>
        <row r="347">
          <cell r="A347">
            <v>242</v>
          </cell>
          <cell r="D347">
            <v>2</v>
          </cell>
          <cell r="F347" t="str">
            <v xml:space="preserve">Ironer feeding procedures and rate appropriate for the type and capacity of ironer?  </v>
          </cell>
          <cell r="H347" t="str">
            <v>N/A</v>
          </cell>
          <cell r="J347">
            <v>0</v>
          </cell>
          <cell r="K347" t="str">
            <v>Linen</v>
          </cell>
        </row>
        <row r="348">
          <cell r="F348" t="str">
            <v>Wearing Apparel Presses and Tunnel Finishing</v>
          </cell>
        </row>
        <row r="349">
          <cell r="A349">
            <v>243</v>
          </cell>
          <cell r="D349">
            <v>2</v>
          </cell>
          <cell r="F349" t="str">
            <v>Presses and tunnel finishing units clean and free of lint?</v>
          </cell>
          <cell r="H349" t="str">
            <v>N/A</v>
          </cell>
          <cell r="J349">
            <v>0</v>
          </cell>
          <cell r="K349" t="str">
            <v>Linen</v>
          </cell>
        </row>
        <row r="350">
          <cell r="A350">
            <v>244</v>
          </cell>
          <cell r="D350">
            <v>2</v>
          </cell>
          <cell r="F350" t="str">
            <v>Press covers and heads clean and in good condition?</v>
          </cell>
          <cell r="H350" t="str">
            <v>N/A</v>
          </cell>
          <cell r="J350">
            <v>0</v>
          </cell>
          <cell r="K350" t="str">
            <v>Linen</v>
          </cell>
        </row>
        <row r="351">
          <cell r="A351">
            <v>245</v>
          </cell>
          <cell r="D351">
            <v>2</v>
          </cell>
          <cell r="F351" t="str">
            <v>Valves, traps, joints do not leak?</v>
          </cell>
          <cell r="H351" t="str">
            <v>N/A</v>
          </cell>
          <cell r="J351">
            <v>0</v>
          </cell>
          <cell r="K351" t="str">
            <v>Linen</v>
          </cell>
        </row>
        <row r="352">
          <cell r="A352">
            <v>246</v>
          </cell>
          <cell r="D352">
            <v>2</v>
          </cell>
          <cell r="F352" t="str">
            <v>Items pressed or finished neatly?</v>
          </cell>
          <cell r="H352" t="str">
            <v>N/A</v>
          </cell>
          <cell r="J352">
            <v>0</v>
          </cell>
          <cell r="K352" t="str">
            <v>Linen</v>
          </cell>
        </row>
        <row r="353">
          <cell r="F353" t="str">
            <v>Dryers</v>
          </cell>
          <cell r="H353">
            <v>0</v>
          </cell>
        </row>
        <row r="354">
          <cell r="A354">
            <v>247</v>
          </cell>
          <cell r="D354">
            <v>2</v>
          </cell>
          <cell r="F354" t="str">
            <v>Dryers loaded to proper levels?  (Not overloaded or underloaded)</v>
          </cell>
          <cell r="H354" t="str">
            <v>N/A</v>
          </cell>
          <cell r="J354">
            <v>0</v>
          </cell>
          <cell r="K354" t="str">
            <v>Linen</v>
          </cell>
        </row>
        <row r="355">
          <cell r="A355">
            <v>248</v>
          </cell>
          <cell r="D355">
            <v>2</v>
          </cell>
          <cell r="F355" t="str">
            <v>Dryer reversing mode used only for drying large items such as blankets.  Non-reversing mode is always used when drying small items such as towels, gowns, etc.?</v>
          </cell>
          <cell r="H355" t="str">
            <v>N/A</v>
          </cell>
          <cell r="J355">
            <v>0</v>
          </cell>
          <cell r="K355" t="str">
            <v>Linen</v>
          </cell>
        </row>
        <row r="356">
          <cell r="A356">
            <v>249</v>
          </cell>
          <cell r="D356">
            <v>2</v>
          </cell>
          <cell r="F356" t="str">
            <v>Lint traps in good condition?  Cleaned on frequent schedule based on work load?</v>
          </cell>
          <cell r="H356" t="str">
            <v>N/A</v>
          </cell>
          <cell r="J356">
            <v>0</v>
          </cell>
          <cell r="K356" t="str">
            <v>Linen</v>
          </cell>
        </row>
        <row r="357">
          <cell r="A357">
            <v>250</v>
          </cell>
          <cell r="D357">
            <v>2</v>
          </cell>
          <cell r="F357" t="str">
            <v>Dryer exhaust flow good.  No evidence of excessive back pressure?</v>
          </cell>
          <cell r="H357" t="str">
            <v>N/A</v>
          </cell>
          <cell r="J357">
            <v>0</v>
          </cell>
          <cell r="K357" t="str">
            <v>Linen</v>
          </cell>
        </row>
        <row r="358">
          <cell r="D358">
            <v>0</v>
          </cell>
          <cell r="F358" t="str">
            <v>QUALITY</v>
          </cell>
        </row>
        <row r="359">
          <cell r="F359" t="str">
            <v>LAUNDRY/LINEN (CONTINUED)</v>
          </cell>
        </row>
        <row r="360">
          <cell r="F360" t="str">
            <v>Small Piece Folders and Finishing</v>
          </cell>
        </row>
        <row r="361">
          <cell r="A361">
            <v>251</v>
          </cell>
          <cell r="D361">
            <v>2</v>
          </cell>
          <cell r="F361" t="str">
            <v>Linen sorted (presorted and postsorted) for maximum utility and efficiency?</v>
          </cell>
          <cell r="H361" t="str">
            <v>N/A</v>
          </cell>
          <cell r="J361">
            <v>0</v>
          </cell>
          <cell r="K361" t="str">
            <v>Linen</v>
          </cell>
        </row>
        <row r="362">
          <cell r="A362">
            <v>252</v>
          </cell>
          <cell r="D362">
            <v>2</v>
          </cell>
          <cell r="F362" t="str">
            <v>Automatic machine small piece folders clean, free of lint build-up?</v>
          </cell>
          <cell r="H362" t="str">
            <v>N/A</v>
          </cell>
          <cell r="J362">
            <v>0</v>
          </cell>
          <cell r="K362" t="str">
            <v>Linen</v>
          </cell>
        </row>
        <row r="363">
          <cell r="A363">
            <v>253</v>
          </cell>
          <cell r="D363">
            <v>2</v>
          </cell>
          <cell r="F363" t="str">
            <v>Machine small piece folders adjusted and tuned, folding linen neat and square?</v>
          </cell>
          <cell r="H363" t="str">
            <v>N/A</v>
          </cell>
          <cell r="J363">
            <v>0</v>
          </cell>
          <cell r="K363" t="str">
            <v>Linen</v>
          </cell>
        </row>
        <row r="364">
          <cell r="A364">
            <v>254</v>
          </cell>
          <cell r="D364">
            <v>2</v>
          </cell>
          <cell r="F364" t="str">
            <v>Manually folded linen folded as few times as necessary?</v>
          </cell>
          <cell r="H364" t="str">
            <v>N/A</v>
          </cell>
          <cell r="J364">
            <v>0</v>
          </cell>
          <cell r="K364" t="str">
            <v>Linen</v>
          </cell>
        </row>
        <row r="365">
          <cell r="A365">
            <v>255</v>
          </cell>
          <cell r="D365">
            <v>2</v>
          </cell>
          <cell r="F365" t="str">
            <v>Finished linen stored neatly, stacked square?</v>
          </cell>
          <cell r="H365" t="str">
            <v>N/A</v>
          </cell>
          <cell r="J365">
            <v>0</v>
          </cell>
          <cell r="K365" t="str">
            <v>Linen</v>
          </cell>
        </row>
        <row r="366">
          <cell r="A366">
            <v>256</v>
          </cell>
          <cell r="D366">
            <v>2</v>
          </cell>
          <cell r="F366" t="str">
            <v>General appearance of linens good:  bright, free of stains?</v>
          </cell>
          <cell r="H366" t="str">
            <v>N/A</v>
          </cell>
          <cell r="J366">
            <v>0</v>
          </cell>
          <cell r="K366" t="str">
            <v>Linen</v>
          </cell>
        </row>
        <row r="367">
          <cell r="A367">
            <v>257</v>
          </cell>
          <cell r="D367">
            <v>2</v>
          </cell>
          <cell r="F367" t="str">
            <v>Utility carts are clean, free of debris, wheels free of strings, marked "Clean Linen Only"?</v>
          </cell>
          <cell r="H367" t="str">
            <v>N/A</v>
          </cell>
          <cell r="J367">
            <v>0</v>
          </cell>
          <cell r="K367" t="str">
            <v>Linen</v>
          </cell>
        </row>
        <row r="368">
          <cell r="A368">
            <v>258</v>
          </cell>
          <cell r="D368">
            <v>2</v>
          </cell>
          <cell r="F368" t="str">
            <v>Linen to be patched in containers or stacked neatly?</v>
          </cell>
          <cell r="H368" t="str">
            <v>N/A</v>
          </cell>
          <cell r="J368">
            <v>0</v>
          </cell>
          <cell r="K368" t="str">
            <v>Linen</v>
          </cell>
        </row>
        <row r="369">
          <cell r="A369">
            <v>259</v>
          </cell>
          <cell r="D369">
            <v>2</v>
          </cell>
          <cell r="F369" t="str">
            <v>Sewing machines and patch machine clean and operational?</v>
          </cell>
          <cell r="H369" t="str">
            <v>N/A</v>
          </cell>
          <cell r="J369">
            <v>0</v>
          </cell>
          <cell r="K369" t="str">
            <v>Linen</v>
          </cell>
        </row>
        <row r="370">
          <cell r="A370">
            <v>260</v>
          </cell>
          <cell r="D370">
            <v>2</v>
          </cell>
          <cell r="F370" t="str">
            <v>Work tables, counter tops, etc. clear, free of debris and unused tems, parts, etc.?</v>
          </cell>
          <cell r="H370" t="str">
            <v>N/A</v>
          </cell>
          <cell r="J370">
            <v>0</v>
          </cell>
          <cell r="K370" t="str">
            <v>Linen</v>
          </cell>
        </row>
        <row r="371">
          <cell r="D371">
            <v>0</v>
          </cell>
          <cell r="F371" t="str">
            <v>Linen Distribution</v>
          </cell>
        </row>
        <row r="372">
          <cell r="A372">
            <v>261</v>
          </cell>
          <cell r="D372">
            <v>2</v>
          </cell>
          <cell r="F372" t="str">
            <v>Clean linen storage area clean and orderly, floor free of debris?</v>
          </cell>
          <cell r="H372" t="str">
            <v>N/A</v>
          </cell>
          <cell r="J372">
            <v>0</v>
          </cell>
          <cell r="K372" t="str">
            <v>Linen</v>
          </cell>
        </row>
        <row r="373">
          <cell r="A373">
            <v>262</v>
          </cell>
          <cell r="D373">
            <v>2</v>
          </cell>
          <cell r="F373" t="str">
            <v>Carts loaded neatly, items stacked square?</v>
          </cell>
          <cell r="H373" t="str">
            <v>N/A</v>
          </cell>
          <cell r="J373">
            <v>0</v>
          </cell>
          <cell r="K373" t="str">
            <v>Linen</v>
          </cell>
        </row>
        <row r="374">
          <cell r="A374">
            <v>263</v>
          </cell>
          <cell r="D374">
            <v>2</v>
          </cell>
          <cell r="F374" t="str">
            <v>Delivery carts and covers clean;  wheels free of strings?</v>
          </cell>
          <cell r="H374" t="str">
            <v>N/A</v>
          </cell>
          <cell r="J374">
            <v>0</v>
          </cell>
          <cell r="K374" t="str">
            <v>Linen</v>
          </cell>
        </row>
        <row r="375">
          <cell r="A375">
            <v>264</v>
          </cell>
          <cell r="D375">
            <v>2</v>
          </cell>
          <cell r="F375" t="str">
            <v>Linen carts or closets in departments clean and orderly?</v>
          </cell>
          <cell r="H375" t="str">
            <v>N/A</v>
          </cell>
          <cell r="J375">
            <v>0</v>
          </cell>
          <cell r="K375" t="str">
            <v>Linen</v>
          </cell>
        </row>
        <row r="377">
          <cell r="F377" t="str">
            <v xml:space="preserve">                                                                     Total Quality - Laundry/Linen</v>
          </cell>
          <cell r="H377">
            <v>0</v>
          </cell>
          <cell r="J377">
            <v>0</v>
          </cell>
        </row>
        <row r="378">
          <cell r="F378" t="str">
            <v xml:space="preserve">                                                                     Percentage Implemented</v>
          </cell>
          <cell r="H378" t="str">
            <v>N/A</v>
          </cell>
        </row>
        <row r="380">
          <cell r="F380" t="str">
            <v>QUALITY</v>
          </cell>
        </row>
        <row r="381">
          <cell r="F381" t="str">
            <v>MATERIALS MANAGEMENT</v>
          </cell>
        </row>
        <row r="382">
          <cell r="A382">
            <v>265</v>
          </cell>
          <cell r="D382">
            <v>2</v>
          </cell>
          <cell r="F382" t="str">
            <v>Is a 98% or better storeroom internal fill rate being attained consistently?</v>
          </cell>
          <cell r="H382" t="str">
            <v>N/A</v>
          </cell>
          <cell r="J382">
            <v>0</v>
          </cell>
          <cell r="K382" t="str">
            <v>MM</v>
          </cell>
        </row>
        <row r="383">
          <cell r="A383">
            <v>266</v>
          </cell>
          <cell r="D383">
            <v>2</v>
          </cell>
          <cell r="F383" t="str">
            <v>Are storeroom inventory turns within the range of 13-24?</v>
          </cell>
          <cell r="H383" t="str">
            <v>N/A</v>
          </cell>
          <cell r="J383">
            <v>0</v>
          </cell>
          <cell r="K383" t="str">
            <v>MM</v>
          </cell>
        </row>
        <row r="384">
          <cell r="A384">
            <v>267</v>
          </cell>
          <cell r="D384">
            <v>2</v>
          </cell>
          <cell r="F384" t="str">
            <v>Is the sterile processing Quality Index fulfilled?</v>
          </cell>
          <cell r="H384" t="str">
            <v>N/A</v>
          </cell>
          <cell r="J384">
            <v>0</v>
          </cell>
          <cell r="K384" t="str">
            <v>MM</v>
          </cell>
        </row>
        <row r="385">
          <cell r="A385">
            <v>268</v>
          </cell>
          <cell r="D385">
            <v>2</v>
          </cell>
          <cell r="F385" t="str">
            <v>Does sterile processing meet JCAHO and other standards?</v>
          </cell>
          <cell r="H385" t="str">
            <v>N/A</v>
          </cell>
          <cell r="J385">
            <v>0</v>
          </cell>
          <cell r="K385" t="str">
            <v>MM</v>
          </cell>
        </row>
        <row r="386">
          <cell r="A386">
            <v>269</v>
          </cell>
          <cell r="D386">
            <v>2</v>
          </cell>
          <cell r="F386" t="str">
            <v>Is Purchasing's service (working days to process routine requisitions) measured and in the acceptable range of &lt;2?</v>
          </cell>
          <cell r="H386" t="str">
            <v>N/A</v>
          </cell>
          <cell r="J386">
            <v>0</v>
          </cell>
          <cell r="K386" t="str">
            <v>MM</v>
          </cell>
        </row>
        <row r="387">
          <cell r="A387">
            <v>270</v>
          </cell>
          <cell r="D387">
            <v>2</v>
          </cell>
          <cell r="F387" t="str">
            <v>Is there a systematic review of exchange cart or par-level inventories versus utilization?</v>
          </cell>
          <cell r="H387" t="str">
            <v>N/A</v>
          </cell>
          <cell r="J387">
            <v>0</v>
          </cell>
          <cell r="K387" t="str">
            <v>MM</v>
          </cell>
        </row>
        <row r="388">
          <cell r="A388">
            <v>271</v>
          </cell>
          <cell r="D388">
            <v>2</v>
          </cell>
          <cell r="F388" t="str">
            <v>Are par levels reviewed at least annually to reduce excess stock or non-moving stock?</v>
          </cell>
          <cell r="H388" t="str">
            <v>N/A</v>
          </cell>
          <cell r="J388">
            <v>0</v>
          </cell>
          <cell r="K388" t="str">
            <v>MM</v>
          </cell>
        </row>
        <row r="389">
          <cell r="A389">
            <v>272</v>
          </cell>
          <cell r="D389">
            <v>2</v>
          </cell>
          <cell r="F389" t="str">
            <v>Is the utilization rate for items &gt;50%?</v>
          </cell>
          <cell r="H389" t="str">
            <v>N/A</v>
          </cell>
          <cell r="J389">
            <v>0</v>
          </cell>
          <cell r="K389" t="str">
            <v>MM</v>
          </cell>
        </row>
        <row r="391">
          <cell r="F391" t="str">
            <v>Total Quality-Materials Management</v>
          </cell>
          <cell r="H391">
            <v>0</v>
          </cell>
          <cell r="J391">
            <v>0</v>
          </cell>
        </row>
        <row r="392">
          <cell r="F392" t="str">
            <v xml:space="preserve">                                                                     Percentage Implemented</v>
          </cell>
          <cell r="H392" t="str">
            <v>N/A</v>
          </cell>
        </row>
        <row r="398">
          <cell r="F398" t="str">
            <v>QUALITY</v>
          </cell>
        </row>
        <row r="399">
          <cell r="F399" t="str">
            <v>CLINICAL EQUIPMENT MANAGEMENT</v>
          </cell>
        </row>
        <row r="400">
          <cell r="A400">
            <v>273</v>
          </cell>
          <cell r="D400">
            <v>2</v>
          </cell>
          <cell r="F400" t="str">
            <v xml:space="preserve">Does the department have appropriate tools and test equipment available.  At minimum will include the following:  DMM, Oscilloscope, Safety Analyzer, Defribrillator Analyzer, Surgical Unit Analyzer, Patient Simulators, AC/DC Power Supply.  Each tech will </v>
          </cell>
          <cell r="H400" t="str">
            <v>N/A</v>
          </cell>
          <cell r="J400">
            <v>0</v>
          </cell>
          <cell r="K400" t="str">
            <v>CE</v>
          </cell>
        </row>
        <row r="401">
          <cell r="A401">
            <v>274</v>
          </cell>
          <cell r="D401">
            <v>2</v>
          </cell>
          <cell r="F401" t="str">
            <v>Do one or more performance indicators for the CEM department exist?  Does the manager review the performance indicators monthly and take appropriate action?  (SOPI 400.1, EC 1.8, EC 2.13)</v>
          </cell>
          <cell r="H401" t="str">
            <v>N/A</v>
          </cell>
          <cell r="J401">
            <v>0</v>
          </cell>
          <cell r="K401" t="str">
            <v>CE</v>
          </cell>
        </row>
        <row r="402">
          <cell r="D402">
            <v>0</v>
          </cell>
          <cell r="F402" t="str">
            <v>Medical Equipment Management Plan (EC 1.8)</v>
          </cell>
        </row>
        <row r="403">
          <cell r="F403" t="str">
            <v>Review the Medical Equipment Management Plan and the hospital's policies and procedures and verify the following:</v>
          </cell>
        </row>
        <row r="404">
          <cell r="A404">
            <v>275</v>
          </cell>
          <cell r="D404">
            <v>2</v>
          </cell>
          <cell r="F404" t="str">
            <v>Has the Medical Equipment Management Plan been reviewed and approved by administration in the last 12 months? (EC 1.8)</v>
          </cell>
          <cell r="H404" t="str">
            <v>N/A</v>
          </cell>
          <cell r="J404">
            <v>0</v>
          </cell>
          <cell r="K404" t="str">
            <v>CE</v>
          </cell>
        </row>
        <row r="405">
          <cell r="A405">
            <v>276</v>
          </cell>
          <cell r="D405">
            <v>2</v>
          </cell>
          <cell r="F405" t="str">
            <v>Does a policy exist for compliance with the Safe Medical Device Act?  Is there a policy on incident investigation and reporting? (SOPI 600.4, 600.5, EC 1.8)</v>
          </cell>
          <cell r="H405" t="str">
            <v>N/A</v>
          </cell>
          <cell r="J405">
            <v>0</v>
          </cell>
          <cell r="K405" t="str">
            <v>CE</v>
          </cell>
        </row>
        <row r="406">
          <cell r="A406">
            <v>277</v>
          </cell>
          <cell r="D406">
            <v>2</v>
          </cell>
          <cell r="F406" t="str">
            <v xml:space="preserve">Does documentation exist summarizing deficiencies, problems, failures and user errors noted with clinical equipment?  Does the summary include actions taken as a result of the performance improvement activities of the CEM department?  This summary may be </v>
          </cell>
          <cell r="H406" t="str">
            <v>N/A</v>
          </cell>
          <cell r="J406">
            <v>0</v>
          </cell>
          <cell r="K406" t="str">
            <v>CE</v>
          </cell>
        </row>
        <row r="407">
          <cell r="A407">
            <v>278</v>
          </cell>
          <cell r="D407">
            <v>2</v>
          </cell>
          <cell r="F407" t="str">
            <v>Is a written "Risk Ranking" procedure utilized to determine PM frequency?  (SOPI 400.2, 400.3)</v>
          </cell>
          <cell r="H407" t="str">
            <v>N/A</v>
          </cell>
          <cell r="J407">
            <v>0</v>
          </cell>
          <cell r="K407" t="str">
            <v>CE</v>
          </cell>
        </row>
        <row r="408">
          <cell r="A408">
            <v>279</v>
          </cell>
          <cell r="D408">
            <v>2</v>
          </cell>
          <cell r="F408" t="str">
            <v>Is there a procedure in place that will identify equipment and/or user problems, analyze the problem, form a resolution and monitor results for effectiveness? (SOPI 300.5, 300.16)</v>
          </cell>
          <cell r="H408" t="str">
            <v>N/A</v>
          </cell>
          <cell r="J408">
            <v>0</v>
          </cell>
          <cell r="K408" t="str">
            <v>CE</v>
          </cell>
        </row>
        <row r="409">
          <cell r="A409">
            <v>280</v>
          </cell>
          <cell r="D409">
            <v>2</v>
          </cell>
          <cell r="F409" t="str">
            <v>Does a policy exist for monitoring hazard alerts and equipment recalls?  Does the procedure allow for documentation of results?  (SOPI 300.8, EC 1.8)</v>
          </cell>
          <cell r="H409" t="str">
            <v>N/A</v>
          </cell>
          <cell r="J409">
            <v>0</v>
          </cell>
          <cell r="K409" t="str">
            <v>CE</v>
          </cell>
        </row>
        <row r="410">
          <cell r="A410">
            <v>281</v>
          </cell>
          <cell r="D410">
            <v>2</v>
          </cell>
          <cell r="F410" t="str">
            <v>Does the manager receive copies of the Safety Committee minutes and action reports? (SOPI 100.10, EC 2.7)</v>
          </cell>
          <cell r="H410" t="str">
            <v>N/A</v>
          </cell>
          <cell r="J410">
            <v>0</v>
          </cell>
          <cell r="K410" t="str">
            <v>CE</v>
          </cell>
        </row>
        <row r="411">
          <cell r="A411">
            <v>282</v>
          </cell>
          <cell r="D411">
            <v>2</v>
          </cell>
          <cell r="F411" t="str">
            <v>Is there a documented process for selecting and acquiring medical equipment?  Does the CEM department participate in this process?  Does this process provide for replacement of equipment that is beyond its useful life due to the high repair costs or chang</v>
          </cell>
          <cell r="H411" t="str">
            <v>N/A</v>
          </cell>
          <cell r="J411">
            <v>0</v>
          </cell>
          <cell r="K411" t="str">
            <v>CE</v>
          </cell>
        </row>
        <row r="412">
          <cell r="A412">
            <v>283</v>
          </cell>
          <cell r="D412">
            <v>2</v>
          </cell>
          <cell r="F412" t="str">
            <v>Is there a procedure in place that assures all new equipment entering the facility is first checked by the CEM department for safety, prior to being used? (SOPI 300.15, EC 1.8)</v>
          </cell>
          <cell r="H412" t="str">
            <v>N/A</v>
          </cell>
          <cell r="J412">
            <v>0</v>
          </cell>
          <cell r="K412" t="str">
            <v>CE</v>
          </cell>
        </row>
        <row r="413">
          <cell r="A413">
            <v>284</v>
          </cell>
          <cell r="D413">
            <v>2</v>
          </cell>
          <cell r="F413" t="str">
            <v xml:space="preserve">Is there a procedure in place for the electrical safety testing and performance check of equipment returned from outside repairs, loaners, rentals, trial units, modified units, leased, physician owned, and patient owned equipment? (SOPI 300.15, 600.2, EC </v>
          </cell>
          <cell r="H413" t="str">
            <v>N/A</v>
          </cell>
          <cell r="J413">
            <v>0</v>
          </cell>
          <cell r="K413" t="str">
            <v>CE</v>
          </cell>
        </row>
        <row r="414">
          <cell r="A414">
            <v>285</v>
          </cell>
          <cell r="D414">
            <v>2</v>
          </cell>
          <cell r="F414" t="str">
            <v>Is there a current (written within the past 6 months), accurate, unique inventory of all equiipment in the Clinical Equipment Management Program, regardless of ownership? (SOPI 400.2, 400.3, EC 2.7)</v>
          </cell>
          <cell r="H414" t="str">
            <v>N/A</v>
          </cell>
          <cell r="J414">
            <v>0</v>
          </cell>
          <cell r="K414" t="str">
            <v>CE</v>
          </cell>
        </row>
        <row r="415">
          <cell r="A415">
            <v>286</v>
          </cell>
          <cell r="D415">
            <v>2</v>
          </cell>
          <cell r="F415" t="str">
            <v>Has an equipment inventory list been presented to each cost center, indicating equipment assigned or charged to their department, withing the past 6 months? (SOPI 400.10)</v>
          </cell>
          <cell r="H415" t="str">
            <v>N/A</v>
          </cell>
          <cell r="J415">
            <v>0</v>
          </cell>
          <cell r="K415" t="str">
            <v>CE</v>
          </cell>
        </row>
        <row r="416">
          <cell r="A416">
            <v>287</v>
          </cell>
          <cell r="D416">
            <v>2</v>
          </cell>
          <cell r="F416" t="str">
            <v>Is there a procedure for the removal from service and final disposition of medical equipment which is of no further use or value to the facility? (SOPI 500.9)</v>
          </cell>
          <cell r="H416" t="str">
            <v>N/A</v>
          </cell>
          <cell r="J416">
            <v>0</v>
          </cell>
          <cell r="K416" t="str">
            <v>CE</v>
          </cell>
        </row>
        <row r="417">
          <cell r="A417">
            <v>288</v>
          </cell>
          <cell r="D417">
            <v>2</v>
          </cell>
          <cell r="F417" t="str">
            <v>Are Electromagnetic Interference/Electromagnetic Compatibility policies and procedures in place at the facility?  Are the users of clinical equipment familiar with these policies? (SOPI 600.10)</v>
          </cell>
          <cell r="H417" t="str">
            <v>N/A</v>
          </cell>
          <cell r="J417">
            <v>0</v>
          </cell>
          <cell r="K417" t="str">
            <v>CE</v>
          </cell>
        </row>
        <row r="418">
          <cell r="F418" t="str">
            <v>Work Orders</v>
          </cell>
        </row>
        <row r="419">
          <cell r="A419">
            <v>289</v>
          </cell>
          <cell r="D419">
            <v>2</v>
          </cell>
          <cell r="F419" t="str">
            <v>Is there a work order system, including a written policy in place, that meets the needs of the facility?  Does this system address work order submission, turnaround time, follow-up, etc. (SOPI 400.5, EC 1.8)</v>
          </cell>
          <cell r="H419" t="str">
            <v>N/A</v>
          </cell>
          <cell r="J419">
            <v>0</v>
          </cell>
          <cell r="K419" t="str">
            <v>CE</v>
          </cell>
        </row>
        <row r="420">
          <cell r="A420">
            <v>290</v>
          </cell>
          <cell r="D420">
            <v>2</v>
          </cell>
          <cell r="F420" t="str">
            <v>Are work orders generated at the time of notification and not when the work is started or completed?  Does the status change for each work order when a technician responds?  Is there a work order for all equipment awaiting repairs?  Check the equipment lo</v>
          </cell>
          <cell r="H420" t="str">
            <v>N/A</v>
          </cell>
          <cell r="J420">
            <v>0</v>
          </cell>
          <cell r="K420" t="str">
            <v>CE</v>
          </cell>
        </row>
        <row r="421">
          <cell r="A421">
            <v>291</v>
          </cell>
          <cell r="D421">
            <v>2</v>
          </cell>
          <cell r="F421" t="str">
            <v>Verify that completed work orders indicate repair codes, manhours used, materials quantity and costs, response date and time, completion date and time, and are signed by the repair technician.  (SOPI 400.5, SOPI 400.6)</v>
          </cell>
          <cell r="H421" t="str">
            <v>N/A</v>
          </cell>
          <cell r="J421">
            <v>0</v>
          </cell>
          <cell r="K421" t="str">
            <v>CE</v>
          </cell>
        </row>
        <row r="422">
          <cell r="F422" t="str">
            <v>QUALITY</v>
          </cell>
        </row>
        <row r="423">
          <cell r="F423" t="str">
            <v>CLINICAL EQUIPMENT MANAGEMENT (CONTINUED)</v>
          </cell>
        </row>
        <row r="424">
          <cell r="F424" t="str">
            <v>Work Orders</v>
          </cell>
        </row>
        <row r="425">
          <cell r="A425">
            <v>292</v>
          </cell>
          <cell r="D425">
            <v>2</v>
          </cell>
          <cell r="F425" t="str">
            <v>Are copies of completed work orders given to the user or requesting departments when required?  Does each department receive a monthly summary indicating all work accomplished in said department? (SOPI 400.5, 400.10)</v>
          </cell>
          <cell r="H425" t="str">
            <v>N/A</v>
          </cell>
          <cell r="J425">
            <v>0</v>
          </cell>
          <cell r="K425" t="str">
            <v>CE</v>
          </cell>
        </row>
        <row r="426">
          <cell r="A426">
            <v>293</v>
          </cell>
          <cell r="D426">
            <v>2</v>
          </cell>
          <cell r="F426" t="str">
            <v>Are open work orders followed up until completion?  Verify through the open work order list generated by ISIS.  Can the CEM manager explain reasons for any work order open for more than ten days? (SOPI 400.5, SOPI 400.10)</v>
          </cell>
          <cell r="H426" t="str">
            <v>N/A</v>
          </cell>
          <cell r="J426">
            <v>0</v>
          </cell>
          <cell r="K426" t="str">
            <v>CE</v>
          </cell>
        </row>
        <row r="427">
          <cell r="A427">
            <v>294</v>
          </cell>
          <cell r="D427">
            <v>2</v>
          </cell>
          <cell r="F427" t="str">
            <v>Does documentation exist indicating that the user or requesting department has been notified when a work order cannot be completed in a reasonable time (maximum of ten working days for routine work orders)? (SOPI 400.5)</v>
          </cell>
          <cell r="H427" t="str">
            <v>N/A</v>
          </cell>
          <cell r="J427">
            <v>0</v>
          </cell>
          <cell r="K427" t="str">
            <v>CE</v>
          </cell>
        </row>
        <row r="428">
          <cell r="A428">
            <v>295</v>
          </cell>
          <cell r="D428">
            <v>2</v>
          </cell>
          <cell r="F428" t="str">
            <v>Is the completion rate for requested work orders at 90% or better? (SOPI 100.3, SOPI 400.5, SOPI 400.10)</v>
          </cell>
          <cell r="H428" t="str">
            <v>N/A</v>
          </cell>
          <cell r="J428">
            <v>0</v>
          </cell>
          <cell r="K428" t="str">
            <v>CE</v>
          </cell>
        </row>
        <row r="429">
          <cell r="A429">
            <v>296</v>
          </cell>
          <cell r="D429">
            <v>2</v>
          </cell>
          <cell r="F429" t="str">
            <v>Is a copy of all completed work orders placed into the equipment historical files? (SOPI 300.1, SOPI 400.5)</v>
          </cell>
          <cell r="H429" t="str">
            <v>N/A</v>
          </cell>
          <cell r="J429">
            <v>0</v>
          </cell>
          <cell r="K429" t="str">
            <v>CE</v>
          </cell>
        </row>
        <row r="430">
          <cell r="A430">
            <v>297</v>
          </cell>
          <cell r="D430">
            <v>2</v>
          </cell>
          <cell r="F430" t="str">
            <v>Are "user errors" and "could not duplicate" repair codes tracked and reported for possible training sessions and/or equipment problems? (SOPI 400.6, EC 1.8)</v>
          </cell>
          <cell r="H430" t="str">
            <v>N/A</v>
          </cell>
          <cell r="J430">
            <v>0</v>
          </cell>
          <cell r="K430" t="str">
            <v>CE</v>
          </cell>
        </row>
        <row r="431">
          <cell r="F431" t="str">
            <v>Preventive Maintenance</v>
          </cell>
        </row>
        <row r="432">
          <cell r="A432">
            <v>298</v>
          </cell>
          <cell r="D432">
            <v>2</v>
          </cell>
          <cell r="F432" t="str">
            <v>Does the CEM manager review the PM schedule , at least annually, for balance, accuracy and schedule change needs? (SOPI 400.12, EC 1.8)</v>
          </cell>
          <cell r="H432" t="str">
            <v>N/A</v>
          </cell>
          <cell r="J432">
            <v>0</v>
          </cell>
          <cell r="K432" t="str">
            <v>CE</v>
          </cell>
        </row>
        <row r="433">
          <cell r="A433">
            <v>299</v>
          </cell>
          <cell r="D433">
            <v>2</v>
          </cell>
          <cell r="F433" t="str">
            <v>Are PM requirements reviewed for completeness?  Are changes made in order to meet the needs of the facility and to assure equipment up-time and longevity? (SOPI 400.13, SOPI 400.12, EC 1.8)</v>
          </cell>
          <cell r="H433" t="str">
            <v>N/A</v>
          </cell>
          <cell r="J433">
            <v>0</v>
          </cell>
          <cell r="K433" t="str">
            <v>CE</v>
          </cell>
        </row>
        <row r="434">
          <cell r="A434">
            <v>300</v>
          </cell>
          <cell r="D434">
            <v>2</v>
          </cell>
          <cell r="F434" t="str">
            <v>Does documentation exist indicating notification to the user or requesting department when PMs could not be performed due to the inability to locate equipment and/or equipment in use? (SOPI 400.9, EC 1.8)</v>
          </cell>
          <cell r="H434" t="str">
            <v>N/A</v>
          </cell>
          <cell r="J434">
            <v>0</v>
          </cell>
          <cell r="K434" t="str">
            <v>CE</v>
          </cell>
        </row>
        <row r="435">
          <cell r="A435">
            <v>301</v>
          </cell>
          <cell r="D435">
            <v>2</v>
          </cell>
          <cell r="F435" t="str">
            <v>Is the completion rate for PMs 95% or better?  State reason if less than 95%? (SOPI 100.3, SOPI 400.9, SOPI 400.10, EC 2.13)</v>
          </cell>
          <cell r="H435" t="str">
            <v>N/A</v>
          </cell>
          <cell r="J435">
            <v>0</v>
          </cell>
          <cell r="K435" t="str">
            <v>CE</v>
          </cell>
        </row>
        <row r="436">
          <cell r="A436">
            <v>302</v>
          </cell>
          <cell r="D436">
            <v>2</v>
          </cell>
          <cell r="F436" t="str">
            <v>Has a PM schedule for all equipment included in the inventory been presented to each cost center within the past 12 months? (SOPI 400.10)</v>
          </cell>
          <cell r="H436" t="str">
            <v>N/A</v>
          </cell>
          <cell r="J436">
            <v>0</v>
          </cell>
          <cell r="K436" t="str">
            <v>CE</v>
          </cell>
        </row>
        <row r="437">
          <cell r="D437">
            <v>0</v>
          </cell>
        </row>
        <row r="438">
          <cell r="F438" t="str">
            <v>Total Quality-Clinical Equipment Management</v>
          </cell>
          <cell r="H438">
            <v>0</v>
          </cell>
          <cell r="J438">
            <v>0</v>
          </cell>
        </row>
        <row r="439">
          <cell r="F439" t="str">
            <v xml:space="preserve">                                                                     Percentage Implemented</v>
          </cell>
          <cell r="H439" t="str">
            <v>N/A</v>
          </cell>
        </row>
        <row r="441">
          <cell r="F441" t="str">
            <v xml:space="preserve">                                       TOTAL QUALITY</v>
          </cell>
          <cell r="H441">
            <v>47</v>
          </cell>
          <cell r="J441">
            <v>47</v>
          </cell>
        </row>
        <row r="443">
          <cell r="F443" t="str">
            <v xml:space="preserve">                                       TOTAL PERCENTAGE IMPLEMENTED</v>
          </cell>
          <cell r="H443">
            <v>1</v>
          </cell>
        </row>
      </sheetData>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기초"/>
      <sheetName val="건축"/>
      <sheetName val="지표"/>
      <sheetName val="임대"/>
      <sheetName val="공정"/>
      <sheetName val="건설기간분석"/>
      <sheetName val="운영기간분석"/>
      <sheetName val="Dash Board"/>
      <sheetName val="Assumption"/>
      <sheetName val="A생명98"/>
      <sheetName val="TOWER 12TON"/>
      <sheetName val="TOWER 10TON"/>
      <sheetName val="JIB CRANE,HOIST"/>
      <sheetName val="목표세부명세"/>
      <sheetName val="노무비"/>
      <sheetName val="5층 건축물대장 등기 예정"/>
      <sheetName val="층별면적표-060411-5층 통합"/>
      <sheetName val="서피070607"/>
      <sheetName val="재원조달"/>
      <sheetName val="2F 회의실견적(5_14 일대)"/>
      <sheetName val="손익"/>
      <sheetName val="현금흐름"/>
      <sheetName val="시산표"/>
      <sheetName val="Utility Usage YTN TOWER"/>
      <sheetName val="Dash_Board"/>
      <sheetName val="TOWER_12TON"/>
      <sheetName val="TOWER_10TON"/>
      <sheetName val="JIB_CRANE,HOIST"/>
      <sheetName val="5층_건축물대장_등기_예정"/>
      <sheetName val="층별면적표-060411-5층_통합"/>
      <sheetName val="정부노임단가"/>
      <sheetName val="미납중도금후납시"/>
      <sheetName val="Base"/>
      <sheetName val="대구"/>
      <sheetName val="용연"/>
      <sheetName val="울산"/>
      <sheetName val="#REF"/>
      <sheetName val="구미"/>
      <sheetName val="광주"/>
      <sheetName val="언양"/>
      <sheetName val="진천"/>
      <sheetName val="중연"/>
      <sheetName val="대출금_분양율별민감도_토지비수익권"/>
      <sheetName val="손익분석"/>
      <sheetName val="사업보고"/>
      <sheetName val="CF"/>
      <sheetName val="1ST"/>
      <sheetName val="Budget"/>
      <sheetName val="Dropdown list"/>
      <sheetName val="간이연락"/>
      <sheetName val="유림골조"/>
      <sheetName val="공통비(전체)"/>
      <sheetName val="유림총괄"/>
      <sheetName val="Prices"/>
      <sheetName val="仲介業者"/>
      <sheetName val="master"/>
      <sheetName val="A"/>
      <sheetName val="DataWP"/>
    </sheetNames>
    <sheetDataSet>
      <sheetData sheetId="0" refreshError="1"/>
      <sheetData sheetId="1"/>
      <sheetData sheetId="2"/>
      <sheetData sheetId="3"/>
      <sheetData sheetId="4"/>
      <sheetData sheetId="5" refreshError="1">
        <row r="25">
          <cell r="AH25" t="str">
            <v xml:space="preserve"> 진 척 도</v>
          </cell>
        </row>
        <row r="26">
          <cell r="AH26" t="str">
            <v xml:space="preserve"> 공통가설</v>
          </cell>
        </row>
        <row r="27">
          <cell r="AH27" t="str">
            <v xml:space="preserve"> 건축공사</v>
          </cell>
        </row>
        <row r="28">
          <cell r="AH28" t="str">
            <v xml:space="preserve"> 설비공사</v>
          </cell>
        </row>
        <row r="29">
          <cell r="AH29" t="str">
            <v xml:space="preserve"> 전기공사</v>
          </cell>
        </row>
        <row r="30">
          <cell r="AH30" t="str">
            <v xml:space="preserve"> 현관비등</v>
          </cell>
        </row>
        <row r="31">
          <cell r="AH31" t="str">
            <v>누계공정</v>
          </cell>
        </row>
        <row r="33">
          <cell r="AH33" t="str">
            <v xml:space="preserve">  구  분</v>
          </cell>
        </row>
        <row r="34">
          <cell r="AH34" t="str">
            <v xml:space="preserve"> 진 척 도</v>
          </cell>
        </row>
        <row r="35">
          <cell r="AH35" t="str">
            <v xml:space="preserve"> 공통가설</v>
          </cell>
        </row>
        <row r="36">
          <cell r="AH36" t="str">
            <v xml:space="preserve"> 건축공사</v>
          </cell>
        </row>
        <row r="37">
          <cell r="AH37" t="str">
            <v xml:space="preserve"> 설비공사</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 견적서"/>
      <sheetName val="Training"/>
      <sheetName val="Facility Information"/>
      <sheetName val="General"/>
      <sheetName val="Instructions"/>
      <sheetName val="People"/>
      <sheetName val="Quality"/>
      <sheetName val="Risk"/>
      <sheetName val="재무가정"/>
      <sheetName val="효용적수"/>
      <sheetName val="누적성과"/>
      <sheetName val="공정"/>
      <sheetName val="Dash Board"/>
      <sheetName val="회사정보"/>
      <sheetName val="1Month+Sheet2!"/>
      <sheetName val="주차"/>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Prices"/>
      <sheetName val="13.Op. Activities"/>
      <sheetName val="노무비"/>
      <sheetName val="2 카드채권(대출포함)"/>
      <sheetName val="1Month+Sheet2!"/>
      <sheetName val="Facility Information"/>
      <sheetName val="General"/>
      <sheetName val="Instructions"/>
      <sheetName val="People"/>
      <sheetName val="Quality"/>
      <sheetName val="Risk"/>
      <sheetName val="Training"/>
      <sheetName val="Assumption"/>
      <sheetName val="의왕F사"/>
      <sheetName val="가공사"/>
      <sheetName val="의령"/>
      <sheetName val="대구"/>
      <sheetName val="안성"/>
      <sheetName val="Operational Activities"/>
      <sheetName val="재무가정"/>
      <sheetName val="118.세금과공과"/>
      <sheetName val="108.수선비"/>
      <sheetName val="17.채용자명단"/>
      <sheetName val="Project_Brief"/>
      <sheetName val="外周区_"/>
      <sheetName val="13_Op__Activities"/>
      <sheetName val="Facility_Information"/>
      <sheetName val="2_카드채권(대출포함)"/>
      <sheetName val="'94자산"/>
      <sheetName val="근무변경검토"/>
      <sheetName val="표지"/>
      <sheetName val="CM 1"/>
      <sheetName val="입찰안"/>
      <sheetName val="일위대가(가설)"/>
      <sheetName val="CAL1"/>
      <sheetName val="단가비교"/>
      <sheetName val="입찰품의서"/>
      <sheetName val="체계"/>
      <sheetName val="하조서"/>
      <sheetName val="효율표"/>
      <sheetName val="공사설계서"/>
      <sheetName val="절감계산"/>
      <sheetName val="항목"/>
      <sheetName val="COA-17"/>
      <sheetName val="C-18"/>
      <sheetName val="할증 "/>
      <sheetName val="vlookup"/>
      <sheetName val="Scope Functional Categories"/>
      <sheetName val="GL Codes"/>
      <sheetName val="인근점포"/>
      <sheetName val="1ST"/>
      <sheetName val="단가산출"/>
      <sheetName val="15.Op. Activities"/>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충주"/>
      <sheetName val="기본사항"/>
      <sheetName val="실행(1)"/>
      <sheetName val="CTEMCOST"/>
      <sheetName val="예산작성기준(전기)"/>
      <sheetName val="95삼성급(본사)"/>
      <sheetName val="#REF"/>
      <sheetName val="Utility Cost Trend"/>
      <sheetName val="영업.일1"/>
      <sheetName val="18"/>
      <sheetName val="POOM_MOTO"/>
      <sheetName val="POOM_MOTO2"/>
      <sheetName val="목표세부명세"/>
      <sheetName val="직공비"/>
      <sheetName val="점수계산1-2"/>
      <sheetName val="신규투자종합"/>
      <sheetName val="직노"/>
      <sheetName val="dV&amp;Cl"/>
      <sheetName val="CAP"/>
      <sheetName val="변수"/>
      <sheetName val="전압하강"/>
      <sheetName val="F-T Voltage"/>
      <sheetName val="Var."/>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Utility Usage엠닷컴 26"/>
      <sheetName val="1월"/>
      <sheetName val="납부서"/>
      <sheetName val="산출내역서집계표"/>
      <sheetName val="목록"/>
      <sheetName val="マスタ"/>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대정예"/>
      <sheetName val="Office"/>
      <sheetName val="Retail"/>
      <sheetName val="공정"/>
      <sheetName val="토목주소"/>
      <sheetName val="프랜트면허"/>
      <sheetName val="여흥"/>
      <sheetName val="건축원가"/>
      <sheetName val="일위대가"/>
      <sheetName val="연돌일위집계"/>
      <sheetName val="평당자료"/>
      <sheetName val="교통대책내역"/>
      <sheetName val="조명율표"/>
      <sheetName val="sw1"/>
      <sheetName val="갑지1"/>
      <sheetName val="배명(단가)"/>
      <sheetName val="0226"/>
      <sheetName val="터널조도"/>
      <sheetName val="전기실-1"/>
      <sheetName val="EJ"/>
      <sheetName val="실행(ALT1)"/>
      <sheetName val="설계내역서"/>
      <sheetName val="현황"/>
      <sheetName val="0216직장별인원"/>
      <sheetName val="국내 pilot sample"/>
      <sheetName val="MH_??"/>
      <sheetName val="WEIGHT"/>
      <sheetName val="CF"/>
      <sheetName val="손익계산서"/>
      <sheetName val="Sheet2"/>
      <sheetName val="입력방법 설명서"/>
      <sheetName val="적용률"/>
      <sheetName val="상하차비용(기계상차)"/>
      <sheetName val="운반비"/>
      <sheetName val="EQT-ESTN"/>
      <sheetName val="주차(현행)"/>
      <sheetName val="경비(현행)"/>
      <sheetName val="안내도우미(현행)"/>
      <sheetName val="시설(현행)"/>
      <sheetName val="판매시설"/>
      <sheetName val="금융비용"/>
      <sheetName val="잡철물"/>
      <sheetName val="TOTAL"/>
      <sheetName val="집계표"/>
      <sheetName val="내역"/>
      <sheetName val="내역서 "/>
      <sheetName val="일위대가(계측기설치)"/>
      <sheetName val="공사내역"/>
      <sheetName val="도급"/>
      <sheetName val="C-301E~305E"/>
      <sheetName val="17.수도광열비"/>
      <sheetName val="Main"/>
      <sheetName val="CD-실적"/>
      <sheetName val="_94자산"/>
      <sheetName val="●MC계"/>
      <sheetName val="총괄표 (조정2)"/>
      <sheetName val="코드생성기"/>
      <sheetName val=""/>
      <sheetName val="Graph"/>
      <sheetName val="B053_(990701)공정실적PP%계산5"/>
      <sheetName val="B053_(990701)공정능력PC%계산5"/>
      <sheetName val="CC_Down_load_07165"/>
      <sheetName val="2_카드채권(대출포함)5"/>
      <sheetName val="二_POSITION_XLS4"/>
      <sheetName val="진행_DATA_(2)5"/>
      <sheetName val="Project_Brief5"/>
      <sheetName val="外周区_5"/>
      <sheetName val="13_Op__Activities5"/>
      <sheetName val="Facility_Information5"/>
      <sheetName val="Operational_Activities4"/>
      <sheetName val="17_채용자명단4"/>
      <sheetName val="118_세금과공과4"/>
      <sheetName val="108_수선비4"/>
      <sheetName val="CM_14"/>
      <sheetName val="Scope_Functional_Categories4"/>
      <sheetName val="GL_Codes4"/>
      <sheetName val="할증_4"/>
      <sheetName val="MP2006_data4"/>
      <sheetName val="IP_EXP_RE_TTL"/>
      <sheetName val="3_2(a)-_OD_Pairs_Direct_Supp"/>
      <sheetName val="1__KPI"/>
      <sheetName val="제조원가"/>
      <sheetName val="인사자료총집계"/>
      <sheetName val="단기차입금(200006)"/>
      <sheetName val="플랜트 설치"/>
      <sheetName val="평가데이터"/>
      <sheetName val="2.2)기계배관철골-R2"/>
      <sheetName val="VAV단가조사"/>
      <sheetName val="9902"/>
      <sheetName val="PIPING"/>
      <sheetName val="조명시설"/>
      <sheetName val="적격"/>
      <sheetName val="PILOT품"/>
      <sheetName val="M96현황-동아"/>
      <sheetName val="p2-1"/>
      <sheetName val="유림골조"/>
      <sheetName val="D-경비1"/>
      <sheetName val="일명"/>
      <sheetName val="일명95"/>
      <sheetName val="일비"/>
      <sheetName val="일비95"/>
      <sheetName val="경명"/>
      <sheetName val="경명95"/>
      <sheetName val="경배"/>
      <sheetName val="경배95"/>
      <sheetName val="임율"/>
      <sheetName val="임율95"/>
      <sheetName val="간노비"/>
      <sheetName val="간노비95"/>
      <sheetName val="원가계산"/>
      <sheetName val="수정내역"/>
      <sheetName val="일위대가표"/>
      <sheetName val="XXXXXX"/>
      <sheetName val="VXXX"/>
      <sheetName val="진짜내역"/>
      <sheetName val="전시원"/>
      <sheetName val="전시내"/>
      <sheetName val="Sheet3"/>
      <sheetName val="표"/>
      <sheetName val="목"/>
      <sheetName val="설 (3)"/>
      <sheetName val="설 (2)"/>
      <sheetName val="설"/>
      <sheetName val="일"/>
      <sheetName val="일집표"/>
      <sheetName val="일위표"/>
      <sheetName val="수표"/>
      <sheetName val="총집"/>
      <sheetName val="원가"/>
      <sheetName val="제작총집계표"/>
      <sheetName val="총경기장별내역서(10-11)"/>
      <sheetName val="경기장별내역서(12-107)"/>
      <sheetName val="단가산출서"/>
      <sheetName val="중기사용료"/>
      <sheetName val="재료단가"/>
      <sheetName val="노임단가"/>
      <sheetName val="기본일위"/>
      <sheetName val="J直材4"/>
      <sheetName val="I一般比"/>
      <sheetName val="재료"/>
      <sheetName val="기본단가표"/>
      <sheetName val="현장"/>
      <sheetName val="단가조사"/>
      <sheetName val="식재인부"/>
      <sheetName val="예산M11A"/>
      <sheetName val="건축내역"/>
      <sheetName val="101동"/>
      <sheetName val="2000년1차"/>
      <sheetName val="2000전체분"/>
      <sheetName val="MAIN_TABLE"/>
      <sheetName val="백암비스타내역"/>
      <sheetName val="출자한도"/>
      <sheetName val="KKK"/>
      <sheetName val="골재산출"/>
      <sheetName val="5공철탑검토표"/>
      <sheetName val="4공철탑검토"/>
      <sheetName val="기초자료"/>
      <sheetName val="공사비총괄표"/>
      <sheetName val="3BL공동구 수량"/>
      <sheetName val="일대-1"/>
      <sheetName val="공사개요(서광주)"/>
      <sheetName val="매출채권"/>
      <sheetName val="제안실적sum조회"/>
      <sheetName val="경산"/>
      <sheetName val="산근"/>
      <sheetName val="철탑공사"/>
      <sheetName val="산출근거"/>
      <sheetName val="토공(우물통,기타) "/>
      <sheetName val="차수공개요"/>
      <sheetName val="스포회원매출"/>
      <sheetName val="총괄표"/>
      <sheetName val="대공종"/>
      <sheetName val="단중표"/>
      <sheetName val="지하"/>
      <sheetName val="산출내역서"/>
      <sheetName val="당초"/>
      <sheetName val="교각별철근수량집계표"/>
      <sheetName val="Customer Databas"/>
      <sheetName val="자료"/>
      <sheetName val="노임"/>
      <sheetName val="본체"/>
      <sheetName val="실행"/>
      <sheetName val="지질조사"/>
      <sheetName val="코드표"/>
      <sheetName val="적용토목"/>
      <sheetName val="NYS"/>
      <sheetName val="N賃率-職"/>
      <sheetName val="설직재-1"/>
      <sheetName val="영창26"/>
      <sheetName val="요율"/>
      <sheetName val="본공사"/>
      <sheetName val="기초내역서"/>
      <sheetName val="수량산출"/>
      <sheetName val="대가목록표"/>
      <sheetName val="일위대가목차"/>
      <sheetName val="조경일람"/>
      <sheetName val="물가자료"/>
      <sheetName val="중기"/>
      <sheetName val="식생블럭단위수량"/>
      <sheetName val="LF자재단가"/>
      <sheetName val="노임,재료비"/>
      <sheetName val="갑지(추정)"/>
      <sheetName val="AIR SHOWER(3인용)"/>
      <sheetName val="예산"/>
      <sheetName val="Sheet5"/>
      <sheetName val="6PILE  (돌출)"/>
      <sheetName val="asd"/>
      <sheetName val="수주추정"/>
      <sheetName val="토공 total"/>
      <sheetName val="기술부대조건"/>
      <sheetName val="재료비노무비"/>
      <sheetName val="위생설비"/>
      <sheetName val="내역서(중수)"/>
      <sheetName val="CAT_5"/>
      <sheetName val="단가비교표_공통1"/>
      <sheetName val="48전력선로일위"/>
      <sheetName val="단가표"/>
      <sheetName val="도급기성"/>
      <sheetName val="설비단가표"/>
      <sheetName val="데이타"/>
      <sheetName val="LEGEND"/>
      <sheetName val="오수공수량집계표"/>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자재단가"/>
      <sheetName val="Sheet6"/>
      <sheetName val="원가 (2)"/>
      <sheetName val="연부97-1"/>
      <sheetName val="조건표"/>
      <sheetName val="자갈,시멘트,모래산출"/>
      <sheetName val="교수설계"/>
      <sheetName val="시설물기초"/>
      <sheetName val="공사직종별노임"/>
      <sheetName val=" 냉각수펌프"/>
      <sheetName val="AHU집계"/>
      <sheetName val="1.설계조건"/>
      <sheetName val="CIVIL4"/>
      <sheetName val="지급자재"/>
      <sheetName val=" HIT-&gt;HMC 견적(3900)"/>
      <sheetName val="RE9604"/>
      <sheetName val="내역서2안"/>
      <sheetName val="ELEC"/>
      <sheetName val="9GNG운반"/>
      <sheetName val="율촌법률사무소2내역"/>
      <sheetName val="공조기휀"/>
      <sheetName val="시멘트"/>
      <sheetName val="N賃率_職"/>
      <sheetName val="102역사"/>
      <sheetName val="특외대"/>
      <sheetName val="6호기"/>
      <sheetName val="금액집계"/>
      <sheetName val="96정변2"/>
      <sheetName val="내역(원안-대안)"/>
      <sheetName val="전기일위목록"/>
      <sheetName val="노무,재료"/>
      <sheetName val="견적"/>
      <sheetName val="철거산출근거"/>
      <sheetName val="사다리"/>
      <sheetName val="아파트건축"/>
      <sheetName val="당진1,2호기전선관설치및접지4차공사내역서-을지"/>
      <sheetName val="제-노임"/>
      <sheetName val="제직재"/>
      <sheetName val="데리네이타현황"/>
      <sheetName val="기계경비(시간당)"/>
      <sheetName val="일위대가1"/>
      <sheetName val="공통가설공사"/>
      <sheetName val="계약서"/>
      <sheetName val="DATE"/>
      <sheetName val="산출-설비"/>
      <sheetName val="원가계산서"/>
      <sheetName val="견적서"/>
      <sheetName val="Sheet7(ㅅ)"/>
      <sheetName val="본체철근표"/>
      <sheetName val="제작비추산총괄표"/>
      <sheetName val="갑"/>
      <sheetName val="일위"/>
      <sheetName val="3.2제조설비"/>
      <sheetName val="적용건축"/>
      <sheetName val="역공종"/>
      <sheetName val="대치판정"/>
      <sheetName val="원가서"/>
      <sheetName val="001"/>
      <sheetName val="단위내역서"/>
      <sheetName val="주beam"/>
      <sheetName val="도급견적가"/>
      <sheetName val="guard(mac)"/>
      <sheetName val="부대공Ⅱ"/>
      <sheetName val="공사개요"/>
      <sheetName val="간접1"/>
      <sheetName val="장비가동"/>
      <sheetName val="내역관리1"/>
      <sheetName val="설_(3)"/>
      <sheetName val="설_(2)"/>
      <sheetName val="3BL공동구_수량"/>
      <sheetName val="전선 및 전선관"/>
      <sheetName val="공통가설"/>
      <sheetName val="저"/>
      <sheetName val="내역(설계)"/>
      <sheetName val="총수량집계표"/>
      <sheetName val="백룡교차로"/>
      <sheetName val="산정교차로"/>
      <sheetName val="신영교차로"/>
      <sheetName val="물량입력"/>
      <sheetName val="일위(철거)"/>
      <sheetName val="E총15"/>
      <sheetName val="약품공급2"/>
      <sheetName val="카메라"/>
      <sheetName val="내역서(기성청구)"/>
      <sheetName val="입력변수"/>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sheetData sheetId="334"/>
      <sheetData sheetId="335"/>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첨부1"/>
      <sheetName val="입찰안"/>
      <sheetName val="노임이"/>
      <sheetName val="수입"/>
      <sheetName val="공통가설"/>
      <sheetName val="간접"/>
      <sheetName val="집계표"/>
      <sheetName val="손익"/>
      <sheetName val="현금흐름"/>
      <sheetName val="A4288"/>
      <sheetName val="수정시산표"/>
      <sheetName val="SG"/>
      <sheetName val="주택"/>
      <sheetName val="주택(백만원)"/>
      <sheetName val="손익분석"/>
      <sheetName val="신공항A-9(원가수정)"/>
      <sheetName val="KUNGDEVI"/>
      <sheetName val="자바라1"/>
      <sheetName val="그래프"/>
      <sheetName val="관로내역원"/>
      <sheetName val="SUMMARY"/>
      <sheetName val="PAINT"/>
      <sheetName val="GDP"/>
      <sheetName val="손익기01"/>
      <sheetName val="5Traffic1"/>
      <sheetName val="Sheet1"/>
      <sheetName val="부문인원3"/>
      <sheetName val="C-A(취합)파리"/>
      <sheetName val="CTEMCOST"/>
      <sheetName val="ELECTRIC"/>
      <sheetName val="현장관리비"/>
      <sheetName val="감독1130"/>
      <sheetName val="COL"/>
      <sheetName val="동선(을)"/>
      <sheetName val="인사자료총집계"/>
      <sheetName val="전계가"/>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원가계산서"/>
      <sheetName val="금액내역서"/>
      <sheetName val="설계내역서"/>
      <sheetName val="bm(CIcable)"/>
      <sheetName val="01"/>
      <sheetName val="내역"/>
      <sheetName val="실행내역"/>
      <sheetName val="예가표"/>
      <sheetName val="시멘트"/>
      <sheetName val="유동성사채"/>
      <sheetName val="나.출고"/>
      <sheetName val="나.입고"/>
      <sheetName val="8월차잔"/>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호프"/>
      <sheetName val="공사개요"/>
      <sheetName val="산근"/>
      <sheetName val="공통비총괄표"/>
      <sheetName val="Variables"/>
      <sheetName val="  한국 AMP ASP-23 판매가격  "/>
      <sheetName val="제조원가 원단위 분석"/>
      <sheetName val="종합표양식(품의 &amp; 입고)_2"/>
      <sheetName val="상각스케쥴(조정)"/>
      <sheetName val="APT"/>
      <sheetName val="공사비집계"/>
      <sheetName val="SCHEDULE"/>
      <sheetName val="JUCKEYK"/>
      <sheetName val="원가관리 (동월대비)"/>
      <sheetName val="노임단가"/>
      <sheetName val="982월원안"/>
      <sheetName val="여흥"/>
      <sheetName val="45,46"/>
      <sheetName val="요약"/>
      <sheetName val="내역서"/>
      <sheetName val="TR제작사양"/>
      <sheetName val="익월수주전망"/>
      <sheetName val="방배동내역(리라)"/>
      <sheetName val="금융비용"/>
      <sheetName val="총괄내역서"/>
      <sheetName val="980731"/>
      <sheetName val="광곡세부내역"/>
      <sheetName val="DATA"/>
      <sheetName val="실적공사"/>
      <sheetName val="업무처리전"/>
      <sheetName val="시산표(매출조정전)"/>
      <sheetName val="b_balju (2)"/>
      <sheetName val="b_gunmul"/>
      <sheetName val="2연암거"/>
      <sheetName val="경사수로집계표"/>
      <sheetName val="경사수로"/>
      <sheetName val="진입교량"/>
      <sheetName val="2-2.매출분석"/>
      <sheetName val="S&amp;R"/>
      <sheetName val="93"/>
      <sheetName val="RECIMAKE"/>
      <sheetName val="견적의뢰"/>
      <sheetName val="예정(3)"/>
      <sheetName val="동원(3)"/>
      <sheetName val="토목검측서"/>
      <sheetName val="woo(mac)"/>
      <sheetName val="A-100전제"/>
      <sheetName val="몰드시스템 리스트"/>
      <sheetName val="정비손익"/>
      <sheetName val="200"/>
      <sheetName val="중요02월25일"/>
      <sheetName val="Calen"/>
      <sheetName val="RE9604"/>
      <sheetName val="평가제외"/>
      <sheetName val="정산표"/>
      <sheetName val="월말명세0912"/>
      <sheetName val="11.외화채무증권(AFS,HTM)08"/>
      <sheetName val="Hedge09"/>
      <sheetName val="13.감액TEST_08"/>
      <sheetName val="해외채권"/>
      <sheetName val="BS09"/>
      <sheetName val="Borrower"/>
      <sheetName val="단가추이"/>
      <sheetName val="경유량추이"/>
      <sheetName val="하수급견적대비"/>
      <sheetName val="입찰내역서"/>
      <sheetName val="MIBK원단위"/>
      <sheetName val="Proposal"/>
      <sheetName val="7 (2)"/>
      <sheetName val="역T형"/>
      <sheetName val="기계경비(시간당)"/>
      <sheetName val="램머"/>
      <sheetName val="수주현황2월"/>
      <sheetName val="단가산출"/>
      <sheetName val="SM1-09"/>
      <sheetName val="SM2-09"/>
      <sheetName val="BD-09"/>
      <sheetName val="12년 CF(9월)"/>
      <sheetName val="#REF"/>
      <sheetName val="유림골조"/>
      <sheetName val="기본DATA"/>
      <sheetName val="노무비"/>
      <sheetName val="추가예산"/>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장기대여금1"/>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13월별BS"/>
      <sheetName val="집행내역"/>
      <sheetName val="공통부대관리"/>
      <sheetName val="MIJIBI"/>
      <sheetName val="Sheet1 (2)"/>
      <sheetName val="A-4"/>
      <sheetName val="양식3"/>
      <sheetName val="表21 净利润调节表"/>
      <sheetName val="퇴충"/>
      <sheetName val="97년추정손익계산서"/>
      <sheetName val="월별수입"/>
      <sheetName val="차수"/>
      <sheetName val="담보"/>
      <sheetName val="1유리"/>
      <sheetName val="예적금"/>
      <sheetName val="월별손익"/>
      <sheetName val="매출"/>
      <sheetName val="재료"/>
      <sheetName val="점수계산1-2"/>
      <sheetName val="SIL98"/>
      <sheetName val="일위대가"/>
      <sheetName val="대비표"/>
      <sheetName val="골조시행"/>
      <sheetName val="업무연락"/>
      <sheetName val="Ethylene"/>
      <sheetName val="월별매출"/>
      <sheetName val="ChlorAlkali"/>
      <sheetName val="VXXXXXXX"/>
      <sheetName val="지점장"/>
      <sheetName val="부서코드표"/>
      <sheetName val="물량표"/>
      <sheetName val="양식(직판용)"/>
      <sheetName val="Year"/>
      <sheetName val="원가(통신)"/>
      <sheetName val="표지"/>
      <sheetName val="설비원가"/>
      <sheetName val="재고현황"/>
      <sheetName val="발행제기"/>
      <sheetName val="2.대외공문"/>
      <sheetName val="영동(D)"/>
      <sheetName val="조명시설"/>
      <sheetName val="BEST"/>
      <sheetName val="미드수량"/>
      <sheetName val="참조"/>
      <sheetName val="해외 기술훈련비 (합계)"/>
      <sheetName val="접대비"/>
      <sheetName val="손익현황"/>
      <sheetName val="현황CODE"/>
      <sheetName val="완제품3"/>
      <sheetName val="비가동-20"/>
      <sheetName val="ADR"/>
      <sheetName val="Total"/>
      <sheetName val="XZLC004_PART2"/>
      <sheetName val="XZLC003_PART1"/>
      <sheetName val="품셈표"/>
      <sheetName val="갑근세납세필증명원"/>
      <sheetName val="37개월"/>
      <sheetName val="주형"/>
      <sheetName val="단가표"/>
      <sheetName val="총내역서"/>
      <sheetName val="sum1 (2)"/>
      <sheetName val="적격"/>
      <sheetName val="3.바닥판설계"/>
      <sheetName val="CAUDIT"/>
      <sheetName val="물량표(신)"/>
      <sheetName val="대공종"/>
      <sheetName val="DATE"/>
      <sheetName val="세부내역서"/>
      <sheetName val="조경"/>
      <sheetName val="입찰보고"/>
      <sheetName val="산출근거"/>
      <sheetName val="일위(토목)"/>
      <sheetName val="요약PL"/>
      <sheetName val="LinerWt"/>
      <sheetName val="D-623D"/>
      <sheetName val="BQMPALOC"/>
      <sheetName val="현장지지물물량"/>
      <sheetName val="품셈TABLE"/>
      <sheetName val="슬래브"/>
      <sheetName val="원가계산하도"/>
      <sheetName val="적용건축"/>
      <sheetName val="FAB"/>
      <sheetName val="수지"/>
      <sheetName val="통장출금액"/>
      <sheetName val="위탁매매_1103"/>
      <sheetName val="자기매매_1103"/>
      <sheetName val="위탁매매_1109"/>
      <sheetName val="자기매매_1109"/>
      <sheetName val="실적"/>
      <sheetName val="카메라"/>
      <sheetName val="감가상각비"/>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2.총괄표"/>
      <sheetName val="部署名"/>
      <sheetName val="車両別燃費及び油類単価"/>
      <sheetName val="1_종합손익(도급)1"/>
      <sheetName val="slipsumpR"/>
      <sheetName val="推移グラフ"/>
      <sheetName val="참조시트"/>
      <sheetName val="BAND(200)"/>
      <sheetName val="OUTER AREA(겹침없음)"/>
      <sheetName val="EG-09"/>
      <sheetName val="M3산출"/>
      <sheetName val="EL 표면적"/>
      <sheetName val="인원계획-미화"/>
      <sheetName val="Prices"/>
      <sheetName val="조정내역"/>
      <sheetName val="CF6"/>
      <sheetName val="P.M 별"/>
      <sheetName val="FRQ"/>
      <sheetName val="기준"/>
      <sheetName val="Sheet4"/>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건축내역"/>
      <sheetName val="단가(반정3교-원주)"/>
      <sheetName val="KAM설비"/>
      <sheetName val="Training"/>
      <sheetName val="Facility Information"/>
      <sheetName val="General"/>
      <sheetName val="Instructions"/>
      <sheetName val="People"/>
      <sheetName val="Quality"/>
      <sheetName val="Risk"/>
      <sheetName val="주차"/>
      <sheetName val="A"/>
      <sheetName val="회사정보"/>
      <sheetName val="시산표"/>
      <sheetName val="목록"/>
      <sheetName val="중기"/>
      <sheetName val="연돌일위집계"/>
      <sheetName val="월별예산"/>
      <sheetName val="입찰내역 발주처 양식"/>
      <sheetName val="_x0018__x0000_"/>
      <sheetName val=""/>
      <sheetName val="실행간접비용"/>
      <sheetName val="原価センタ"/>
      <sheetName val="국내총괄"/>
      <sheetName val="특판제외"/>
      <sheetName val="건축공사실행"/>
      <sheetName val="건축원가"/>
      <sheetName val="5사남"/>
      <sheetName val="020114"/>
      <sheetName val="0111월"/>
      <sheetName val="주현(해보)"/>
      <sheetName val="주현(영광)"/>
      <sheetName val="입출재고현황 (2)"/>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TRE TABLE"/>
      <sheetName val="C3"/>
      <sheetName val="자금추ȕ"/>
      <sheetName val="05년말(건재)"/>
      <sheetName val="118.세금과공과"/>
      <sheetName val="수선비"/>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CC16-내역서"/>
      <sheetName val="신공"/>
      <sheetName val="Y-WORK"/>
      <sheetName val="INPUT"/>
      <sheetName val="설계명세서"/>
      <sheetName val="전신환매도율"/>
      <sheetName val="경비"/>
      <sheetName val="물량표S"/>
      <sheetName val="2.주요계수총괄"/>
      <sheetName val="원가서"/>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_x005f_x0018_"/>
      <sheetName val="1.차입금"/>
      <sheetName val="choose"/>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품목코드표"/>
      <sheetName val="최소가치(간편)-회계"/>
      <sheetName val="회사제시"/>
      <sheetName val="0001new"/>
      <sheetName val="_x0018_?"/>
      <sheetName val="__"/>
      <sheetName val="총괄표"/>
      <sheetName val="GAEYO"/>
      <sheetName val="내역표지"/>
      <sheetName val="cp-e1"/>
      <sheetName val="자금운용계획표"/>
      <sheetName val="부대공"/>
      <sheetName val="Project Brief"/>
      <sheetName val="Master"/>
      <sheetName val="Macro1"/>
      <sheetName val="공통비(전체)"/>
      <sheetName val="토목공사"/>
      <sheetName val="새공통(96임금인상기준)"/>
      <sheetName val="비교1"/>
      <sheetName val="유림총괄"/>
      <sheetName val="교각계산"/>
      <sheetName val="PIPE"/>
      <sheetName val="FLANGE"/>
      <sheetName val="VALVE"/>
      <sheetName val="단면 (2)"/>
      <sheetName val="기초"/>
      <sheetName val="재무상태표"/>
      <sheetName val="15년"/>
      <sheetName val="16년"/>
      <sheetName val="공사비증감"/>
      <sheetName val="부속동"/>
      <sheetName val="MEMORY"/>
      <sheetName val="찍기"/>
      <sheetName val="단가일람"/>
      <sheetName val="단위량당중기"/>
      <sheetName val="수량집계표(舊)"/>
      <sheetName val="현금"/>
      <sheetName val="정부노임단가"/>
      <sheetName val="한강운반비"/>
      <sheetName val="동절기투입(자재)"/>
      <sheetName val="전도품의"/>
      <sheetName val="설문 평가"/>
      <sheetName val="BOX-1510"/>
      <sheetName val="경비2내역"/>
      <sheetName val="YES-T"/>
      <sheetName val="공사내역"/>
      <sheetName val="설계명세서(선로)"/>
      <sheetName val="직재"/>
      <sheetName val="PAD TR보호대기초"/>
      <sheetName val="HANDHOLE(2)"/>
      <sheetName val="가로등기초"/>
      <sheetName val="구성비"/>
      <sheetName val="_x005f_x0018__x005f_x0000_"/>
      <sheetName val="본문"/>
      <sheetName val="철골공사"/>
      <sheetName val="시화점실행"/>
      <sheetName val="전체철근집계"/>
      <sheetName val="건축2"/>
      <sheetName val="내역(한신APT)"/>
      <sheetName val="1. 시공측량"/>
      <sheetName val="음료실행"/>
      <sheetName val="자재목록"/>
      <sheetName val="일위(PN)"/>
      <sheetName val="1.본사계정별"/>
      <sheetName val="95하U$가격"/>
      <sheetName val="3.6.2남양주택배"/>
      <sheetName val="ETC"/>
      <sheetName val="Back Data 1"/>
      <sheetName val="Manual"/>
      <sheetName val="슬래԰"/>
      <sheetName val="슬래"/>
      <sheetName val="슬래렀"/>
      <sheetName val="슬래㰀"/>
      <sheetName val="슬래밀"/>
      <sheetName val="선급비용"/>
      <sheetName val="품목"/>
      <sheetName val="FB25JN"/>
      <sheetName val="22철거수량"/>
      <sheetName val="분전함신설"/>
      <sheetName val="접지1종"/>
      <sheetName val="설치원가"/>
      <sheetName val="터파기및재료"/>
      <sheetName val="3본사"/>
      <sheetName val="98지급계획"/>
      <sheetName val="125PIECE"/>
      <sheetName val="소총괄표"/>
      <sheetName val="아파트연면적비율(참고1)"/>
      <sheetName val="1월 예산"/>
      <sheetName val="슬래　"/>
      <sheetName val="슬래尀"/>
      <sheetName val="슬래⠀"/>
      <sheetName val="슬래"/>
      <sheetName val="슬래堌"/>
      <sheetName val="수종별수량 (2)"/>
      <sheetName val="구간별수량"/>
      <sheetName val="전선 및 전선관"/>
      <sheetName val="도"/>
      <sheetName val="의정부문예회관변경내역"/>
      <sheetName val="연습"/>
      <sheetName val="Bond"/>
      <sheetName val="입찰내역_발주처_양식"/>
      <sheetName val="Data_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 견적서"/>
      <sheetName val="RAW"/>
      <sheetName val="대투_보관자료 변경"/>
      <sheetName val="내수자재"/>
      <sheetName val="부서별집계표"/>
      <sheetName val="금년실적"/>
      <sheetName val="B-1.기본정보"/>
      <sheetName val="Utility Usage YTN TOWER"/>
      <sheetName val="원본"/>
      <sheetName val="설산1.나"/>
      <sheetName val="본사S"/>
      <sheetName val="선택창"/>
      <sheetName val="외주현황.wq1"/>
      <sheetName val="要員用master"/>
      <sheetName val="TB"/>
      <sheetName val="PL"/>
      <sheetName val="CS"/>
      <sheetName val="FA-LISTING"/>
      <sheetName val="공사비예산서(토목분)"/>
      <sheetName val="특외대"/>
      <sheetName val="대투_보관자료_변경"/>
      <sheetName val="슬래䰀"/>
      <sheetName val="11월"/>
      <sheetName val="BD%_70s"/>
      <sheetName val="슬래簀"/>
      <sheetName val="슬래퀀"/>
      <sheetName val="슬래뀀"/>
      <sheetName val="슬래瀀"/>
      <sheetName val="슬래鰀"/>
      <sheetName val="상가지급현황"/>
      <sheetName val="#1) 투자 구분"/>
      <sheetName val="P-산#1-1(WOWA1)"/>
      <sheetName val="4-2물건누계"/>
      <sheetName val="인수기간별S"/>
      <sheetName val="본부유지율"/>
      <sheetName val="자동차추정자료"/>
      <sheetName val="Facility_Information"/>
      <sheetName val="일위대가(계측기설치)"/>
      <sheetName val="예산계정INDEX"/>
      <sheetName val="환율change"/>
      <sheetName val="부하(성남)"/>
      <sheetName val="손해감소유형"/>
      <sheetName val="7"/>
      <sheetName val="항목"/>
      <sheetName val="RE"/>
      <sheetName val="FP"/>
      <sheetName val="공정"/>
      <sheetName val="손익실적"/>
      <sheetName val="손익실적(매출원가)"/>
      <sheetName val="당년사별실적"/>
      <sheetName val="VXXXX"/>
      <sheetName val="탄산"/>
      <sheetName val="감액총괄표"/>
      <sheetName val="9GNG운반"/>
      <sheetName val="납부내역총괄표 (수정)"/>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기초정보"/>
      <sheetName val="2013.2월 연결대상"/>
      <sheetName val="BS_Package_내부거래"/>
      <sheetName val="PL_Package_내부거래"/>
      <sheetName val="수량산출"/>
      <sheetName val="일반관리비"/>
      <sheetName val="보고서"/>
      <sheetName val="1_종합손익(도급)4"/>
      <sheetName val="명단원자료(이전)"/>
      <sheetName val="Back_Data_1"/>
      <sheetName val="※유형구분분류"/>
      <sheetName val="※类型区分分类"/>
      <sheetName val="해외_기술훈련비_(합계)"/>
      <sheetName val="118_세금과공과"/>
      <sheetName val="첨부1(손익관리)"/>
      <sheetName val="카메라2"/>
      <sheetName val="카메라1"/>
      <sheetName val="첨부11(기계정지개선)"/>
      <sheetName val="카메라3"/>
      <sheetName val="카메라-생산실적"/>
      <sheetName val="카메라-생산실적분석"/>
      <sheetName val="compare2"/>
      <sheetName val="Krw"/>
      <sheetName val="BS"/>
      <sheetName val="数据有效性"/>
      <sheetName val="Worker List"/>
      <sheetName val="GB-IC Villingen GG"/>
      <sheetName val="MC&amp;다변화"/>
      <sheetName val="Library"/>
      <sheetName val="予算実績管理現況"/>
      <sheetName val="sheet6"/>
      <sheetName val="약품공급2"/>
      <sheetName val="환율표"/>
      <sheetName val="월별자료"/>
      <sheetName val="배수공"/>
      <sheetName val="고정자산-회사제시"/>
      <sheetName val="13.포장용역비표준"/>
      <sheetName val="9.가공부자재표준"/>
      <sheetName val="8.ROLL표준(TSW)"/>
      <sheetName val="4.톤당조관량표준"/>
      <sheetName val="5.조관부자재표준"/>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표시트"/>
      <sheetName val="2-1.강사료,교통비 지급명세"/>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추정pl"/>
      <sheetName val="表21_净利润夐#奜#"/>
      <sheetName val="판가반영"/>
      <sheetName val="KEY CODE"/>
      <sheetName val="기둥(원형)"/>
      <sheetName val="화전내"/>
      <sheetName val="수량산출내역1115"/>
      <sheetName val="개산공사비"/>
      <sheetName val="10월_vs_12월_채권잔액"/>
      <sheetName val="2-2.투자"/>
      <sheetName val="기본연봉"/>
      <sheetName val="사원"/>
      <sheetName val="9-1차이내역"/>
      <sheetName val="Proj. Fin."/>
      <sheetName val="ITS Assumptions"/>
      <sheetName val="Proj__Fin_"/>
      <sheetName val="2-2_투자"/>
      <sheetName val="Master Data"/>
      <sheetName val="2007전체투자세액공제_2008년처분"/>
      <sheetName val="득점현황"/>
      <sheetName val="#5"/>
      <sheetName val="#3"/>
      <sheetName val="Appendix(권장,단체)"/>
      <sheetName val="세액계산"/>
      <sheetName val="현용"/>
      <sheetName val="현장"/>
      <sheetName val="MH_생산"/>
      <sheetName val="구분List"/>
      <sheetName val="表21_净利润墨-닑⿕"/>
      <sheetName val="TO"/>
      <sheetName val="C2121"/>
      <sheetName val="C2123"/>
      <sheetName val="C2124"/>
      <sheetName val="C2125"/>
      <sheetName val="C2127"/>
      <sheetName val="C2122"/>
      <sheetName val="7.Utility Analysis"/>
      <sheetName val="Operational Activities"/>
      <sheetName val="Index"/>
      <sheetName val="MAT"/>
      <sheetName val="선평원내역"/>
      <sheetName val="BID"/>
      <sheetName val="식재품셈"/>
      <sheetName val="원가1"/>
      <sheetName val="원가2"/>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TYPE-1"/>
      <sheetName val="견적"/>
      <sheetName val="기계경비"/>
      <sheetName val="종단계산"/>
      <sheetName val="산출근거(S4)"/>
      <sheetName val="설치자재"/>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공시용CF"/>
      <sheetName val="3.일반사상"/>
      <sheetName val="슬래_xd800_"/>
      <sheetName val="月度設定"/>
      <sheetName val="97손익계획"/>
      <sheetName val="가정"/>
      <sheetName val="공시용PL"/>
      <sheetName val="예산대실적_작성"/>
      <sheetName val="SALE"/>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support"/>
      <sheetName val="1. 작성방식"/>
      <sheetName val="코드"/>
      <sheetName val="CF表示組替表"/>
      <sheetName val="그룹자료"/>
      <sheetName val="임율자료"/>
      <sheetName val="구조물공"/>
      <sheetName val="토공"/>
      <sheetName val="포장공"/>
      <sheetName val="BM_NEW2"/>
      <sheetName val="드롭다운"/>
      <sheetName val="4.1 월별 에너지 사용량"/>
      <sheetName val="노원열병합  건축공사기성내역서"/>
      <sheetName val="수량산출서 갑지"/>
      <sheetName val="I一般比"/>
      <sheetName val="Month-Report"/>
      <sheetName val="Mot So Thuat Ngu EN-VI"/>
      <sheetName val="000000"/>
      <sheetName val="목록!"/>
      <sheetName val="마스터0919"/>
      <sheetName val="pg15"/>
      <sheetName val="표)CFT장 조직별 배분"/>
      <sheetName val="기술분류체계"/>
      <sheetName val="Remark"/>
      <sheetName val="20180214 P&amp;T"/>
      <sheetName val="Ref. 중점 추진 과제별 상세"/>
      <sheetName val="작성요령"/>
      <sheetName val="2.6 三无 (2)"/>
      <sheetName val="_x0018__"/>
      <sheetName val="노임단가(공사)"/>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최적단면"/>
      <sheetName val="RES"/>
      <sheetName val="Desal-E&amp;I"/>
      <sheetName val="10매출"/>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준검 내역서"/>
      <sheetName val="을-ATYPE"/>
      <sheetName val="98수문일위"/>
      <sheetName val="대전-교대(A1-A2)"/>
      <sheetName val="CAT_5"/>
      <sheetName val="FitOutConfCentre"/>
      <sheetName val="일위대가(목록)"/>
      <sheetName val="재료비"/>
      <sheetName val="6월 공嚺㓶가"/>
      <sheetName val="有型区分分类"/>
      <sheetName val="업무 분류(Category)"/>
      <sheetName val="단기차입금(200006)"/>
      <sheetName val="코드관리"/>
      <sheetName val="Exchange rate"/>
      <sheetName val="작성양식"/>
      <sheetName val="STANDARD"/>
      <sheetName val="유효성검사"/>
      <sheetName val="7상품수"/>
      <sheetName val="분석가정"/>
      <sheetName val="배열수식"/>
      <sheetName val="sum_x0008__x0000__x000d__x0000__x0006__x0000_"/>
      <sheetName val="Ѐ܀ऀ܀؀਀؀Ԁ̀Ѐ̀Ѐࠀ܀ఀ؀܀"/>
      <sheetName val="숨김"/>
      <sheetName val="1월~9월"/>
      <sheetName val="기계"/>
      <sheetName val="정화조"/>
      <sheetName val="토목"/>
      <sheetName val="F 월별기성수금현황 "/>
      <sheetName val="계좌정보"/>
      <sheetName val="기초정보 코드"/>
      <sheetName val="MTP"/>
      <sheetName val="수목단가"/>
      <sheetName val="시설수량표"/>
      <sheetName val="식재수량표"/>
      <sheetName val="수정양식"/>
      <sheetName val="#1 Basic"/>
      <sheetName val="만기"/>
      <sheetName val="월별비교(물리)"/>
      <sheetName val="1"/>
      <sheetName val="EP0618"/>
      <sheetName val="첨부#2.Cash Flow(현장작성)"/>
      <sheetName val="생산성(2차)"/>
      <sheetName val="요약(1차)"/>
      <sheetName val="선택지"/>
      <sheetName val="Congfig"/>
      <sheetName val="Bank code"/>
      <sheetName val="총수율"/>
      <sheetName val="11"/>
      <sheetName val="Drop-down RAW"/>
      <sheetName val="CODE生成机"/>
      <sheetName val="조직필터"/>
      <sheetName val="산자사 운전용품"/>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오류항목"/>
      <sheetName val="조도계산서 (도서)"/>
      <sheetName val="안산기계장치"/>
      <sheetName val="A(Rev.3)"/>
      <sheetName val="호남본"/>
      <sheetName val="갑지"/>
      <sheetName val="hiddenSheet"/>
      <sheetName val="640ꠌ᜹렀㣃씃"/>
      <sheetName val="640ꠏ᜹쀀씃"/>
      <sheetName val="STRAT PLAN WKSHT"/>
      <sheetName val="Sales Plan &amp; other"/>
      <sheetName val="ConsolidateUSD"/>
      <sheetName val="STRAT_PLAN_WKSHT"/>
      <sheetName val="Sales_Plan_&amp;_other"/>
      <sheetName val="ref"/>
      <sheetName val="drop downs"/>
      <sheetName val="Basic Information"/>
      <sheetName val="VNHA"/>
      <sheetName val="대차대조표-공시형"/>
      <sheetName val="참고) 기준정보"/>
      <sheetName val="1월"/>
      <sheetName val="회사전체"/>
      <sheetName val="Assign"/>
      <sheetName val="합잔_역사"/>
      <sheetName val="01현금및현금성자산(ok)"/>
      <sheetName val="상불"/>
      <sheetName val="구분 Table"/>
      <sheetName val="역T형옹벽(3.0)"/>
      <sheetName val="한계원가"/>
      <sheetName val="받을어음"/>
      <sheetName val="외상매출금현황-수정분 A2"/>
      <sheetName val="기준재고"/>
      <sheetName val="euc"/>
      <sheetName val="수액원료4"/>
      <sheetName val="관리자"/>
      <sheetName val="이자"/>
      <sheetName val="외부자료"/>
      <sheetName val="Diesel Price "/>
      <sheetName val="진행 DATA (2)"/>
      <sheetName val="_x005f_x005f_x005f_x0000__x005f_x005f_x005f_x0000_"/>
      <sheetName val="Cntmrs"/>
      <sheetName val="$bhp"/>
      <sheetName val="업무분장 "/>
      <sheetName val="7300-1000.11"/>
      <sheetName val="7300-1000_11"/>
      <sheetName val="기준Data"/>
      <sheetName val="PJT 현황"/>
      <sheetName val="포지셔닝(유형별)"/>
      <sheetName val="채권(하반기)"/>
      <sheetName val="금액"/>
      <sheetName val="제품"/>
      <sheetName val="분류표"/>
      <sheetName val="Long Term Prices"/>
      <sheetName val="생산량"/>
      <sheetName val="BK_PPA"/>
      <sheetName val="간접비차이_PJT"/>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중기일위대가"/>
      <sheetName val="특수선일위대가"/>
      <sheetName val="전기자료"/>
      <sheetName val="Sheet10"/>
      <sheetName val="필요면적"/>
      <sheetName val="부산제일극장"/>
      <sheetName val="견적내역서"/>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입찰내역 Ĉ"/>
      <sheetName val="M&amp;Q Lead"/>
      <sheetName val="갑지1"/>
      <sheetName val="일위대가목차"/>
      <sheetName val="시험장S자로가로등공사"/>
      <sheetName val="Sheet17"/>
      <sheetName val="설비등록׃⼫"/>
      <sheetName val="설비등록_x0010__x0000_"/>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3YP2016-Bottom_up1"/>
      <sheetName val="2_카드채권(대출포함)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6월_공정외주2"/>
      <sheetName val="입출재고현황_(2)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견적 맵"/>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기본일위"/>
      <sheetName val="TOWER 12TON"/>
      <sheetName val="TOWER 10TON"/>
      <sheetName val="JIB CRANE,HOIST"/>
      <sheetName val="견적을지"/>
      <sheetName val="기성현황집계표"/>
      <sheetName val="Sheet475"/>
      <sheetName val="미계약2"/>
      <sheetName val="대환취급"/>
      <sheetName val="(참조)"/>
      <sheetName val="Investment Category"/>
      <sheetName val="기준정보基准信息参考"/>
      <sheetName val="계정정보"/>
      <sheetName val="_x005f_x005f_x005f_x0000__x005f"/>
      <sheetName val="소주(苏州)"/>
      <sheetName val="가설공사내역"/>
      <sheetName val="401"/>
      <sheetName val="T13(P68~72,78)"/>
      <sheetName val="6호기"/>
      <sheetName val="BATCH"/>
      <sheetName val="1-1"/>
      <sheetName val="wall"/>
      <sheetName val="PF 현황(11년12월)"/>
      <sheetName val="Menu_Link"/>
      <sheetName val="23기-3분기결산PL"/>
      <sheetName val="책임준비금"/>
      <sheetName val="공사비지급"/>
      <sheetName val="데이터유효성목록"/>
      <sheetName val="집계"/>
      <sheetName val="1TL종점(1)"/>
      <sheetName val="PUR-12K"/>
      <sheetName val="TSCLFEB"/>
      <sheetName val="_x005f_x005f_x005f_x0018__x005f_x005f_x005f_x0000_"/>
      <sheetName val="_x005f_x0018_?"/>
      <sheetName val="7_Utility_Analysis"/>
      <sheetName val="Operational_Activities"/>
      <sheetName val="근거_및_가정1"/>
      <sheetName val="1_차입금1"/>
      <sheetName val="부대시행1_(2)1"/>
      <sheetName val="_견적서1"/>
      <sheetName val="Utility_Usage_YTN_TOWER1"/>
      <sheetName val="B-1_기본정보1"/>
      <sheetName val="PAD_TR보호대기초1"/>
      <sheetName val="설문_평가1"/>
      <sheetName val="대투_보관자료_변경1"/>
      <sheetName val="2-2_투자1"/>
      <sheetName val="Proj__Fin_1"/>
      <sheetName val="Rev__Recon_1"/>
      <sheetName val="1_고객불만건수"/>
      <sheetName val="1_변경범위"/>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C1_3_1"/>
      <sheetName val="입찰내역_Ĉᇆ"/>
      <sheetName val="입찰내역_Ĉᇆ"/>
      <sheetName val="Eq__Mobilization"/>
      <sheetName val="ITS_Assumptions"/>
      <sheetName val="Master_Data"/>
      <sheetName val="7_Utility_Analysis1"/>
      <sheetName val="Operational_Activities1"/>
      <sheetName val="Facility_Information2"/>
      <sheetName val="2_대외공문4"/>
      <sheetName val="근거_및_가정2"/>
      <sheetName val="118_세금과공과2"/>
      <sheetName val="sum1_(2)4"/>
      <sheetName val="3_바닥판설계4"/>
      <sheetName val="504전기실_동부하-L4"/>
      <sheetName val="2_총괄표4"/>
      <sheetName val="OUTER_AREA(겹침없음)4"/>
      <sheetName val="EL_표면적4"/>
      <sheetName val="P_M_별3"/>
      <sheetName val="Legend"/>
      <sheetName val="Note"/>
      <sheetName val="物料主数据"/>
      <sheetName val="Dropdown list"/>
      <sheetName val="Liste"/>
      <sheetName val="清单"/>
      <sheetName val="beerflow"/>
      <sheetName val="[손익기01_XLDePara5"/>
      <sheetName val="_손익기01_XLDePara5"/>
      <sheetName val="Control de Fallas"/>
      <sheetName val="Setup for Templates"/>
      <sheetName val="Datos emp"/>
      <sheetName val="Проверки"/>
      <sheetName val="Drop list"/>
      <sheetName val="FX Rates"/>
      <sheetName val="Proced."/>
      <sheetName val="PTN"/>
      <sheetName val="Cut Machine Summary"/>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생산성"/>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Xref"/>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Worker_List"/>
      <sheetName val="GB-IC_Villingen_GG"/>
      <sheetName val="Mot_So_Thuat_Ngu_EN-VI"/>
      <sheetName val="시스템 개요 유효값"/>
      <sheetName val="Project Count"/>
      <sheetName val="Index1"/>
      <sheetName val="STRAT_PLAN_WKSHT1"/>
      <sheetName val="Sales_Plan_&amp;_other1"/>
      <sheetName val="drop_downs"/>
      <sheetName val="전기요금 산출내역"/>
      <sheetName val="예산관리대장"/>
      <sheetName val="Xunit (단위환산)"/>
      <sheetName val="비품"/>
      <sheetName val="control sheet"/>
      <sheetName val="월간공정표(04월))"/>
      <sheetName val="지급어음"/>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FORM4"/>
      <sheetName val="FORM1"/>
      <sheetName val="FORM2"/>
      <sheetName val="FORM3"/>
      <sheetName val="FORM5"/>
      <sheetName val="FORM10"/>
      <sheetName val="FORM15"/>
      <sheetName val="FORM16"/>
      <sheetName val="공통부대비"/>
      <sheetName val="Sensitivity and GC Value"/>
      <sheetName val="SAP_Role"/>
      <sheetName val="cctr"/>
      <sheetName val="계정_H100"/>
      <sheetName val="계정_1000"/>
      <sheetName val="계정_7000"/>
      <sheetName val="계정_8000"/>
      <sheetName val="AP_H100"/>
      <sheetName val="AP_1000"/>
      <sheetName val="AP_7000"/>
      <sheetName val="AP_8000"/>
      <sheetName val="단기대여금"/>
      <sheetName val="장기대여금"/>
      <sheetName val="기준표"/>
      <sheetName val="FAB별"/>
      <sheetName val="간접경상비"/>
      <sheetName val="손익계산서"/>
      <sheetName val=" Drop"/>
      <sheetName val="대구은행"/>
      <sheetName val="원재료"/>
      <sheetName val="_x005f_x0018__"/>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지장물C"/>
      <sheetName val="1.수인터널"/>
      <sheetName val="1711월"/>
      <sheetName val="OH _x000f__x0000__x000c__x0000__x0006__x0000__x0005__x0000__x000c__x0000_"/>
      <sheetName val="_x0000__x0004__x0000__x0002__x0000__x0002__x0000__x0005__x0000__x0008__x0000_"/>
      <sheetName val="ࠀ฀က฀Ԁ"/>
      <sheetName val="OH _x000f_"/>
      <sheetName val="____"/>
      <sheetName val="_"/>
      <sheetName val="2.FM Fee_2차년도"/>
      <sheetName val="3.감가장비"/>
      <sheetName val="01_02월_성B_x0000_"/>
      <sheetName val="sum_x0008_"/>
      <sheetName val="산출"/>
      <sheetName val="master(ZH)"/>
      <sheetName val="협가표"/>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증감대비"/>
      <sheetName val="공종단가"/>
      <sheetName val="아산추가1220"/>
      <sheetName val="main"/>
      <sheetName val="JT3.0견적-구1"/>
      <sheetName val="Dropbox 목록"/>
      <sheetName val="001"/>
      <sheetName val="2_주요계수총괄2"/>
      <sheetName val="Project_Brief2"/>
      <sheetName val="단면_(2)2"/>
      <sheetName val="1__시공측량1"/>
      <sheetName val="1_본사계정별2"/>
      <sheetName val="납부내역총괄표_(수정)1"/>
      <sheetName val="수종별수량_(2)1"/>
      <sheetName val="3_6_2남양주택배1"/>
      <sheetName val="Back_Data_12"/>
      <sheetName val="1월_예산1"/>
      <sheetName val="Weekly_Progress(계장)1"/>
      <sheetName val="해외_기술훈련비_(합계)2"/>
      <sheetName val="전선_및_전선관1"/>
      <sheetName val="설산1_나1"/>
      <sheetName val="#1)_투자_구분1"/>
      <sheetName val="2013_2월_연결대상1"/>
      <sheetName val="G_R300경비"/>
      <sheetName val="AS포장복구_"/>
      <sheetName val="설_계"/>
      <sheetName val="수량산출서_갑지"/>
      <sheetName val="KEY_CODE1"/>
      <sheetName val="실행기성_갑지1"/>
      <sheetName val="준검_내역서"/>
      <sheetName val="날개수량1_5"/>
      <sheetName val="외주현황_wq11"/>
      <sheetName val="2-1_강사료,교통비_지급명세1"/>
      <sheetName val="13_포장용역비표준1"/>
      <sheetName val="9_가공부자재표준1"/>
      <sheetName val="8_ROLL표준(TSW)1"/>
      <sheetName val="4_톤당조관량표준1"/>
      <sheetName val="5_조관부자재표준1"/>
      <sheetName val="F_월별기성수금현황_"/>
      <sheetName val="기초정보_코드"/>
      <sheetName val="조도계산서_(도서)"/>
      <sheetName val="6월_공嚺㓶가"/>
      <sheetName val="sum_x000a_"/>
      <sheetName val="설비등록"/>
      <sheetName val="2_6_三无_(2)"/>
      <sheetName val="A(Rev_3)"/>
      <sheetName val="gr_val"/>
      <sheetName val="gr_sum"/>
      <sheetName val="OUTER_A՜_x0000_缀_x0000__x0000__x0000_尀빙끯"/>
      <sheetName val="C1ㅇ"/>
      <sheetName val="단가조정"/>
      <sheetName val="나_출_x0000__x0000_"/>
      <sheetName val="입찰내역_Ĉ"/>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1_수인터널"/>
      <sheetName val="부대내역"/>
      <sheetName val="工완성공사율"/>
      <sheetName val="개발계획수립"/>
      <sheetName val="건축"/>
      <sheetName val="산근(목록)"/>
      <sheetName val="심사계산"/>
      <sheetName val="기초단가"/>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PAD_TR보호대기초2"/>
      <sheetName val="1__시공측량2"/>
      <sheetName val="납부내역총괄표_(수정)2"/>
      <sheetName val="수종별수량_(2)2"/>
      <sheetName val="Weekly_Progress(계장)2"/>
      <sheetName val="1_차입금2"/>
      <sheetName val="부대시행1_(2)2"/>
      <sheetName val="3_6_2남양주택배2"/>
      <sheetName val="설산1_나2"/>
      <sheetName val="2_실행ﶻĉ_x0000_"/>
      <sheetName val="2_실행䔭疖꜀"/>
      <sheetName val="2_실행ﶻ_x001e__x0000_"/>
      <sheetName val="입찰내역 _x0000__x0000__x0000__x0001_Ԁ_x0000_"/>
      <sheetName val="DB"/>
      <sheetName val="SS20"/>
      <sheetName val="SS10"/>
      <sheetName val="유리단가"/>
      <sheetName val="부대공사총괄"/>
      <sheetName val="건축공사집계표"/>
      <sheetName val="방배동내역 (총괄)"/>
      <sheetName val="공통비_x0000__x0000_ʯ"/>
      <sheetName val="공통비_x0000_í遘̩"/>
      <sheetName val="BSD (2)"/>
      <sheetName val="날개벽(시점좌측)"/>
      <sheetName val="철거산출근거"/>
      <sheetName val="파일의이용"/>
      <sheetName val="총괄집계표"/>
      <sheetName val="합계표"/>
      <sheetName val="_x005f_x0000___x0000__x0000__x0005__x0000_㴐ኰ"/>
      <sheetName val="_x005f_x0000___x0000__x0000__x0005__x0000_움ᕕ"/>
      <sheetName val="오스피셔스제사차"/>
      <sheetName val="공종별집계"/>
      <sheetName val="항목(1)"/>
      <sheetName val="BOOK4"/>
      <sheetName val="참고3.DATA"/>
      <sheetName val="Sheet16"/>
      <sheetName val="Planilha_relts??eos7"/>
      <sheetName val="NCR_HEC_6 Opens"/>
      <sheetName val="NCR_HEC_4 Open &amp; Vendor_2 Opens"/>
      <sheetName val="상반기손익차2총괄"/>
      <sheetName val="수량산출서 (2)"/>
      <sheetName val="91"/>
      <sheetName val="생산1-2"/>
      <sheetName val="생산1-1"/>
      <sheetName val="매출계획"/>
      <sheetName val="품의서개정(갑)"/>
      <sheetName val="10.예산 및 원가 계획(02년)"/>
      <sheetName val="무형자산 LS11"/>
      <sheetName val="Global"/>
      <sheetName val="_x005f_x0000_"/>
      <sheetName val="기타수지&amp;특별손익_ﹴÕ"/>
      <sheetName val="입찰내역 _x0000_⊍_x0000__x0000_∀的"/>
      <sheetName val="SPT vs PHI"/>
      <sheetName val="퇴직사유"/>
      <sheetName val="F4-F7"/>
      <sheetName val="Supplement2"/>
      <sheetName val="20년 동일기간 소테마"/>
      <sheetName val="연결조정사항(2019)"/>
      <sheetName val="本月预计"/>
      <sheetName val="1)추진현황"/>
      <sheetName val="매출회전"/>
      <sheetName val="소방사항"/>
      <sheetName val="TMPA"/>
      <sheetName val="TLoss"/>
      <sheetName val="예총"/>
      <sheetName val="0304"/>
      <sheetName val="3.공통공사대비"/>
      <sheetName val="2002년12월"/>
      <sheetName val="현장관리비 산출내역"/>
      <sheetName val="일일투입집계표"/>
      <sheetName val="평가데이터"/>
      <sheetName val="Macro3"/>
      <sheetName val="운영경비 세부작성근거"/>
      <sheetName val="경영비율 "/>
      <sheetName val="类别"/>
      <sheetName val="(실사조정)총괄"/>
      <sheetName val="NKC (final)"/>
      <sheetName val="OUTER_A՜"/>
      <sheetName val="건축갑지"/>
      <sheetName val="건축내역서"/>
      <sheetName val="견적보고서"/>
      <sheetName val="체신주조서"/>
      <sheetName val="7_공사비집"/>
      <sheetName val="국내_x0000__x0000_"/>
      <sheetName val="운반"/>
      <sheetName val="자판실행"/>
      <sheetName val="자금_제_x0000__x0000_Ԁ_x0000_"/>
      <sheetName val="tifico"/>
      <sheetName val="지급제한자"/>
      <sheetName val="생산"/>
      <sheetName val="단가조사표"/>
      <sheetName val="물가대비표"/>
      <sheetName val="M&amp;Q_Lead"/>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4_1_월별_에너지_사용량"/>
      <sheetName val="첨부#2_Cash_Flow(현장작성)"/>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원가관리_(동월대-_x0000_Ԁ"/>
      <sheetName val="1__작성방식1"/>
      <sheetName val="표)CFT장_조직별_배분1"/>
      <sheetName val="20180214_P&amp;T1"/>
      <sheetName val="Ref__중점_추진_과제별_상세1"/>
      <sheetName val="Bank_code1"/>
      <sheetName val="Drop-down_RAW1"/>
      <sheetName val="Basic_Information1"/>
      <sheetName val="Exchange_rate1"/>
      <sheetName val="진행_DATA_(2)"/>
      <sheetName val="NG_Item"/>
      <sheetName val="Ref__Spec_Review_양식"/>
      <sheetName val="Ref__시험항목_테이블"/>
      <sheetName val="Ref__Search_Result_테이블"/>
      <sheetName val="TOWER_12TON"/>
      <sheetName val="TOWER_10TON"/>
      <sheetName val="JIB_CRANE,HOIST"/>
      <sheetName val="07.01"/>
      <sheetName val="설계내역양식"/>
      <sheetName val="P_M_별4"/>
      <sheetName val="Back_Data_13"/>
      <sheetName val="Facility_Information3"/>
      <sheetName val="1__작성방식2"/>
      <sheetName val="2_주요계수총괄3"/>
      <sheetName val="Project_Brief3"/>
      <sheetName val="Utility_Usage_YTN_TOWER2"/>
      <sheetName val="118_세금과공과3"/>
      <sheetName val="1_본사계정별3"/>
      <sheetName val="단면_(2)3"/>
      <sheetName val="표)CFT장_조직별_배분2"/>
      <sheetName val="20180214_P&amp;T2"/>
      <sheetName val="Ref__중점_추진_과제별_상세2"/>
      <sheetName val="Bank_code2"/>
      <sheetName val="B-1_기본정보2"/>
      <sheetName val="해외_기술훈련비_(합계)3"/>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sum"/>
      <sheetName val="3_일반사상"/>
      <sheetName val="OH_"/>
      <sheetName val="업무_분류(Category)"/>
      <sheetName val="#1_Basic"/>
      <sheetName val="산자사_운전용품"/>
      <sheetName val="경영비율_"/>
      <sheetName val="Dropbox_목록"/>
      <sheetName val="3.판관비명세서"/>
      <sheetName val="카테고리 분류 (수정X)"/>
      <sheetName val="_x005f_x005f_x005f_x005f_x005f_x005f_x005f_x0018__x005f"/>
      <sheetName val="_x005f_x005f_x005f_x0018__"/>
      <sheetName val="간접비"/>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집계확_x0000_"/>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⑤항목별2"/>
      <sheetName val="산출기준(파견전산실)"/>
      <sheetName val="보빈규격"/>
      <sheetName val="504전기실_x0000__x0000__x0001_Ԁ_x0000_"/>
      <sheetName val="__한국_AMP_ASP-23_판매가격_롟"/>
      <sheetName val="기타코드"/>
      <sheetName val="무역한도관리"/>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504전기실_Ç_x0000_Ԁ_x0000_瀀"/>
      <sheetName val="504전기실_Ç_x0000_Ԁ_x0000_退"/>
      <sheetName val="504전기실_壇멿︀ⳕԯ"/>
      <sheetName val="B05"/>
      <sheetName val="B07"/>
      <sheetName val="A02"/>
      <sheetName val="A04"/>
      <sheetName val="A13"/>
      <sheetName val="B08"/>
      <sheetName val="B10"/>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PH 5"/>
      <sheetName val="bar chart-rev"/>
      <sheetName val="6F8"/>
      <sheetName val="공기연장현황"/>
      <sheetName val="합산목표(감가+5_x0000__x0000_Ԁ_x0000_䀀"/>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Name"/>
      <sheetName val="변동률산출"/>
      <sheetName val="기본값"/>
      <sheetName val="신당동집계표"/>
      <sheetName val="다목적갑"/>
      <sheetName val="Warranty"/>
      <sheetName val="CERTIFICATE"/>
      <sheetName val="HERO01"/>
      <sheetName val="인건비"/>
      <sheetName val="04_4월말_합병시_지분변동차액"/>
      <sheetName val="2007"/>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영업보증금"/>
      <sheetName val="4Q주석"/>
      <sheetName val="CIP"/>
      <sheetName val="@공통코드"/>
      <sheetName val="07~08 PL"/>
      <sheetName val="기성및원가"/>
      <sheetName val="식재총괄"/>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금액집계(리포트)"/>
      <sheetName val="_x005f_x0000__"/>
      <sheetName val="입찰내역 "/>
      <sheetName val="가설전기별첨"/>
      <sheetName val="화기9901매출"/>
      <sheetName val="Act vs. budget"/>
      <sheetName val="자금_제"/>
      <sheetName val="_Cash_Flow(자_x0000__x0000_"/>
      <sheetName val="첨부1-2. 증감사유내역서(을)"/>
      <sheetName val="GL"/>
      <sheetName val="2003FX"/>
      <sheetName val="원가관리_(동월대-"/>
      <sheetName val="504전기실"/>
      <sheetName val="기준정보"/>
      <sheetName val="6PILE__(Y_x0000__x0000_"/>
      <sheetName val="4월25일실행"/>
      <sheetName val="경계석,골재외 (2)"/>
      <sheetName val="실행내역서 "/>
      <sheetName val="2.Consideration sheet"/>
      <sheetName val="3. Export"/>
      <sheetName val="목록구분"/>
      <sheetName val="MTP1"/>
      <sheetName val="504전기실_Ç"/>
      <sheetName val="유림콘도"/>
      <sheetName val="장비명"/>
      <sheetName val="Ext. Stone-P"/>
      <sheetName val="유효성 목록"/>
      <sheetName val="드롭다운(수정금지)"/>
      <sheetName val="총 원가계산"/>
      <sheetName val="증감내역서"/>
      <sheetName val="단면치수"/>
      <sheetName val="1.설계조건"/>
      <sheetName val="Cash2"/>
      <sheetName val="Z"/>
      <sheetName val="6PILE__(剙_x0010__x0000_"/>
      <sheetName val="단가산출서"/>
      <sheetName val="공사"/>
      <sheetName val="조도"/>
      <sheetName val="1.설계기준"/>
      <sheetName val="골조"/>
      <sheetName val="경상직원"/>
      <sheetName val="통က_x0000_"/>
      <sheetName val="실행"/>
      <sheetName val="철거공사1"/>
      <sheetName val="_x005f_x005f_x005f_x0018_"/>
      <sheetName val="입찰내역 Ĉ_x005f_x0000__x005f_x0000_ᇆ"/>
      <sheetName val="입찰내역 Ĉ_x005f_x0000__x005f_x0000_ᇆ"/>
      <sheetName val="_x005f_x005f_x005f_x005f_x005f_x005f_x005f_x0000__x005f"/>
      <sheetName val="PH_5"/>
      <sheetName val="bar_chart-rev"/>
      <sheetName val="A(Rev_3)1"/>
      <sheetName val="1~9_하중계산"/>
      <sheetName val="1_설계조건"/>
      <sheetName val="전기요금_산출내역"/>
      <sheetName val="BSD_(2)"/>
      <sheetName val="_x005f_x0000__㴐ኰ"/>
      <sheetName val="_x005f_x0000__움ᕕ"/>
      <sheetName val="2_실행ﶻ"/>
      <sheetName val="수량산출서_(2)"/>
      <sheetName val="시스템_개요_유효값"/>
      <sheetName val="노원열병합__건축공사기성내역서"/>
      <sheetName val="Investment_Category"/>
      <sheetName val="JT3_0견적-구1"/>
      <sheetName val="유류대_현황1"/>
      <sheetName val="1__템플릿1"/>
      <sheetName val="2__작성_참고사항1"/>
      <sheetName val="mapping_(2)1"/>
      <sheetName val="Ref_1"/>
      <sheetName val="2_3_Projects_Status1"/>
      <sheetName val="Consolidated_Project_List1"/>
      <sheetName val="Fixed_Cost1"/>
      <sheetName val="Listas_desplegables1"/>
      <sheetName val="Resumen_General1"/>
      <sheetName val="Cátalogo_de_CI1"/>
      <sheetName val="Hoja2_(2)1"/>
      <sheetName val="Technology_check_list1"/>
      <sheetName val="Status_de_Usuario1"/>
      <sheetName val="Actos_y_Condiciones_1"/>
      <sheetName val="NO_BORRAR1"/>
      <sheetName val="Formato_checklist_Lab1"/>
      <sheetName val="3__Training_&amp;_travel"/>
      <sheetName val="Manage_to_Sustain"/>
      <sheetName val="Meeting_List"/>
      <sheetName val="Packages_Info"/>
      <sheetName val="Preferred_Option"/>
      <sheetName val="입문_트랜드(종합분석)"/>
      <sheetName val="Master_CE"/>
      <sheetName val="CE_Final_"/>
      <sheetName val="OL_LIST"/>
      <sheetName val="YTD_GUEST_LIST"/>
      <sheetName val="Session_Full_list"/>
      <sheetName val="FOOD_PAYMENT_update_JAN"/>
      <sheetName val="Rate_card_F19_"/>
      <sheetName val="Master_Plan__(update)"/>
      <sheetName val="The_KPI_"/>
      <sheetName val="Mentor_Plan_"/>
      <sheetName val="Master_Plan_"/>
      <sheetName val="Tier_1_GOV_PC_Networking_"/>
      <sheetName val="Tier_1_LBO_"/>
      <sheetName val="2020_MMR12"/>
      <sheetName val="Razão_Social"/>
      <sheetName val="NCR_HEC_6_Opens"/>
      <sheetName val="NCR_HEC_4_Open_&amp;_Vendor_2_Opens"/>
      <sheetName val="2_FM_Fee_2차년도"/>
      <sheetName val="3_감가장비"/>
      <sheetName val="KPIs- TTP, PTP, People Turnover"/>
      <sheetName val="部门"/>
      <sheetName val="1월 목표"/>
      <sheetName val="FILIAL MINAS"/>
      <sheetName val="info for drop box"/>
      <sheetName val="[손익기01_XL_x0000__x0000_DePara10"/>
      <sheetName val="_손익기01_XL_x0000__x0000_DePara10"/>
      <sheetName val="_손익기01_XL_x0000__x05"/>
      <sheetName val="_손익기01_XL_x005f_x0000__x7"/>
      <sheetName val="POCM 배송지"/>
      <sheetName val="IT_CHNG_01-K"/>
      <sheetName val="IPE"/>
      <sheetName val="GBP_BODS"/>
      <sheetName val="GFP_CFIN"/>
      <sheetName val="GDP_MDG"/>
      <sheetName val="GUP_SLT"/>
      <sheetName val="GAP_SOL"/>
      <sheetName val="GXP_PO"/>
      <sheetName val="%_Automation_Analysis_Business"/>
      <sheetName val="Curvas"/>
      <sheetName val="BD_Geral"/>
      <sheetName val="Produtos_e_Custos1"/>
      <sheetName val="EE"/>
      <sheetName val="BD_-_Realizado1"/>
      <sheetName val="Cadastro_de_Veículos1"/>
      <sheetName val="Sispec"/>
      <sheetName val="公式页面"/>
      <sheetName val="CC"/>
      <sheetName val="데이터 유효성 목록"/>
      <sheetName val="Mapping "/>
      <sheetName val="WS DB"/>
      <sheetName val="Region "/>
      <sheetName val="SKU DB"/>
      <sheetName val="SKU信息"/>
      <sheetName val="销售项费用项"/>
      <sheetName val="陈列描述"/>
      <sheetName val="大组压仓"/>
      <sheetName val="CPR用Rate&amp;Mix"/>
      <sheetName val="Pivot"/>
      <sheetName val="TO_Data_Base22"/>
      <sheetName val="YTD_Summary21"/>
      <sheetName val="Month_Summary21"/>
      <sheetName val="Trial_Balance_MAY_200921"/>
      <sheetName val="TB_Pivot21"/>
      <sheetName val="total_per_LB_LB221"/>
      <sheetName val="Trial_Balance_Vlookup21"/>
      <sheetName val="Trial_Balance_APRIL_200921"/>
      <sheetName val="Roll_Out_AQ21"/>
      <sheetName val="Evolução_mandamentos21"/>
      <sheetName val="Planilha_resultados20"/>
      <sheetName val="Historico_200320"/>
      <sheetName val="Sig_Cycles_Accts_&amp;_Processes20"/>
      <sheetName val="Fixed_ZBB14"/>
      <sheetName val="E_法规NC14"/>
      <sheetName val="3_ISo_YTD14"/>
      <sheetName val="Données_LMU14"/>
      <sheetName val="Brazil_Sovereign14"/>
      <sheetName val="Resumen_Costo14"/>
      <sheetName val="Extract_Loss14"/>
      <sheetName val="QA_跟踪记录表14"/>
      <sheetName val="5_114"/>
      <sheetName val="Base_de_Dados14"/>
      <sheetName val="Como_Estamos14"/>
      <sheetName val="Controls_data16"/>
      <sheetName val="RG_Depots14"/>
      <sheetName val="material_data14"/>
      <sheetName val="other_data14"/>
      <sheetName val="Database_(RUR)Mar_YTD14"/>
      <sheetName val="SKU_Mapping14"/>
      <sheetName val="Drop_Down14"/>
      <sheetName val="Raw_Data14"/>
      <sheetName val="EBM-2_GHQ14"/>
      <sheetName val="Base_PEF15"/>
      <sheetName val="Testing_Template_Guidance14"/>
      <sheetName val="Test_Programs14"/>
      <sheetName val="Dados_BLP14"/>
      <sheetName val="FJJX_Bud_IB13"/>
      <sheetName val="JOB_PROFILE_-_LAS14"/>
      <sheetName val="ARdistr_(2)14"/>
      <sheetName val="look-up_data13"/>
      <sheetName val="Prd_Hierarchy(产品层级)13"/>
      <sheetName val="Com_(2PK)13"/>
      <sheetName val="Project_Code13"/>
      <sheetName val="요일_테이블14"/>
      <sheetName val="요일_테이블_(2)13"/>
      <sheetName val="Prd_Hierarchy(产品层次)13"/>
      <sheetName val="전사_PL15"/>
      <sheetName val="자금_제외_PL15"/>
      <sheetName val="자금_PL15"/>
      <sheetName val="전사_BS15"/>
      <sheetName val="자금_제외_BS15"/>
      <sheetName val="자금_BS15"/>
      <sheetName val="BS_계정_설명15"/>
      <sheetName val="_Cash_Flow(전사)15"/>
      <sheetName val="_Cash_Flow(자금제외)15"/>
      <sheetName val="_Cash_Flow(자금)15"/>
      <sheetName val="ROIC_15"/>
      <sheetName val="인건비_명세15"/>
      <sheetName val="판관비_명세15"/>
      <sheetName val="OH_Cost경비(내역)15"/>
      <sheetName val="OH_Cost경비(배부기준)15"/>
      <sheetName val="기타수지&amp;특별손익_명세15"/>
      <sheetName val="업무연락_(2)14"/>
      <sheetName val="제시_손익계산서14"/>
      <sheetName val="01_02월_성과급15"/>
      <sheetName val="M_7회차_담금_계획14"/>
      <sheetName val="팀별_실적14"/>
      <sheetName val="팀별_실적_(환산)14"/>
      <sheetName val="4__Inj_투자상세내역14"/>
      <sheetName val="3__Blow_투자_상세내역14"/>
      <sheetName val="Process_List14"/>
      <sheetName val="7_(2)14"/>
      <sheetName val="_손익기01_XL13"/>
      <sheetName val="Income_Stmt13"/>
      <sheetName val="drop_down_list13"/>
      <sheetName val="[손익기01_XL_x005f_x0000__x005f_x0000_DePara13"/>
      <sheetName val="Quarterly_LBO_Model13"/>
      <sheetName val="Figures_Report12"/>
      <sheetName val="[손익기01_XL13"/>
      <sheetName val="_손익기01_XL_x005f_x0000__x005f_x0000_DePara13"/>
      <sheetName val="Fare_prices12"/>
      <sheetName val="Hotel_prices12"/>
      <sheetName val="Set_Up13"/>
      <sheetName val="15년_BL_사계13"/>
      <sheetName val="1_종합손익(도급)13"/>
      <sheetName val="1_종합손익(주택,개발)13"/>
      <sheetName val="2_실행예산13"/>
      <sheetName val="2_2과부족13"/>
      <sheetName val="2_3원가절감13"/>
      <sheetName val="8_외주비집행현황13"/>
      <sheetName val="9_자재비13"/>
      <sheetName val="10_현장집행13"/>
      <sheetName val="3_추가원가13"/>
      <sheetName val="3_추가원가_(2)13"/>
      <sheetName val="4_사전공사13"/>
      <sheetName val="5_추정공사비13"/>
      <sheetName val="6_금융비용13"/>
      <sheetName val="7_공사비집행현황(총괄)13"/>
      <sheetName val="11_1생산성13"/>
      <sheetName val="11_2인원산출13"/>
      <sheetName val="Classification_分类12"/>
      <sheetName val="tab_STATUS_DO_PROCESSO_12"/>
      <sheetName val="Perf__Plan__Diário112"/>
      <sheetName val="In_(2)12"/>
      <sheetName val="__한국_AMP_ASP-23_판매가격__12"/>
      <sheetName val="CC_Down_load_071612"/>
      <sheetName val="변경실행(2차)_12"/>
      <sheetName val="나_출고12"/>
      <sheetName val="나_입고12"/>
      <sheetName val="09년_인건비(속리산)12"/>
      <sheetName val="합산목표(감가+57_5)12"/>
      <sheetName val="제조원가_원단위_분석12"/>
      <sheetName val="종합표양식(품의_&amp;_입고)_212"/>
      <sheetName val="원가관리_(동월대비)12"/>
      <sheetName val="b_balju_(2)12"/>
      <sheetName val="2-2_매출분석12"/>
      <sheetName val="몰드시스템_리스트12"/>
      <sheetName val="11_외화채무증권(AFS,HTM)0812"/>
      <sheetName val="13_감액TEST_0812"/>
      <sheetName val="12년_CF(9월)12"/>
      <sheetName val="중기조종사_단위단가12"/>
      <sheetName val="6PILE__(돌출)12"/>
      <sheetName val="기성청구_공문12"/>
      <sheetName val="Sheet1_(2)12"/>
      <sheetName val="CLASIFICACION_DE_AI12"/>
      <sheetName val="Base_da_Datos12"/>
      <sheetName val="slide_24_cat_A12"/>
      <sheetName val="slide_82_cat_b12"/>
      <sheetName val="Dados_dos_Produtos12"/>
      <sheetName val="09~10년_매출계획12"/>
      <sheetName val="1_MDF1공장12"/>
      <sheetName val="Incident_유형구분표12"/>
      <sheetName val="3YP2016-Bottom_up11"/>
      <sheetName val="DD_list12"/>
      <sheetName val="Base_de_Datos11"/>
      <sheetName val="Clasif_11"/>
      <sheetName val="Supply_Cost_Centers11"/>
      <sheetName val="Cond__Inseguros11"/>
      <sheetName val="Comp__Inseguros11"/>
      <sheetName val="Lista_de_datos11"/>
      <sheetName val="MASTER_APP11"/>
      <sheetName val="2_카드채권(대출포함)11"/>
      <sheetName val="表21_净利润调节表11"/>
      <sheetName val="Lista_CI11"/>
      <sheetName val="Dashboard_Prevención_Riesgos_10"/>
      <sheetName val="TOP_KPIs_MTM10"/>
      <sheetName val="PLAN_DE_ACCION10"/>
      <sheetName val="Faro_de_Indicadores10"/>
      <sheetName val="Farol_Acciones11"/>
      <sheetName val="Lista_de_Entrenamientos11"/>
      <sheetName val="Unidades_SAC-REVENDA12"/>
      <sheetName val="FornecM_Check10"/>
      <sheetName val="Share_Price_200211"/>
      <sheetName val="_DD_List11"/>
      <sheetName val="BEP_加薪_KPI10"/>
      <sheetName val="Estratificación_AI10"/>
      <sheetName val="condicion_inseguras10"/>
      <sheetName val="Actos_Inseguros10"/>
      <sheetName val="Control_de_incidentes10"/>
      <sheetName val="Plan_de_Acción10"/>
      <sheetName val="Issues_List_Payments10"/>
      <sheetName val="do_not_delete10"/>
      <sheetName val="Grafica_Actos10"/>
      <sheetName val="APAC_S10"/>
      <sheetName val="APAC_N10"/>
      <sheetName val="Slide_output10"/>
      <sheetName val="[손익기01_XL??DePara10"/>
      <sheetName val="Farol_Metas10"/>
      <sheetName val="Mod_Relac_10"/>
      <sheetName val="Condiciones_SyE10"/>
      <sheetName val="REALxMETA_-_CERVEJA12"/>
      <sheetName val="REALxMETA_-_REFRI12"/>
      <sheetName val="Directrices_de_Metas_201710"/>
      <sheetName val="Data_validation10"/>
      <sheetName val="_손익기01_XL_x005f_x005f_x005f_x0000__x005f_x005f_10"/>
      <sheetName val="Hazards_Analysis-隐患分析10"/>
      <sheetName val="F08_-_Asia_Pac_Full_Year_Q311"/>
      <sheetName val="Top_Priorities11"/>
      <sheetName val="Listco_Stock11"/>
      <sheetName val="Intl_Purchase11"/>
      <sheetName val="FY_outlook11"/>
      <sheetName val="CY_outlook11"/>
      <sheetName val="Cash_metrics11"/>
      <sheetName val="P6_711"/>
      <sheetName val="DATOS_BASE10"/>
      <sheetName val="97_사업추정(WEKI)10"/>
      <sheetName val="Tong_hop10"/>
      <sheetName val="95_1_1이후취득자산(숨기기상태)10"/>
      <sheetName val="sum1_(2)10"/>
      <sheetName val="3_바닥판설계10"/>
      <sheetName val="6월_공정외주10"/>
      <sheetName val="2_대외공문10"/>
      <sheetName val="2_총괄표10"/>
      <sheetName val="입출재고현황_(2)10"/>
      <sheetName val="504전기실_동부하-L10"/>
      <sheetName val="OUTER_AREA(겹침없음)10"/>
      <sheetName val="EL_표면적10"/>
      <sheetName val="TRE_TABLE10"/>
      <sheetName val="입찰내역_발주처_양식10"/>
      <sheetName val="POC_LIST10"/>
      <sheetName val="turnover_reason퇴직사유10"/>
      <sheetName val="SKU_Basic_Data10"/>
      <sheetName val="Entity_Target10"/>
      <sheetName val="DETALLE_MENSUAL10"/>
      <sheetName val="Drop-down_List9"/>
      <sheetName val="by_DD9"/>
      <sheetName val="VALIDACION_DE_DATOS9"/>
      <sheetName val="Jul-Sep_Actual_cost_(2)9"/>
      <sheetName val="Check_Qualidade8"/>
      <sheetName val="De_Para9"/>
      <sheetName val="Check_Aderencia8"/>
      <sheetName val="_손익기01_XL_x005f_x0000__x08"/>
      <sheetName val="부재료_비교(11년_vs_10년)8"/>
      <sheetName val="Base_Farol8"/>
      <sheetName val="Gerencial_IL8"/>
      <sheetName val="Ventas_Campo8"/>
      <sheetName val="ACTOS_POR_RIESGO8"/>
      <sheetName val="drop_lists8"/>
      <sheetName val="MRL_NON_SUPPLY_URU8"/>
      <sheetName val="AIIM_-_Empresas_Ext_20128"/>
      <sheetName val="KPIs_Hana8"/>
      <sheetName val="Catalago_de_refacciones_8"/>
      <sheetName val="Existencias_al_07-Nov-20128"/>
      <sheetName val="Check_GG8"/>
      <sheetName val="Sheet3_(2)8"/>
      <sheetName val="Nombre_de_SOP8"/>
      <sheetName val="Lao_&amp;_Cam8"/>
      <sheetName val="Hoegaarden_20198"/>
      <sheetName val="Lao_&amp;_Cam_20198"/>
      <sheetName val="Malaysia_20198"/>
      <sheetName val="Singapore_20198"/>
      <sheetName val="Sheet2_(2)8"/>
      <sheetName val="요일_테이블_8"/>
      <sheetName val="Other_Listings8"/>
      <sheetName val="2__Indicadores8"/>
      <sheetName val="Ta_8"/>
      <sheetName val="Lista_de_Entrenamientos_RSO8"/>
      <sheetName val="Tablero_SDG11"/>
      <sheetName val="Lista_Areas11"/>
      <sheetName val="One_Page11"/>
      <sheetName val="Sub-Productos_HN9"/>
      <sheetName val="Eficiencia_linea8"/>
      <sheetName val="_mngt_Pillar8"/>
      <sheetName val="Pauta_RPS_Distribuição7"/>
      <sheetName val="Estoque_(2)7"/>
      <sheetName val="BNR_2012_в_ящике7"/>
      <sheetName val="Comp_Inseguros7"/>
      <sheetName val="DO_NOT_MOVE7"/>
      <sheetName val="DATOS_DE_VALIDACIÓN7"/>
      <sheetName val="Datos_con7"/>
      <sheetName val="_Datos_Cond_7"/>
      <sheetName val="INGRESO_(2)7"/>
      <sheetName val="PG-K1610_(UEN_Areas)MNG7"/>
      <sheetName val="DATOS_GEN_7"/>
      <sheetName val="NUEVOS_CRITERIOS7"/>
      <sheetName val="Condiciones_Agua7"/>
      <sheetName val="__한국_AMP_ASP-23_판㧤가격__6"/>
      <sheetName val="11_䡸화채무줝ⴌ(AFS,HTM)086"/>
      <sheetName val="Drop_list6"/>
      <sheetName val="FX_Rates6"/>
      <sheetName val="Dropdown_list6"/>
      <sheetName val="Vagas_x_Candidatos6"/>
      <sheetName val="Proced_6"/>
      <sheetName val="Cut_Machine_Summary6"/>
      <sheetName val="Control_de_Fallas6"/>
      <sheetName val="Setup_for_Templates6"/>
      <sheetName val="Datos_emp6"/>
      <sheetName val="Validation_lists6"/>
      <sheetName val="TIPO_DE_ACTO6"/>
      <sheetName val="CRITICIDAD_DE_CI6"/>
      <sheetName val="Catálogo_de_CI6"/>
      <sheetName val="%_CUMPLIMIENTO6"/>
      <sheetName val="%_cumplimiento_6"/>
      <sheetName val="CALIFICACIONES_20194"/>
      <sheetName val="Lev_4_360_deg_check_Crit_Task4"/>
      <sheetName val="Lev_4_Chk_IC_Stock_Crit_Task4"/>
      <sheetName val="Lev_4_WMS_Putaway_Crit_Task4"/>
      <sheetName val="Listas_y_equipos_a_evaluar6"/>
      <sheetName val="Data_Reporte6"/>
      <sheetName val="Read_me6"/>
      <sheetName val="NAZ_Strategy4"/>
      <sheetName val="Champions_List5"/>
      <sheetName val="Daily_Dashboard6"/>
      <sheetName val="Mapeo_SKUs6"/>
      <sheetName val="Vol_(Ds)6"/>
      <sheetName val="Vol_(Ka)6"/>
      <sheetName val="Vol_(Oth)6"/>
      <sheetName val="Vol_(Oth)_Cortesias6"/>
      <sheetName val="INPUT-Cust_Sugg_Margin(Ds)6"/>
      <sheetName val="On_Invoice6"/>
      <sheetName val="INPUT-Cust_Sugg_Margin(Ka)6"/>
      <sheetName val="INPUT_SKUs6"/>
      <sheetName val="Brand_P&amp;L4"/>
      <sheetName val="SUPERMONT_P4"/>
      <sheetName val="Data_selection4"/>
      <sheetName val="1_4"/>
      <sheetName val="Customer_&amp;_SO4"/>
      <sheetName val="Session_Proposal4"/>
      <sheetName val="Análise_Tempos3"/>
      <sheetName val="Incentivo_Automóvil3"/>
      <sheetName val="Dropdown_Menu2"/>
      <sheetName val="PDA_BOP3"/>
      <sheetName val="Validação_de_Dados3"/>
      <sheetName val="No_llenar_3"/>
      <sheetName val="PROCESS_MD3"/>
      <sheetName val="Lista_de_Motivos3"/>
      <sheetName val="Ponto_Crítico_-_Resp__Plano3"/>
      <sheetName val="Lista_Funcionários_(2)3"/>
      <sheetName val="PAINEL_RECOLHA_CRÉDITO3"/>
      <sheetName val="Gráficos_-_CDD3"/>
      <sheetName val="Project_List2"/>
      <sheetName val="Выпадающие_списки2"/>
      <sheetName val="SOP_Freshness1"/>
      <sheetName val="Dimension_IN_Sheet1!D19121"/>
      <sheetName val="Dimension_IN_19121"/>
      <sheetName val="辅助表格"/>
      <sheetName val="10 麦汁CIP清洗标准水量"/>
      <sheetName val="BU"/>
      <sheetName val="Tipo Viaje"/>
      <sheetName val="Flota y Personal"/>
      <sheetName val="_손익기01_XL_x0000__x4"/>
      <sheetName val="_손익기01_XL_x0000__x5"/>
      <sheetName val="_손익기01_XL_x0000__x6"/>
      <sheetName val="_손익기01_XL_x0000__x7"/>
      <sheetName val="SAP info"/>
      <sheetName val="Target Book"/>
      <sheetName val="后台"/>
      <sheetName val="AL来源"/>
      <sheetName val="Name List"/>
      <sheetName val="Ref_New Contract Model"/>
      <sheetName val="Dec"/>
      <sheetName val="리스트용"/>
      <sheetName val="Mapeo_SKUs7"/>
      <sheetName val="Vol_(Ds)7"/>
      <sheetName val="Vol_(Ka)7"/>
      <sheetName val="Vol_(Oth)7"/>
      <sheetName val="Vol_(Oth)_Cortesias7"/>
      <sheetName val="INPUT-Cust_Sugg_Margin(Ds)7"/>
      <sheetName val="On_Invoice7"/>
      <sheetName val="INPUT-Cust_Sugg_Margin(Ka)7"/>
      <sheetName val="INPUT_SKUs7"/>
      <sheetName val="SUPERMONT_P5"/>
      <sheetName val="3__Training_&amp;_travel2"/>
      <sheetName val="3__Training_&amp;_travel1"/>
      <sheetName val="Mapeo_SKUs8"/>
      <sheetName val="Vol_(Ds)8"/>
      <sheetName val="Vol_(Ka)8"/>
      <sheetName val="Vol_(Oth)8"/>
      <sheetName val="Vol_(Oth)_Cortesias8"/>
      <sheetName val="INPUT-Cust_Sugg_Margin(Ds)8"/>
      <sheetName val="On_Invoice8"/>
      <sheetName val="INPUT-Cust_Sugg_Margin(Ka)8"/>
      <sheetName val="INPUT_SKUs8"/>
      <sheetName val="Brand_P&amp;L5"/>
      <sheetName val="SUPERMONT_P6"/>
      <sheetName val="3__Training_&amp;_travel3"/>
      <sheetName val="DIAGEO VENTURE"/>
      <sheetName val="Mapeo_SKUs9"/>
      <sheetName val="Vol_(Ds)9"/>
      <sheetName val="Vol_(Ka)9"/>
      <sheetName val="Vol_(Oth)9"/>
      <sheetName val="Vol_(Oth)_Cortesias9"/>
      <sheetName val="INPUT-Cust_Sugg_Margin(Ds)9"/>
      <sheetName val="On_Invoice9"/>
      <sheetName val="INPUT-Cust_Sugg_Margin(Ka)9"/>
      <sheetName val="INPUT_SKUs9"/>
      <sheetName val="Brand_P&amp;L6"/>
      <sheetName val="SUPERMONT_P7"/>
      <sheetName val="Data_selection5"/>
      <sheetName val="1_5"/>
      <sheetName val="3__Training_&amp;_travel4"/>
      <sheetName val="MAESTRO CODIGOS"/>
      <sheetName val="Por regional"/>
      <sheetName val="Por Proveedor"/>
      <sheetName val="X Categoria"/>
      <sheetName val="Por Vendedor"/>
      <sheetName val="Por Mayoristas"/>
      <sheetName val="Por Cliente"/>
      <sheetName val="Por producto"/>
      <sheetName val="Por producto cant."/>
      <sheetName val="Por producto cant. (2)"/>
      <sheetName val="Por Vendedor X Ciudad"/>
      <sheetName val="Act por cliente"/>
      <sheetName val="Act por Proveedor"/>
      <sheetName val="Act por producto"/>
      <sheetName val="Essbase"/>
      <sheetName val="제조원가_원단ၒ_x0000__x0000__x0000_"/>
      <sheetName val="제조원가_원단_x0000_좏_x0000__x0000_"/>
      <sheetName val="제조원가_원단_x0000_泀_x0000__x0000_"/>
      <sheetName val="제조원가_원단_x0010__x0000_༘֜"/>
      <sheetName val="제조원가_원단_x0000_ī_x0000_"/>
      <sheetName val="P-J"/>
      <sheetName val="방배2E"/>
      <sheetName val="sum "/>
      <sheetName val="선택옵션"/>
      <sheetName val="옵션"/>
      <sheetName val="CriteriaUpdate"/>
      <sheetName val="주간남10대순위1"/>
      <sheetName val="주간여30대순위1"/>
      <sheetName val="건강_미결"/>
      <sheetName val="부가가치"/>
      <sheetName val="2021 KPI_SD (대표이사)"/>
      <sheetName val="Noncurrent assets"/>
      <sheetName val="2장(1사업부)ERP"/>
      <sheetName val="2014"/>
      <sheetName val="2018"/>
      <sheetName val="504전기실__x0000_Ԁ_x0000_"/>
      <sheetName val="504전기실__x0000_Ԁ_x0000_က"/>
      <sheetName val="inter"/>
      <sheetName val="UPA(Part C,D,E,G,H)"/>
      <sheetName val="UPA(Part F)"/>
      <sheetName val="Materials"/>
      <sheetName val="일위대가 (Part C,D,E,G,H)"/>
      <sheetName val="Insulation_Utl_Off"/>
      <sheetName val="Note_Piping"/>
      <sheetName val="1_종합손익(주택,绘ÿ헾⽊"/>
      <sheetName val="합산목표(감가+5"/>
      <sheetName val="CO"/>
      <sheetName val="표준공사비-조명제외x10%up"/>
      <sheetName val="추정99"/>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sheetData sheetId="1219" refreshError="1"/>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sheetData sheetId="1448" refreshError="1"/>
      <sheetData sheetId="1449" refreshError="1"/>
      <sheetData sheetId="1450"/>
      <sheetData sheetId="145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refreshError="1"/>
      <sheetData sheetId="2439" refreshError="1"/>
      <sheetData sheetId="2440" refreshError="1"/>
      <sheetData sheetId="2441" refreshError="1"/>
      <sheetData sheetId="2442" refreshError="1"/>
      <sheetData sheetId="2443" refreshError="1"/>
      <sheetData sheetId="2444" refreshError="1"/>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refreshError="1"/>
      <sheetData sheetId="2770" refreshError="1"/>
      <sheetData sheetId="2771" refreshError="1"/>
      <sheetData sheetId="2772" refreshError="1"/>
      <sheetData sheetId="2773"/>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sheetData sheetId="2814"/>
      <sheetData sheetId="2815"/>
      <sheetData sheetId="2816"/>
      <sheetData sheetId="2817"/>
      <sheetData sheetId="2818"/>
      <sheetData sheetId="2819"/>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sheetData sheetId="2886" refreshError="1"/>
      <sheetData sheetId="2887" refreshError="1"/>
      <sheetData sheetId="2888" refreshError="1"/>
      <sheetData sheetId="2889" refreshError="1"/>
      <sheetData sheetId="2890"/>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sheetData sheetId="3372"/>
      <sheetData sheetId="3373"/>
      <sheetData sheetId="3374"/>
      <sheetData sheetId="3375"/>
      <sheetData sheetId="3376"/>
      <sheetData sheetId="3377"/>
      <sheetData sheetId="3378"/>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refreshError="1"/>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refreshError="1"/>
      <sheetData sheetId="3476" refreshError="1"/>
      <sheetData sheetId="3477" refreshError="1"/>
      <sheetData sheetId="3478" refreshError="1"/>
      <sheetData sheetId="3479" refreshError="1"/>
      <sheetData sheetId="3480" refreshError="1"/>
      <sheetData sheetId="3481" refreshError="1"/>
      <sheetData sheetId="3482"/>
      <sheetData sheetId="3483"/>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sheetData sheetId="3495"/>
      <sheetData sheetId="3496"/>
      <sheetData sheetId="3497"/>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sheetData sheetId="4159"/>
      <sheetData sheetId="4160"/>
      <sheetData sheetId="4161"/>
      <sheetData sheetId="4162"/>
      <sheetData sheetId="4163"/>
      <sheetData sheetId="4164"/>
      <sheetData sheetId="4165"/>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sheetData sheetId="4178"/>
      <sheetData sheetId="4179"/>
      <sheetData sheetId="4180" refreshError="1"/>
      <sheetData sheetId="4181" refreshError="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refreshError="1"/>
      <sheetData sheetId="4380" refreshError="1"/>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refreshError="1"/>
      <sheetData sheetId="4484" refreshError="1"/>
      <sheetData sheetId="4485" refreshError="1"/>
      <sheetData sheetId="4486" refreshError="1"/>
      <sheetData sheetId="4487"/>
      <sheetData sheetId="4488"/>
      <sheetData sheetId="4489"/>
      <sheetData sheetId="4490"/>
      <sheetData sheetId="4491"/>
      <sheetData sheetId="4492"/>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refreshError="1"/>
      <sheetData sheetId="4554" refreshError="1"/>
      <sheetData sheetId="4555" refreshError="1"/>
      <sheetData sheetId="4556" refreshError="1"/>
      <sheetData sheetId="4557" refreshError="1"/>
      <sheetData sheetId="4558"/>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refreshError="1"/>
      <sheetData sheetId="4897" refreshError="1"/>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refreshError="1"/>
      <sheetData sheetId="5226" refreshError="1"/>
      <sheetData sheetId="5227" refreshError="1"/>
      <sheetData sheetId="5228"/>
      <sheetData sheetId="5229"/>
      <sheetData sheetId="5230"/>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sheetData sheetId="5258"/>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sheetData sheetId="5274"/>
      <sheetData sheetId="5275"/>
      <sheetData sheetId="5276"/>
      <sheetData sheetId="5277"/>
      <sheetData sheetId="5278"/>
      <sheetData sheetId="5279"/>
      <sheetData sheetId="5280"/>
      <sheetData sheetId="5281"/>
      <sheetData sheetId="5282"/>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sheetData sheetId="5444"/>
      <sheetData sheetId="5445"/>
      <sheetData sheetId="5446"/>
      <sheetData sheetId="5447"/>
      <sheetData sheetId="5448"/>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refreshError="1"/>
      <sheetData sheetId="5564" refreshError="1"/>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refreshError="1"/>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sheetData sheetId="5687"/>
      <sheetData sheetId="5688" refreshError="1"/>
      <sheetData sheetId="5689" refreshError="1"/>
      <sheetData sheetId="5690" refreshError="1"/>
      <sheetData sheetId="5691" refreshError="1"/>
      <sheetData sheetId="5692" refreshError="1"/>
      <sheetData sheetId="5693"/>
      <sheetData sheetId="5694" refreshError="1"/>
      <sheetData sheetId="5695"/>
      <sheetData sheetId="5696" refreshError="1"/>
      <sheetData sheetId="5697"/>
      <sheetData sheetId="5698" refreshError="1"/>
      <sheetData sheetId="5699" refreshError="1"/>
      <sheetData sheetId="5700" refreshError="1"/>
      <sheetData sheetId="5701" refreshError="1"/>
      <sheetData sheetId="5702" refreshError="1"/>
      <sheetData sheetId="5703" refreshError="1"/>
      <sheetData sheetId="5704" refreshError="1"/>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sheetData sheetId="5737" refreshError="1"/>
      <sheetData sheetId="5738" refreshError="1"/>
      <sheetData sheetId="5739" refreshError="1"/>
      <sheetData sheetId="5740"/>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sheetData sheetId="6072" refreshError="1"/>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sheetData sheetId="6512"/>
      <sheetData sheetId="6513"/>
      <sheetData sheetId="6514"/>
      <sheetData sheetId="6515"/>
      <sheetData sheetId="6516"/>
      <sheetData sheetId="6517"/>
      <sheetData sheetId="6518"/>
      <sheetData sheetId="6519"/>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refreshError="1"/>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refreshError="1"/>
      <sheetData sheetId="6857" refreshError="1"/>
      <sheetData sheetId="6858" refreshError="1"/>
      <sheetData sheetId="6859" refreshError="1"/>
      <sheetData sheetId="6860" refreshError="1"/>
      <sheetData sheetId="6861"/>
      <sheetData sheetId="6862"/>
      <sheetData sheetId="6863"/>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sheetData sheetId="6874"/>
      <sheetData sheetId="6875"/>
      <sheetData sheetId="6876"/>
      <sheetData sheetId="6877"/>
      <sheetData sheetId="6878"/>
      <sheetData sheetId="6879"/>
      <sheetData sheetId="6880"/>
      <sheetData sheetId="6881"/>
      <sheetData sheetId="6882" refreshError="1"/>
      <sheetData sheetId="6883" refreshError="1"/>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refreshError="1"/>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물대장상 면적"/>
      <sheetName val="Rent comp2"/>
      <sheetName val="Dash Board"/>
      <sheetName val="CF"/>
      <sheetName val="Rent Roll-무시"/>
      <sheetName val="Sheet1"/>
      <sheetName val="Sheet1 (2)"/>
      <sheetName val="기본가정"/>
      <sheetName val="Macro!"/>
      <sheetName val="Sim"/>
      <sheetName val="목표세부명세"/>
    </sheetNames>
    <sheetDataSet>
      <sheetData sheetId="0"/>
      <sheetData sheetId="1"/>
      <sheetData sheetId="2">
        <row r="26">
          <cell r="P26">
            <v>0.03</v>
          </cell>
        </row>
      </sheetData>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
      <sheetName val="쌍용정산미수금"/>
      <sheetName val="미수수익"/>
      <sheetName val="양수도"/>
      <sheetName val="사채상환채무"/>
      <sheetName val="단퇴예치금"/>
      <sheetName val="외상매입금"/>
      <sheetName val="단기차입금"/>
      <sheetName val="외화단기차입금"/>
      <sheetName val="외화미지급금"/>
      <sheetName val="미지급비용2"/>
      <sheetName val="미지급비용"/>
      <sheetName val="유동성"/>
      <sheetName val="사채"/>
      <sheetName val="장기차입금"/>
      <sheetName val="외화장기차입금"/>
      <sheetName val="2.대외공문"/>
      <sheetName val="요인분석"/>
      <sheetName val="해외출자현황(원본틀)"/>
      <sheetName val="누PL"/>
      <sheetName val="9909자금팀계정명세"/>
      <sheetName val="BS"/>
      <sheetName val="BS(2006.09.30)전년대비 (2)"/>
      <sheetName val="적용환율"/>
      <sheetName val="95WBS"/>
      <sheetName val="Code"/>
      <sheetName val="dso-WS"/>
      <sheetName val="손익계산서"/>
      <sheetName val="대차대조표"/>
      <sheetName val="재고자산명세"/>
      <sheetName val="이름"/>
      <sheetName val="건물"/>
      <sheetName val="폐토수익화 "/>
      <sheetName val="조정명세서"/>
      <sheetName val="Start"/>
    </sheetNames>
    <sheetDataSet>
      <sheetData sheetId="0" refreshError="1">
        <row r="8">
          <cell r="C8">
            <v>1207.8</v>
          </cell>
        </row>
        <row r="11">
          <cell r="C11">
            <v>1272.52806983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sheetName val="Oct－０３ VR"/>
      <sheetName val="Actual"/>
      <sheetName val="Budget"/>
      <sheetName val="RentRoll"/>
      <sheetName val="RentRoll (2)"/>
      <sheetName val="Stacking Plan"/>
      <sheetName val="Sheet2"/>
      <sheetName val="공정"/>
      <sheetName val="Shinjuku#2 10-03 Executive Summ"/>
      <sheetName val="Master List and Strats"/>
      <sheetName val="Dash Board"/>
      <sheetName val="Rent Roll"/>
      <sheetName val="入居者属性"/>
      <sheetName val="CX　NG"/>
      <sheetName val="全体の流れ"/>
      <sheetName val="Macro Codes"/>
      <sheetName val="Input"/>
      <sheetName val="노무비"/>
    </sheetNames>
    <sheetDataSet>
      <sheetData sheetId="0"/>
      <sheetData sheetId="1"/>
      <sheetData sheetId="2"/>
      <sheetData sheetId="3" refreshError="1">
        <row r="4">
          <cell r="A4" t="str">
            <v>12 Month Budget Spread</v>
          </cell>
        </row>
        <row r="5">
          <cell r="A5" t="str">
            <v>予算計画月次詳細</v>
          </cell>
        </row>
        <row r="6">
          <cell r="A6" t="str">
            <v/>
          </cell>
          <cell r="Q6" t="str">
            <v>Tsubo</v>
          </cell>
        </row>
        <row r="8">
          <cell r="A8" t="str">
            <v>Acct#</v>
          </cell>
          <cell r="B8" t="str">
            <v>Description</v>
          </cell>
          <cell r="C8" t="str">
            <v>項目</v>
          </cell>
          <cell r="D8" t="str">
            <v>Apr</v>
          </cell>
          <cell r="E8" t="str">
            <v>May</v>
          </cell>
          <cell r="F8" t="str">
            <v>Jun</v>
          </cell>
          <cell r="G8" t="str">
            <v>Jul</v>
          </cell>
          <cell r="H8" t="str">
            <v>Aug</v>
          </cell>
          <cell r="I8" t="str">
            <v>Sep</v>
          </cell>
          <cell r="J8" t="str">
            <v>Oct</v>
          </cell>
          <cell r="K8" t="str">
            <v>Nov</v>
          </cell>
          <cell r="L8" t="str">
            <v>Dec</v>
          </cell>
          <cell r="M8" t="str">
            <v>Jan</v>
          </cell>
          <cell r="N8" t="str">
            <v>Feb</v>
          </cell>
          <cell r="O8" t="str">
            <v>Mar</v>
          </cell>
          <cell r="P8" t="str">
            <v>Total</v>
          </cell>
          <cell r="Q8" t="str">
            <v>Yen/tsubo</v>
          </cell>
        </row>
        <row r="9">
          <cell r="D9" t="str">
            <v>4月</v>
          </cell>
          <cell r="E9" t="str">
            <v>5月</v>
          </cell>
          <cell r="F9" t="str">
            <v>6月</v>
          </cell>
          <cell r="G9" t="str">
            <v>7月</v>
          </cell>
          <cell r="H9" t="str">
            <v>8月</v>
          </cell>
          <cell r="I9" t="str">
            <v>9月</v>
          </cell>
          <cell r="J9" t="str">
            <v>10月</v>
          </cell>
          <cell r="K9" t="str">
            <v>11月</v>
          </cell>
          <cell r="L9" t="str">
            <v>12月</v>
          </cell>
          <cell r="M9" t="str">
            <v>1月</v>
          </cell>
          <cell r="N9" t="str">
            <v>2月</v>
          </cell>
          <cell r="O9" t="str">
            <v>3月</v>
          </cell>
          <cell r="P9" t="str">
            <v>合計</v>
          </cell>
          <cell r="Q9" t="str">
            <v>￥/坪</v>
          </cell>
        </row>
        <row r="11">
          <cell r="A11">
            <v>30107</v>
          </cell>
          <cell r="B11" t="str">
            <v>Residential Rent</v>
          </cell>
          <cell r="C11" t="str">
            <v>住宅賃料</v>
          </cell>
          <cell r="D11">
            <v>0</v>
          </cell>
          <cell r="E11">
            <v>0</v>
          </cell>
          <cell r="F11">
            <v>0</v>
          </cell>
          <cell r="G11">
            <v>1124387.0967741932</v>
          </cell>
          <cell r="H11">
            <v>4357000</v>
          </cell>
          <cell r="I11">
            <v>4246000</v>
          </cell>
          <cell r="J11">
            <v>4347000</v>
          </cell>
          <cell r="K11">
            <v>4488000</v>
          </cell>
          <cell r="L11">
            <v>4491000</v>
          </cell>
          <cell r="M11">
            <v>4491000</v>
          </cell>
          <cell r="N11">
            <v>4490000</v>
          </cell>
          <cell r="O11">
            <v>4499000</v>
          </cell>
          <cell r="P11">
            <v>36533387.096774191</v>
          </cell>
          <cell r="Q11">
            <v>118261.6441045391</v>
          </cell>
        </row>
        <row r="12">
          <cell r="A12" t="str">
            <v>30305</v>
          </cell>
          <cell r="B12" t="str">
            <v>Parking</v>
          </cell>
          <cell r="C12" t="str">
            <v>駐輪場・バイク置き場賃料</v>
          </cell>
          <cell r="D12">
            <v>0</v>
          </cell>
          <cell r="E12">
            <v>0</v>
          </cell>
          <cell r="F12">
            <v>0</v>
          </cell>
          <cell r="G12">
            <v>0</v>
          </cell>
          <cell r="H12">
            <v>0</v>
          </cell>
          <cell r="I12">
            <v>0</v>
          </cell>
          <cell r="J12">
            <v>0</v>
          </cell>
          <cell r="K12">
            <v>60000</v>
          </cell>
          <cell r="L12">
            <v>60000</v>
          </cell>
          <cell r="M12">
            <v>60000</v>
          </cell>
          <cell r="N12">
            <v>60000</v>
          </cell>
          <cell r="O12">
            <v>60000</v>
          </cell>
          <cell r="P12">
            <v>300000</v>
          </cell>
          <cell r="Q12">
            <v>971.12521041046296</v>
          </cell>
        </row>
        <row r="13">
          <cell r="B13" t="str">
            <v>Total Rental Revenue</v>
          </cell>
          <cell r="C13" t="str">
            <v>賃貸収入計</v>
          </cell>
          <cell r="D13">
            <v>0</v>
          </cell>
          <cell r="E13">
            <v>0</v>
          </cell>
          <cell r="F13">
            <v>0</v>
          </cell>
          <cell r="G13">
            <v>1124387.0967741932</v>
          </cell>
          <cell r="H13">
            <v>4357000</v>
          </cell>
          <cell r="I13">
            <v>4246000</v>
          </cell>
          <cell r="J13">
            <v>4347000</v>
          </cell>
          <cell r="K13">
            <v>4548000</v>
          </cell>
          <cell r="L13">
            <v>4551000</v>
          </cell>
          <cell r="M13">
            <v>4551000</v>
          </cell>
          <cell r="N13">
            <v>4550000</v>
          </cell>
          <cell r="O13">
            <v>4559000</v>
          </cell>
          <cell r="P13">
            <v>36833387.096774191</v>
          </cell>
          <cell r="Q13">
            <v>119232.76931494956</v>
          </cell>
        </row>
        <row r="15">
          <cell r="B15" t="str">
            <v xml:space="preserve">% leased </v>
          </cell>
          <cell r="C15" t="str">
            <v>入居率（事務所+住居）</v>
          </cell>
          <cell r="D15">
            <v>0</v>
          </cell>
          <cell r="E15">
            <v>0</v>
          </cell>
          <cell r="F15">
            <v>0</v>
          </cell>
          <cell r="G15">
            <v>0.92612302394740964</v>
          </cell>
          <cell r="H15">
            <v>0.92612302394740964</v>
          </cell>
          <cell r="I15">
            <v>0.90374080450774774</v>
          </cell>
          <cell r="J15">
            <v>0.9240882767256221</v>
          </cell>
          <cell r="K15">
            <v>0.95085302864298016</v>
          </cell>
          <cell r="L15">
            <v>0.95069650962591956</v>
          </cell>
          <cell r="M15">
            <v>0.95069650962591956</v>
          </cell>
          <cell r="N15">
            <v>0.95069650962591956</v>
          </cell>
          <cell r="O15">
            <v>0.95304429488182818</v>
          </cell>
        </row>
        <row r="17">
          <cell r="A17">
            <v>30315</v>
          </cell>
          <cell r="B17" t="str">
            <v>Vending / Sign / Others</v>
          </cell>
          <cell r="C17" t="str">
            <v>自販機・看板・その他</v>
          </cell>
          <cell r="D17">
            <v>0</v>
          </cell>
          <cell r="E17">
            <v>0</v>
          </cell>
          <cell r="F17">
            <v>0</v>
          </cell>
          <cell r="G17">
            <v>2900</v>
          </cell>
          <cell r="H17">
            <v>10000</v>
          </cell>
          <cell r="I17">
            <v>10000</v>
          </cell>
          <cell r="J17">
            <v>10000</v>
          </cell>
          <cell r="K17">
            <v>10000</v>
          </cell>
          <cell r="L17">
            <v>10000</v>
          </cell>
          <cell r="M17">
            <v>10000</v>
          </cell>
          <cell r="N17">
            <v>10000</v>
          </cell>
          <cell r="O17">
            <v>10000</v>
          </cell>
          <cell r="P17">
            <v>82900</v>
          </cell>
        </row>
        <row r="18">
          <cell r="A18">
            <v>30380</v>
          </cell>
          <cell r="B18" t="str">
            <v>Miscellaneous Revenue</v>
          </cell>
          <cell r="C18" t="str">
            <v>雑収入</v>
          </cell>
          <cell r="D18">
            <v>0</v>
          </cell>
          <cell r="E18">
            <v>0</v>
          </cell>
          <cell r="F18">
            <v>0</v>
          </cell>
          <cell r="G18">
            <v>0</v>
          </cell>
          <cell r="H18">
            <v>0</v>
          </cell>
          <cell r="I18">
            <v>0</v>
          </cell>
          <cell r="J18">
            <v>460000</v>
          </cell>
          <cell r="K18">
            <v>494000</v>
          </cell>
          <cell r="L18">
            <v>0</v>
          </cell>
          <cell r="M18">
            <v>0</v>
          </cell>
          <cell r="N18">
            <v>212000</v>
          </cell>
          <cell r="O18">
            <v>0</v>
          </cell>
          <cell r="P18">
            <v>1166000</v>
          </cell>
          <cell r="Q18">
            <v>3774.4399844619993</v>
          </cell>
        </row>
        <row r="19">
          <cell r="B19" t="str">
            <v>Total Miscellaneous Revenue</v>
          </cell>
          <cell r="C19" t="str">
            <v>雑収入計</v>
          </cell>
          <cell r="D19">
            <v>0</v>
          </cell>
          <cell r="E19">
            <v>0</v>
          </cell>
          <cell r="F19">
            <v>0</v>
          </cell>
          <cell r="G19">
            <v>2900</v>
          </cell>
          <cell r="H19">
            <v>10000</v>
          </cell>
          <cell r="I19">
            <v>10000</v>
          </cell>
          <cell r="J19">
            <v>470000</v>
          </cell>
          <cell r="K19">
            <v>504000</v>
          </cell>
          <cell r="L19">
            <v>10000</v>
          </cell>
          <cell r="M19">
            <v>10000</v>
          </cell>
          <cell r="N19">
            <v>222000</v>
          </cell>
          <cell r="O19">
            <v>10000</v>
          </cell>
          <cell r="P19">
            <v>1248900</v>
          </cell>
          <cell r="Q19">
            <v>3774.4399844619993</v>
          </cell>
        </row>
        <row r="22">
          <cell r="B22" t="str">
            <v xml:space="preserve">  TOTAL REVENUE/RECEIPTS</v>
          </cell>
          <cell r="C22" t="str">
            <v>総収入</v>
          </cell>
          <cell r="D22">
            <v>0</v>
          </cell>
          <cell r="E22">
            <v>0</v>
          </cell>
          <cell r="F22">
            <v>0</v>
          </cell>
          <cell r="G22">
            <v>1127287.0967741932</v>
          </cell>
          <cell r="H22">
            <v>4367000</v>
          </cell>
          <cell r="I22">
            <v>4256000</v>
          </cell>
          <cell r="J22">
            <v>4817000</v>
          </cell>
          <cell r="K22">
            <v>5052000</v>
          </cell>
          <cell r="L22">
            <v>4561000</v>
          </cell>
          <cell r="M22">
            <v>4561000</v>
          </cell>
          <cell r="N22">
            <v>4772000</v>
          </cell>
          <cell r="O22">
            <v>4569000</v>
          </cell>
          <cell r="P22">
            <v>38082287.096774191</v>
          </cell>
          <cell r="Q22">
            <v>123007.20929941157</v>
          </cell>
        </row>
        <row r="24">
          <cell r="A24">
            <v>40100</v>
          </cell>
          <cell r="B24" t="str">
            <v>Building Repair and Maintenance</v>
          </cell>
          <cell r="C24" t="str">
            <v>ビルメンテナンス費用</v>
          </cell>
          <cell r="D24" t="str">
            <v/>
          </cell>
          <cell r="E24">
            <v>0</v>
          </cell>
          <cell r="F24">
            <v>0</v>
          </cell>
          <cell r="G24">
            <v>13135.458084677417</v>
          </cell>
          <cell r="H24">
            <v>45244.355624999997</v>
          </cell>
          <cell r="I24">
            <v>45244.355624999997</v>
          </cell>
          <cell r="J24">
            <v>45244.355624999997</v>
          </cell>
          <cell r="K24">
            <v>45244.355624999997</v>
          </cell>
          <cell r="L24">
            <v>45244.355624999997</v>
          </cell>
          <cell r="M24">
            <v>45244.355624999997</v>
          </cell>
          <cell r="N24">
            <v>45244.355624999997</v>
          </cell>
          <cell r="O24">
            <v>45244.355624999997</v>
          </cell>
          <cell r="P24">
            <v>375090.30308467732</v>
          </cell>
          <cell r="Q24">
            <v>1214.1988316867719</v>
          </cell>
        </row>
        <row r="25">
          <cell r="A25" t="str">
            <v>40103</v>
          </cell>
          <cell r="B25" t="str">
            <v>Structural/Roof Repairs/Mtc.</v>
          </cell>
          <cell r="C25" t="str">
            <v>建物及び屋上ﾒﾝﾃﾅﾝｽ費用</v>
          </cell>
          <cell r="D25">
            <v>0</v>
          </cell>
          <cell r="E25">
            <v>0</v>
          </cell>
          <cell r="F25">
            <v>0</v>
          </cell>
          <cell r="G25">
            <v>0</v>
          </cell>
          <cell r="H25">
            <v>0</v>
          </cell>
          <cell r="I25">
            <v>0</v>
          </cell>
          <cell r="J25">
            <v>0</v>
          </cell>
          <cell r="K25">
            <v>0</v>
          </cell>
          <cell r="L25">
            <v>0</v>
          </cell>
          <cell r="M25">
            <v>0</v>
          </cell>
          <cell r="N25">
            <v>0</v>
          </cell>
          <cell r="O25">
            <v>0</v>
          </cell>
          <cell r="P25">
            <v>0</v>
          </cell>
          <cell r="Q25">
            <v>0</v>
          </cell>
        </row>
        <row r="26">
          <cell r="A26">
            <v>40110</v>
          </cell>
          <cell r="B26" t="str">
            <v>Interior Repair/Mtc.</v>
          </cell>
          <cell r="C26" t="str">
            <v>内部補修費用</v>
          </cell>
          <cell r="D26">
            <v>0</v>
          </cell>
          <cell r="E26">
            <v>0</v>
          </cell>
          <cell r="F26">
            <v>0</v>
          </cell>
          <cell r="G26">
            <v>50000</v>
          </cell>
          <cell r="H26">
            <v>50000</v>
          </cell>
          <cell r="I26">
            <v>50000</v>
          </cell>
          <cell r="J26">
            <v>50000</v>
          </cell>
          <cell r="K26">
            <v>150000</v>
          </cell>
          <cell r="L26">
            <v>150000</v>
          </cell>
          <cell r="M26">
            <v>50000</v>
          </cell>
          <cell r="N26">
            <v>150000</v>
          </cell>
          <cell r="O26">
            <v>150000</v>
          </cell>
          <cell r="P26">
            <v>850000</v>
          </cell>
          <cell r="Q26">
            <v>2751.5214294963116</v>
          </cell>
        </row>
        <row r="27">
          <cell r="A27" t="str">
            <v>40111</v>
          </cell>
          <cell r="B27" t="str">
            <v>Electrical Repairs/Mtc</v>
          </cell>
          <cell r="C27" t="str">
            <v>電気設備ﾒﾝﾃﾅﾝｽ費用</v>
          </cell>
          <cell r="D27" t="str">
            <v/>
          </cell>
          <cell r="E27">
            <v>0</v>
          </cell>
          <cell r="F27">
            <v>0</v>
          </cell>
          <cell r="G27">
            <v>0</v>
          </cell>
          <cell r="H27">
            <v>0</v>
          </cell>
          <cell r="I27">
            <v>0</v>
          </cell>
          <cell r="J27">
            <v>0</v>
          </cell>
          <cell r="K27">
            <v>0</v>
          </cell>
          <cell r="L27">
            <v>0</v>
          </cell>
          <cell r="M27">
            <v>0</v>
          </cell>
          <cell r="N27">
            <v>0</v>
          </cell>
          <cell r="O27">
            <v>0</v>
          </cell>
          <cell r="P27">
            <v>0</v>
          </cell>
          <cell r="Q27">
            <v>0</v>
          </cell>
        </row>
        <row r="28">
          <cell r="A28" t="str">
            <v>40112</v>
          </cell>
          <cell r="B28" t="str">
            <v>Plumbing Repairs/Mtc</v>
          </cell>
          <cell r="C28" t="str">
            <v>給排水ﾒﾝﾃﾅﾝｽ費用</v>
          </cell>
          <cell r="D28" t="str">
            <v/>
          </cell>
          <cell r="E28">
            <v>0</v>
          </cell>
          <cell r="F28">
            <v>0</v>
          </cell>
          <cell r="G28">
            <v>8727.2401209677428</v>
          </cell>
          <cell r="H28">
            <v>30060.493750000001</v>
          </cell>
          <cell r="I28">
            <v>30060.493750000001</v>
          </cell>
          <cell r="J28">
            <v>30060.493750000001</v>
          </cell>
          <cell r="K28">
            <v>30060.493750000001</v>
          </cell>
          <cell r="L28">
            <v>30060.493750000001</v>
          </cell>
          <cell r="M28">
            <v>30060.493750000001</v>
          </cell>
          <cell r="N28">
            <v>30060.493750000001</v>
          </cell>
          <cell r="O28">
            <v>30060.493750000001</v>
          </cell>
          <cell r="P28">
            <v>249211.19012096772</v>
          </cell>
          <cell r="Q28">
            <v>806.71756480955548</v>
          </cell>
        </row>
        <row r="29">
          <cell r="A29">
            <v>40120</v>
          </cell>
          <cell r="B29" t="str">
            <v>HVAC Supplies/Repairs</v>
          </cell>
          <cell r="C29" t="str">
            <v>空調補修費用</v>
          </cell>
          <cell r="D29">
            <v>0</v>
          </cell>
          <cell r="E29">
            <v>0</v>
          </cell>
          <cell r="F29">
            <v>0</v>
          </cell>
          <cell r="G29">
            <v>0</v>
          </cell>
          <cell r="H29">
            <v>0</v>
          </cell>
          <cell r="I29">
            <v>0</v>
          </cell>
          <cell r="J29">
            <v>0</v>
          </cell>
          <cell r="K29">
            <v>0</v>
          </cell>
          <cell r="L29">
            <v>0</v>
          </cell>
          <cell r="M29">
            <v>0</v>
          </cell>
          <cell r="N29">
            <v>0</v>
          </cell>
          <cell r="O29">
            <v>0</v>
          </cell>
          <cell r="P29">
            <v>0</v>
          </cell>
          <cell r="Q29">
            <v>0</v>
          </cell>
        </row>
        <row r="30">
          <cell r="A30" t="str">
            <v>40125</v>
          </cell>
          <cell r="B30" t="str">
            <v>Elevator/Escalator Contract</v>
          </cell>
          <cell r="C30" t="str">
            <v>エレベーター保守契約</v>
          </cell>
          <cell r="D30" t="str">
            <v/>
          </cell>
          <cell r="E30">
            <v>0</v>
          </cell>
          <cell r="F30">
            <v>0</v>
          </cell>
          <cell r="G30">
            <v>15377.588709677419</v>
          </cell>
          <cell r="H30">
            <v>52967.25</v>
          </cell>
          <cell r="I30">
            <v>52967.25</v>
          </cell>
          <cell r="J30">
            <v>52967.25</v>
          </cell>
          <cell r="K30">
            <v>52967.25</v>
          </cell>
          <cell r="L30">
            <v>52967.25</v>
          </cell>
          <cell r="M30">
            <v>52967.25</v>
          </cell>
          <cell r="N30">
            <v>52967.25</v>
          </cell>
          <cell r="O30">
            <v>52967.25</v>
          </cell>
          <cell r="P30">
            <v>439115.58870967745</v>
          </cell>
          <cell r="Q30">
            <v>1421.4540616006661</v>
          </cell>
        </row>
        <row r="31">
          <cell r="A31" t="str">
            <v>40135</v>
          </cell>
          <cell r="B31" t="str">
            <v>Light Fixtures &amp; Bulbs</v>
          </cell>
          <cell r="C31" t="str">
            <v>照明及び管球費</v>
          </cell>
          <cell r="D31">
            <v>0</v>
          </cell>
          <cell r="E31">
            <v>0</v>
          </cell>
          <cell r="F31">
            <v>0</v>
          </cell>
          <cell r="G31">
            <v>3000</v>
          </cell>
          <cell r="H31">
            <v>3000</v>
          </cell>
          <cell r="I31">
            <v>3000</v>
          </cell>
          <cell r="J31">
            <v>3000</v>
          </cell>
          <cell r="K31">
            <v>3000</v>
          </cell>
          <cell r="L31">
            <v>10000</v>
          </cell>
          <cell r="M31">
            <v>3000</v>
          </cell>
          <cell r="N31">
            <v>3000</v>
          </cell>
          <cell r="O31">
            <v>3000</v>
          </cell>
          <cell r="P31">
            <v>34000</v>
          </cell>
          <cell r="Q31">
            <v>110.06085717985246</v>
          </cell>
        </row>
        <row r="32">
          <cell r="A32">
            <v>40150</v>
          </cell>
          <cell r="B32" t="str">
            <v>Engn/Mtc Wages and Supplies</v>
          </cell>
          <cell r="C32" t="str">
            <v>技術員及び付帯費用</v>
          </cell>
          <cell r="D32">
            <v>0</v>
          </cell>
          <cell r="E32">
            <v>0</v>
          </cell>
          <cell r="F32">
            <v>0</v>
          </cell>
          <cell r="G32">
            <v>0</v>
          </cell>
          <cell r="H32">
            <v>0</v>
          </cell>
          <cell r="I32">
            <v>0</v>
          </cell>
          <cell r="J32">
            <v>0</v>
          </cell>
          <cell r="K32">
            <v>0</v>
          </cell>
          <cell r="L32">
            <v>0</v>
          </cell>
          <cell r="M32">
            <v>0</v>
          </cell>
          <cell r="N32">
            <v>0</v>
          </cell>
          <cell r="O32">
            <v>0</v>
          </cell>
          <cell r="P32">
            <v>0</v>
          </cell>
          <cell r="Q32">
            <v>0</v>
          </cell>
        </row>
        <row r="33">
          <cell r="A33" t="str">
            <v>40155</v>
          </cell>
          <cell r="B33" t="str">
            <v>Fire/Life Safety Contract</v>
          </cell>
          <cell r="C33" t="str">
            <v>消防設備保守契約</v>
          </cell>
          <cell r="D33" t="str">
            <v/>
          </cell>
          <cell r="E33">
            <v>0</v>
          </cell>
          <cell r="F33">
            <v>0</v>
          </cell>
          <cell r="G33">
            <v>4077.5225806451617</v>
          </cell>
          <cell r="H33">
            <v>14044.800000000001</v>
          </cell>
          <cell r="I33">
            <v>14044.800000000001</v>
          </cell>
          <cell r="J33">
            <v>14044.800000000001</v>
          </cell>
          <cell r="K33">
            <v>14044.800000000001</v>
          </cell>
          <cell r="L33">
            <v>14044.800000000001</v>
          </cell>
          <cell r="M33">
            <v>14044.800000000001</v>
          </cell>
          <cell r="N33">
            <v>14044.800000000001</v>
          </cell>
          <cell r="O33">
            <v>14044.800000000001</v>
          </cell>
          <cell r="P33">
            <v>116435.92258064517</v>
          </cell>
          <cell r="Q33">
            <v>376.91286605155136</v>
          </cell>
        </row>
        <row r="34">
          <cell r="A34" t="str">
            <v>40190</v>
          </cell>
          <cell r="B34" t="str">
            <v>Miscellaneous Repairs/Mtc</v>
          </cell>
          <cell r="C34" t="str">
            <v>その他補修費用</v>
          </cell>
          <cell r="D34" t="str">
            <v/>
          </cell>
          <cell r="E34">
            <v>0</v>
          </cell>
          <cell r="F34">
            <v>0</v>
          </cell>
          <cell r="G34">
            <v>50000</v>
          </cell>
          <cell r="H34">
            <v>50000</v>
          </cell>
          <cell r="I34">
            <v>50000</v>
          </cell>
          <cell r="J34">
            <v>50000</v>
          </cell>
          <cell r="K34">
            <v>50000</v>
          </cell>
          <cell r="L34">
            <v>50000</v>
          </cell>
          <cell r="M34">
            <v>50000</v>
          </cell>
          <cell r="N34">
            <v>50000</v>
          </cell>
          <cell r="O34">
            <v>50000</v>
          </cell>
          <cell r="P34">
            <v>450000</v>
          </cell>
          <cell r="Q34">
            <v>1456.6878156156945</v>
          </cell>
        </row>
        <row r="35">
          <cell r="B35" t="str">
            <v>Total Building Repairs &amp; Mtc.</v>
          </cell>
          <cell r="C35" t="str">
            <v xml:space="preserve">                 ﾒﾝﾃﾅﾝｽ費計</v>
          </cell>
          <cell r="D35">
            <v>0</v>
          </cell>
          <cell r="E35">
            <v>0</v>
          </cell>
          <cell r="F35">
            <v>0</v>
          </cell>
          <cell r="G35">
            <v>144317.80949596775</v>
          </cell>
          <cell r="H35">
            <v>245316.89937499998</v>
          </cell>
          <cell r="I35">
            <v>245316.89937499998</v>
          </cell>
          <cell r="J35">
            <v>245316.89937499998</v>
          </cell>
          <cell r="K35">
            <v>345316.89937499998</v>
          </cell>
          <cell r="L35">
            <v>352316.89937499998</v>
          </cell>
          <cell r="M35">
            <v>245316.89937499998</v>
          </cell>
          <cell r="N35">
            <v>345316.89937499998</v>
          </cell>
          <cell r="O35">
            <v>345316.89937499998</v>
          </cell>
          <cell r="P35">
            <v>2513853.0044959676</v>
          </cell>
          <cell r="Q35">
            <v>8137.5534264404032</v>
          </cell>
        </row>
        <row r="37">
          <cell r="A37" t="str">
            <v>40205</v>
          </cell>
          <cell r="B37" t="str">
            <v>Janitorial Services / CAM</v>
          </cell>
          <cell r="C37" t="str">
            <v>共用部清掃費</v>
          </cell>
          <cell r="D37" t="str">
            <v/>
          </cell>
          <cell r="E37">
            <v>0</v>
          </cell>
          <cell r="F37">
            <v>0</v>
          </cell>
          <cell r="G37">
            <v>29072.330564516127</v>
          </cell>
          <cell r="H37">
            <v>100138.0275</v>
          </cell>
          <cell r="I37">
            <v>100138.0275</v>
          </cell>
          <cell r="J37">
            <v>100138.0275</v>
          </cell>
          <cell r="K37">
            <v>100138.0275</v>
          </cell>
          <cell r="L37">
            <v>100138.0275</v>
          </cell>
          <cell r="M37">
            <v>100138.0275</v>
          </cell>
          <cell r="N37">
            <v>100138.0275</v>
          </cell>
          <cell r="O37">
            <v>100138.0275</v>
          </cell>
          <cell r="P37">
            <v>830176.55056451599</v>
          </cell>
          <cell r="Q37">
            <v>2687.351257815993</v>
          </cell>
        </row>
        <row r="38">
          <cell r="B38" t="str">
            <v>Total Janitorial</v>
          </cell>
          <cell r="C38" t="str">
            <v>清掃費計</v>
          </cell>
          <cell r="D38">
            <v>0</v>
          </cell>
          <cell r="E38">
            <v>0</v>
          </cell>
          <cell r="F38">
            <v>0</v>
          </cell>
          <cell r="G38">
            <v>29072.330564516127</v>
          </cell>
          <cell r="H38">
            <v>100138.0275</v>
          </cell>
          <cell r="I38">
            <v>100138.0275</v>
          </cell>
          <cell r="J38">
            <v>100138.0275</v>
          </cell>
          <cell r="K38">
            <v>100138.0275</v>
          </cell>
          <cell r="L38">
            <v>100138.0275</v>
          </cell>
          <cell r="M38">
            <v>100138.0275</v>
          </cell>
          <cell r="N38">
            <v>100138.0275</v>
          </cell>
          <cell r="O38">
            <v>100138.0275</v>
          </cell>
          <cell r="P38">
            <v>830176.55056451599</v>
          </cell>
          <cell r="Q38">
            <v>2687.351257815993</v>
          </cell>
        </row>
        <row r="40">
          <cell r="A40" t="str">
            <v>40305</v>
          </cell>
          <cell r="B40" t="str">
            <v>Electricity - Bldg</v>
          </cell>
          <cell r="C40" t="str">
            <v>電気料金−ビル全体</v>
          </cell>
          <cell r="D40" t="str">
            <v/>
          </cell>
          <cell r="E40">
            <v>0</v>
          </cell>
          <cell r="F40">
            <v>0</v>
          </cell>
          <cell r="G40">
            <v>0</v>
          </cell>
          <cell r="H40">
            <v>70000</v>
          </cell>
          <cell r="I40">
            <v>70000</v>
          </cell>
          <cell r="J40">
            <v>70000</v>
          </cell>
          <cell r="K40">
            <v>70000</v>
          </cell>
          <cell r="L40">
            <v>70000</v>
          </cell>
          <cell r="M40">
            <v>70000</v>
          </cell>
          <cell r="N40">
            <v>70000</v>
          </cell>
          <cell r="O40">
            <v>70000</v>
          </cell>
          <cell r="P40">
            <v>560000</v>
          </cell>
          <cell r="Q40">
            <v>1812.767059432864</v>
          </cell>
        </row>
        <row r="41">
          <cell r="A41" t="str">
            <v>40315</v>
          </cell>
          <cell r="B41" t="str">
            <v>Water/Sewer - Bldg</v>
          </cell>
          <cell r="C41" t="str">
            <v>上下水道料金−ビル全体</v>
          </cell>
          <cell r="D41" t="str">
            <v/>
          </cell>
          <cell r="E41">
            <v>0</v>
          </cell>
          <cell r="F41">
            <v>0</v>
          </cell>
          <cell r="G41">
            <v>0</v>
          </cell>
          <cell r="H41">
            <v>3000</v>
          </cell>
          <cell r="I41">
            <v>3000</v>
          </cell>
          <cell r="J41">
            <v>3000</v>
          </cell>
          <cell r="K41">
            <v>3000</v>
          </cell>
          <cell r="L41">
            <v>3000</v>
          </cell>
          <cell r="M41">
            <v>3000</v>
          </cell>
          <cell r="N41">
            <v>3000</v>
          </cell>
          <cell r="O41">
            <v>3000</v>
          </cell>
          <cell r="P41">
            <v>24000</v>
          </cell>
          <cell r="Q41">
            <v>77.690016832837031</v>
          </cell>
        </row>
        <row r="42">
          <cell r="A42">
            <v>40320</v>
          </cell>
          <cell r="B42" t="str">
            <v>Telephone</v>
          </cell>
          <cell r="C42" t="str">
            <v>電話料金</v>
          </cell>
          <cell r="D42" t="str">
            <v/>
          </cell>
          <cell r="E42">
            <v>0</v>
          </cell>
          <cell r="F42">
            <v>0</v>
          </cell>
          <cell r="G42">
            <v>0</v>
          </cell>
          <cell r="H42">
            <v>7000</v>
          </cell>
          <cell r="I42">
            <v>7000</v>
          </cell>
          <cell r="J42">
            <v>7000</v>
          </cell>
          <cell r="K42">
            <v>7000</v>
          </cell>
          <cell r="L42">
            <v>7000</v>
          </cell>
          <cell r="M42">
            <v>7000</v>
          </cell>
          <cell r="N42">
            <v>7000</v>
          </cell>
          <cell r="O42">
            <v>7000</v>
          </cell>
          <cell r="P42">
            <v>56000</v>
          </cell>
          <cell r="Q42">
            <v>181.2767059432864</v>
          </cell>
        </row>
        <row r="43">
          <cell r="B43" t="str">
            <v>Total Utilities</v>
          </cell>
          <cell r="C43" t="str">
            <v>水光熱費計</v>
          </cell>
          <cell r="D43">
            <v>0</v>
          </cell>
          <cell r="E43">
            <v>0</v>
          </cell>
          <cell r="F43">
            <v>0</v>
          </cell>
          <cell r="G43">
            <v>0</v>
          </cell>
          <cell r="H43">
            <v>80000</v>
          </cell>
          <cell r="I43">
            <v>80000</v>
          </cell>
          <cell r="J43">
            <v>80000</v>
          </cell>
          <cell r="K43">
            <v>80000</v>
          </cell>
          <cell r="L43">
            <v>80000</v>
          </cell>
          <cell r="M43">
            <v>80000</v>
          </cell>
          <cell r="N43">
            <v>80000</v>
          </cell>
          <cell r="O43">
            <v>80000</v>
          </cell>
          <cell r="P43">
            <v>640000</v>
          </cell>
          <cell r="Q43">
            <v>1890.4570762657011</v>
          </cell>
        </row>
        <row r="45">
          <cell r="A45" t="str">
            <v>40412</v>
          </cell>
          <cell r="B45" t="str">
            <v>Exterior Landscape Contract</v>
          </cell>
          <cell r="C45" t="str">
            <v>屋外植栽保守契約</v>
          </cell>
          <cell r="D45" t="str">
            <v/>
          </cell>
          <cell r="E45">
            <v>0</v>
          </cell>
          <cell r="F45">
            <v>0</v>
          </cell>
          <cell r="G45">
            <v>0</v>
          </cell>
          <cell r="H45">
            <v>0</v>
          </cell>
          <cell r="I45">
            <v>0</v>
          </cell>
          <cell r="J45">
            <v>0</v>
          </cell>
          <cell r="K45">
            <v>0</v>
          </cell>
          <cell r="L45">
            <v>0</v>
          </cell>
          <cell r="M45">
            <v>0</v>
          </cell>
          <cell r="N45">
            <v>50000</v>
          </cell>
          <cell r="O45">
            <v>50000</v>
          </cell>
          <cell r="P45">
            <v>100000</v>
          </cell>
          <cell r="Q45">
            <v>323.70840347015428</v>
          </cell>
        </row>
        <row r="46">
          <cell r="A46" t="str">
            <v>40420</v>
          </cell>
          <cell r="B46" t="str">
            <v>Parking Facilities</v>
          </cell>
          <cell r="C46" t="str">
            <v>駐車場保守</v>
          </cell>
          <cell r="D46">
            <v>0</v>
          </cell>
          <cell r="E46">
            <v>0</v>
          </cell>
          <cell r="F46">
            <v>0</v>
          </cell>
          <cell r="G46">
            <v>0</v>
          </cell>
          <cell r="H46">
            <v>0</v>
          </cell>
          <cell r="I46">
            <v>0</v>
          </cell>
          <cell r="J46">
            <v>0</v>
          </cell>
          <cell r="K46">
            <v>0</v>
          </cell>
          <cell r="L46">
            <v>0</v>
          </cell>
          <cell r="M46">
            <v>0</v>
          </cell>
          <cell r="N46">
            <v>0</v>
          </cell>
          <cell r="O46">
            <v>0</v>
          </cell>
          <cell r="P46">
            <v>0</v>
          </cell>
          <cell r="Q46">
            <v>0</v>
          </cell>
        </row>
        <row r="47">
          <cell r="A47" t="str">
            <v>40425</v>
          </cell>
          <cell r="B47" t="str">
            <v>Common Area Facilities</v>
          </cell>
          <cell r="C47" t="str">
            <v>共用部設備修繕</v>
          </cell>
          <cell r="D47" t="str">
            <v/>
          </cell>
          <cell r="E47">
            <v>0</v>
          </cell>
          <cell r="F47">
            <v>0</v>
          </cell>
          <cell r="G47">
            <v>0</v>
          </cell>
          <cell r="H47">
            <v>0</v>
          </cell>
          <cell r="I47">
            <v>0</v>
          </cell>
          <cell r="J47">
            <v>0</v>
          </cell>
          <cell r="K47">
            <v>90000</v>
          </cell>
          <cell r="L47">
            <v>0</v>
          </cell>
          <cell r="M47">
            <v>0</v>
          </cell>
          <cell r="N47">
            <v>0</v>
          </cell>
          <cell r="O47">
            <v>0</v>
          </cell>
          <cell r="P47">
            <v>90000</v>
          </cell>
          <cell r="Q47">
            <v>291.33756312313886</v>
          </cell>
        </row>
        <row r="48">
          <cell r="A48" t="str">
            <v>40435</v>
          </cell>
          <cell r="B48" t="str">
            <v>Security Services Contract</v>
          </cell>
          <cell r="C48" t="str">
            <v>警備契約料</v>
          </cell>
          <cell r="D48" t="str">
            <v/>
          </cell>
          <cell r="E48">
            <v>0</v>
          </cell>
          <cell r="F48">
            <v>0</v>
          </cell>
          <cell r="G48">
            <v>5328.5806451612907</v>
          </cell>
          <cell r="H48">
            <v>18354</v>
          </cell>
          <cell r="I48">
            <v>18354</v>
          </cell>
          <cell r="J48">
            <v>18354</v>
          </cell>
          <cell r="K48">
            <v>18354</v>
          </cell>
          <cell r="L48">
            <v>18354</v>
          </cell>
          <cell r="M48">
            <v>18354</v>
          </cell>
          <cell r="N48">
            <v>18354</v>
          </cell>
          <cell r="O48">
            <v>18354</v>
          </cell>
          <cell r="P48">
            <v>152160.58064516127</v>
          </cell>
          <cell r="Q48">
            <v>492.55658631736816</v>
          </cell>
        </row>
        <row r="49">
          <cell r="A49" t="str">
            <v>40490</v>
          </cell>
          <cell r="B49" t="str">
            <v>Miscellaneous CAM</v>
          </cell>
          <cell r="C49" t="str">
            <v>共用部雑費</v>
          </cell>
          <cell r="D49">
            <v>0</v>
          </cell>
          <cell r="E49">
            <v>0</v>
          </cell>
          <cell r="F49">
            <v>0</v>
          </cell>
          <cell r="G49">
            <v>5000</v>
          </cell>
          <cell r="H49">
            <v>5000</v>
          </cell>
          <cell r="I49">
            <v>5000</v>
          </cell>
          <cell r="J49">
            <v>5000</v>
          </cell>
          <cell r="K49">
            <v>5000</v>
          </cell>
          <cell r="L49">
            <v>5000</v>
          </cell>
          <cell r="M49">
            <v>5000</v>
          </cell>
          <cell r="N49">
            <v>5000</v>
          </cell>
          <cell r="O49">
            <v>5000</v>
          </cell>
          <cell r="P49">
            <v>45000</v>
          </cell>
          <cell r="Q49">
            <v>145.66878156156943</v>
          </cell>
        </row>
        <row r="50">
          <cell r="B50" t="str">
            <v>Total Common Area Repairs &amp; Mtc.</v>
          </cell>
          <cell r="C50" t="str">
            <v>共用部ﾒﾝﾃﾅﾝｽ費計</v>
          </cell>
          <cell r="D50">
            <v>0</v>
          </cell>
          <cell r="E50">
            <v>0</v>
          </cell>
          <cell r="F50">
            <v>0</v>
          </cell>
          <cell r="G50">
            <v>10328.580645161292</v>
          </cell>
          <cell r="H50">
            <v>23354</v>
          </cell>
          <cell r="I50">
            <v>23354</v>
          </cell>
          <cell r="J50">
            <v>23354</v>
          </cell>
          <cell r="K50">
            <v>113354</v>
          </cell>
          <cell r="L50">
            <v>23354</v>
          </cell>
          <cell r="M50">
            <v>23354</v>
          </cell>
          <cell r="N50">
            <v>73354</v>
          </cell>
          <cell r="O50">
            <v>73354</v>
          </cell>
          <cell r="P50">
            <v>387160.58064516127</v>
          </cell>
          <cell r="Q50">
            <v>1253.2713344722306</v>
          </cell>
        </row>
        <row r="52">
          <cell r="A52" t="str">
            <v>40540</v>
          </cell>
          <cell r="B52" t="str">
            <v>Admin On-Site Office Expenses</v>
          </cell>
          <cell r="C52" t="str">
            <v>管理室経費</v>
          </cell>
          <cell r="D52">
            <v>0</v>
          </cell>
          <cell r="E52">
            <v>0</v>
          </cell>
          <cell r="F52">
            <v>0</v>
          </cell>
          <cell r="G52">
            <v>0</v>
          </cell>
          <cell r="H52">
            <v>0</v>
          </cell>
          <cell r="I52">
            <v>0</v>
          </cell>
          <cell r="J52">
            <v>0</v>
          </cell>
          <cell r="K52">
            <v>0</v>
          </cell>
          <cell r="L52">
            <v>0</v>
          </cell>
          <cell r="M52">
            <v>0</v>
          </cell>
          <cell r="N52">
            <v>0</v>
          </cell>
          <cell r="O52">
            <v>0</v>
          </cell>
          <cell r="P52">
            <v>0</v>
          </cell>
          <cell r="Q52">
            <v>0</v>
          </cell>
        </row>
        <row r="53">
          <cell r="B53" t="str">
            <v>Total General &amp; Administrative</v>
          </cell>
          <cell r="C53" t="str">
            <v>管理費計</v>
          </cell>
          <cell r="D53">
            <v>0</v>
          </cell>
          <cell r="E53">
            <v>0</v>
          </cell>
          <cell r="F53">
            <v>0</v>
          </cell>
          <cell r="G53">
            <v>0</v>
          </cell>
          <cell r="H53">
            <v>0</v>
          </cell>
          <cell r="I53">
            <v>0</v>
          </cell>
          <cell r="J53">
            <v>0</v>
          </cell>
          <cell r="K53">
            <v>0</v>
          </cell>
          <cell r="L53">
            <v>0</v>
          </cell>
          <cell r="M53">
            <v>0</v>
          </cell>
          <cell r="N53">
            <v>0</v>
          </cell>
          <cell r="O53">
            <v>0</v>
          </cell>
          <cell r="P53">
            <v>0</v>
          </cell>
          <cell r="Q53">
            <v>0</v>
          </cell>
        </row>
        <row r="55">
          <cell r="A55">
            <v>40605</v>
          </cell>
          <cell r="B55" t="str">
            <v>Property Management Fees</v>
          </cell>
          <cell r="C55" t="str">
            <v>ﾌﾟﾛﾊﾟﾃｨ・ﾏﾈｰｼﾞﾒﾝﾄﾌｨ‐</v>
          </cell>
          <cell r="D55">
            <v>0</v>
          </cell>
          <cell r="E55">
            <v>0</v>
          </cell>
          <cell r="F55">
            <v>0</v>
          </cell>
          <cell r="G55">
            <v>28182.177419354834</v>
          </cell>
          <cell r="H55">
            <v>109175</v>
          </cell>
          <cell r="I55">
            <v>106400</v>
          </cell>
          <cell r="J55">
            <v>120425</v>
          </cell>
          <cell r="K55">
            <v>126300</v>
          </cell>
          <cell r="L55">
            <v>114025</v>
          </cell>
          <cell r="M55">
            <v>114025</v>
          </cell>
          <cell r="N55">
            <v>119300</v>
          </cell>
          <cell r="O55">
            <v>114225</v>
          </cell>
          <cell r="P55">
            <v>952057.17741935491</v>
          </cell>
          <cell r="Q55">
            <v>3081.8890891472083</v>
          </cell>
        </row>
        <row r="56">
          <cell r="B56" t="str">
            <v>Total Management Fees</v>
          </cell>
          <cell r="C56" t="str">
            <v xml:space="preserve"> ﾏﾈｰｼﾞﾒﾝﾄﾌｨ‐計</v>
          </cell>
          <cell r="D56">
            <v>0</v>
          </cell>
          <cell r="E56">
            <v>0</v>
          </cell>
          <cell r="F56">
            <v>0</v>
          </cell>
          <cell r="G56">
            <v>28182.177419354834</v>
          </cell>
          <cell r="H56">
            <v>109175</v>
          </cell>
          <cell r="I56">
            <v>106400</v>
          </cell>
          <cell r="J56">
            <v>120425</v>
          </cell>
          <cell r="K56">
            <v>126300</v>
          </cell>
          <cell r="L56">
            <v>114025</v>
          </cell>
          <cell r="M56">
            <v>114025</v>
          </cell>
          <cell r="N56">
            <v>119300</v>
          </cell>
          <cell r="O56">
            <v>114225</v>
          </cell>
          <cell r="P56">
            <v>952057.17741935491</v>
          </cell>
          <cell r="Q56">
            <v>3081.8890891472083</v>
          </cell>
        </row>
        <row r="58">
          <cell r="A58" t="str">
            <v>40705</v>
          </cell>
          <cell r="B58" t="str">
            <v>Property Taxes</v>
          </cell>
          <cell r="C58" t="str">
            <v>固定資産税</v>
          </cell>
          <cell r="M58">
            <v>443121</v>
          </cell>
          <cell r="P58">
            <v>443121</v>
          </cell>
          <cell r="Q58">
            <v>1434.4199145409825</v>
          </cell>
        </row>
        <row r="59">
          <cell r="A59">
            <v>40720</v>
          </cell>
          <cell r="B59" t="str">
            <v>Taxes, Licenses &amp; Others</v>
          </cell>
          <cell r="C59" t="str">
            <v>その他税金等</v>
          </cell>
          <cell r="I59">
            <v>200</v>
          </cell>
          <cell r="P59">
            <v>200</v>
          </cell>
          <cell r="Q59">
            <v>0.64741680694030856</v>
          </cell>
        </row>
        <row r="60">
          <cell r="B60" t="str">
            <v>Total Taxes</v>
          </cell>
          <cell r="C60" t="str">
            <v>固定資産税計</v>
          </cell>
          <cell r="D60">
            <v>0</v>
          </cell>
          <cell r="E60">
            <v>0</v>
          </cell>
          <cell r="F60">
            <v>0</v>
          </cell>
          <cell r="G60">
            <v>0</v>
          </cell>
          <cell r="H60">
            <v>0</v>
          </cell>
          <cell r="I60">
            <v>200</v>
          </cell>
          <cell r="J60">
            <v>0</v>
          </cell>
          <cell r="K60">
            <v>0</v>
          </cell>
          <cell r="L60">
            <v>0</v>
          </cell>
          <cell r="M60">
            <v>443121</v>
          </cell>
          <cell r="N60">
            <v>0</v>
          </cell>
          <cell r="O60">
            <v>0</v>
          </cell>
          <cell r="P60">
            <v>443321</v>
          </cell>
          <cell r="Q60">
            <v>1434.4199145409825</v>
          </cell>
        </row>
        <row r="62">
          <cell r="A62" t="str">
            <v>40810</v>
          </cell>
          <cell r="B62" t="str">
            <v>Property/Rental Loss Insurance</v>
          </cell>
          <cell r="C62" t="str">
            <v>賃貸収入損失保険料</v>
          </cell>
          <cell r="D62" t="str">
            <v/>
          </cell>
          <cell r="G62">
            <v>520574</v>
          </cell>
          <cell r="P62">
            <v>520574</v>
          </cell>
          <cell r="Q62">
            <v>1685.1417842807211</v>
          </cell>
        </row>
        <row r="63">
          <cell r="A63" t="str">
            <v>40821</v>
          </cell>
          <cell r="B63" t="str">
            <v>Liability Insurance</v>
          </cell>
          <cell r="C63" t="str">
            <v>賠償責任保険料</v>
          </cell>
          <cell r="G63">
            <v>30387</v>
          </cell>
          <cell r="P63">
            <v>30387</v>
          </cell>
          <cell r="Q63">
            <v>98.365272562475795</v>
          </cell>
        </row>
        <row r="64">
          <cell r="A64" t="str">
            <v>40822</v>
          </cell>
          <cell r="B64" t="str">
            <v>Excess Liability Insurance</v>
          </cell>
          <cell r="C64" t="str">
            <v>無限責任保険料</v>
          </cell>
          <cell r="D64" t="e">
            <v>#REF!</v>
          </cell>
          <cell r="E64" t="e">
            <v>#REF!</v>
          </cell>
          <cell r="F64" t="e">
            <v>#REF!</v>
          </cell>
          <cell r="G64" t="e">
            <v>#REF!</v>
          </cell>
          <cell r="H64" t="e">
            <v>#REF!</v>
          </cell>
          <cell r="I64" t="e">
            <v>#REF!</v>
          </cell>
          <cell r="J64" t="e">
            <v>#REF!</v>
          </cell>
          <cell r="K64" t="e">
            <v>#REF!</v>
          </cell>
          <cell r="L64" t="e">
            <v>#REF!</v>
          </cell>
          <cell r="M64" t="e">
            <v>#REF!</v>
          </cell>
          <cell r="N64" t="e">
            <v>#REF!</v>
          </cell>
          <cell r="O64" t="e">
            <v>#REF!</v>
          </cell>
          <cell r="P64" t="e">
            <v>#REF!</v>
          </cell>
          <cell r="Q64" t="e">
            <v>#REF!</v>
          </cell>
        </row>
        <row r="65">
          <cell r="B65" t="str">
            <v>Total Insurance</v>
          </cell>
          <cell r="C65" t="str">
            <v>保険料計</v>
          </cell>
          <cell r="D65">
            <v>0</v>
          </cell>
          <cell r="E65">
            <v>0</v>
          </cell>
          <cell r="F65">
            <v>0</v>
          </cell>
          <cell r="G65">
            <v>550961</v>
          </cell>
          <cell r="H65">
            <v>0</v>
          </cell>
          <cell r="I65">
            <v>0</v>
          </cell>
          <cell r="J65">
            <v>0</v>
          </cell>
          <cell r="K65">
            <v>0</v>
          </cell>
          <cell r="L65">
            <v>0</v>
          </cell>
          <cell r="M65">
            <v>0</v>
          </cell>
          <cell r="N65">
            <v>0</v>
          </cell>
          <cell r="O65">
            <v>0</v>
          </cell>
          <cell r="P65">
            <v>550961</v>
          </cell>
          <cell r="Q65">
            <v>1783.507056843197</v>
          </cell>
        </row>
        <row r="67">
          <cell r="B67" t="str">
            <v>TOTAL OPERATING EXPENSES</v>
          </cell>
          <cell r="C67" t="str">
            <v>運営支出計</v>
          </cell>
          <cell r="D67">
            <v>0</v>
          </cell>
          <cell r="E67">
            <v>0</v>
          </cell>
          <cell r="F67">
            <v>0</v>
          </cell>
          <cell r="G67">
            <v>762861.89812500007</v>
          </cell>
          <cell r="H67">
            <v>557983.926875</v>
          </cell>
          <cell r="I67">
            <v>555408.926875</v>
          </cell>
          <cell r="J67">
            <v>569233.926875</v>
          </cell>
          <cell r="K67">
            <v>765108.926875</v>
          </cell>
          <cell r="L67">
            <v>669833.926875</v>
          </cell>
          <cell r="M67">
            <v>1005954.926875</v>
          </cell>
          <cell r="N67">
            <v>718108.926875</v>
          </cell>
          <cell r="O67">
            <v>713033.926875</v>
          </cell>
          <cell r="P67">
            <v>6317529.3131249994</v>
          </cell>
          <cell r="Q67">
            <v>20450.37327827594</v>
          </cell>
        </row>
        <row r="69">
          <cell r="B69" t="str">
            <v>NET OPERATING INCOME</v>
          </cell>
          <cell r="C69" t="str">
            <v>純収入</v>
          </cell>
          <cell r="D69">
            <v>0</v>
          </cell>
          <cell r="E69">
            <v>0</v>
          </cell>
          <cell r="F69">
            <v>0</v>
          </cell>
          <cell r="G69">
            <v>364425.19864919316</v>
          </cell>
          <cell r="H69">
            <v>3809016.0731250001</v>
          </cell>
          <cell r="I69">
            <v>3700591.0731250001</v>
          </cell>
          <cell r="J69">
            <v>4247766.0731250001</v>
          </cell>
          <cell r="K69">
            <v>4286891.0731250001</v>
          </cell>
          <cell r="L69">
            <v>3891166.0731250001</v>
          </cell>
          <cell r="M69">
            <v>3555045.0731250001</v>
          </cell>
          <cell r="N69">
            <v>4053891.0731250001</v>
          </cell>
          <cell r="O69">
            <v>3855966.0731250001</v>
          </cell>
          <cell r="P69">
            <v>31764757.783649199</v>
          </cell>
          <cell r="Q69">
            <v>102825.19028761239</v>
          </cell>
        </row>
        <row r="71">
          <cell r="A71" t="str">
            <v>11050</v>
          </cell>
          <cell r="B71" t="str">
            <v>Building Improvements</v>
          </cell>
          <cell r="C71" t="str">
            <v>建物改良費</v>
          </cell>
          <cell r="D71">
            <v>0</v>
          </cell>
          <cell r="E71">
            <v>0</v>
          </cell>
          <cell r="F71">
            <v>0</v>
          </cell>
          <cell r="G71">
            <v>0</v>
          </cell>
          <cell r="H71">
            <v>0</v>
          </cell>
          <cell r="I71" t="str">
            <v xml:space="preserve"> -   </v>
          </cell>
          <cell r="J71">
            <v>150000</v>
          </cell>
          <cell r="K71">
            <v>0</v>
          </cell>
          <cell r="L71">
            <v>0</v>
          </cell>
          <cell r="M71">
            <v>0</v>
          </cell>
          <cell r="N71">
            <v>0</v>
          </cell>
          <cell r="O71">
            <v>0</v>
          </cell>
          <cell r="P71">
            <v>150000</v>
          </cell>
          <cell r="Q71">
            <v>485.56260520523148</v>
          </cell>
        </row>
        <row r="72">
          <cell r="A72" t="str">
            <v>11054</v>
          </cell>
          <cell r="B72" t="str">
            <v>Furniture/Equipment</v>
          </cell>
          <cell r="C72" t="str">
            <v>器具及び備品</v>
          </cell>
          <cell r="D72">
            <v>0</v>
          </cell>
          <cell r="E72">
            <v>0</v>
          </cell>
          <cell r="F72">
            <v>0</v>
          </cell>
          <cell r="G72">
            <v>0</v>
          </cell>
          <cell r="H72">
            <v>0</v>
          </cell>
          <cell r="I72">
            <v>60000</v>
          </cell>
          <cell r="J72" t="str">
            <v xml:space="preserve"> -   </v>
          </cell>
          <cell r="K72">
            <v>0</v>
          </cell>
          <cell r="L72">
            <v>0</v>
          </cell>
          <cell r="M72">
            <v>0</v>
          </cell>
          <cell r="N72">
            <v>0</v>
          </cell>
          <cell r="O72">
            <v>0</v>
          </cell>
          <cell r="P72">
            <v>60000</v>
          </cell>
          <cell r="Q72">
            <v>194.22504208209259</v>
          </cell>
        </row>
        <row r="73">
          <cell r="A73" t="str">
            <v>11058</v>
          </cell>
          <cell r="B73" t="str">
            <v>Mechanical Systems</v>
          </cell>
          <cell r="C73" t="str">
            <v>機械設備</v>
          </cell>
          <cell r="D73">
            <v>0</v>
          </cell>
          <cell r="E73">
            <v>0</v>
          </cell>
          <cell r="F73">
            <v>0</v>
          </cell>
          <cell r="G73">
            <v>0</v>
          </cell>
          <cell r="H73">
            <v>0</v>
          </cell>
          <cell r="I73">
            <v>0</v>
          </cell>
          <cell r="J73">
            <v>0</v>
          </cell>
          <cell r="K73">
            <v>0</v>
          </cell>
          <cell r="L73">
            <v>0</v>
          </cell>
          <cell r="M73">
            <v>0</v>
          </cell>
          <cell r="N73">
            <v>0</v>
          </cell>
          <cell r="O73">
            <v>0</v>
          </cell>
          <cell r="P73">
            <v>0</v>
          </cell>
          <cell r="Q73">
            <v>0</v>
          </cell>
        </row>
        <row r="74">
          <cell r="A74">
            <v>11061</v>
          </cell>
          <cell r="B74" t="str">
            <v>Contingency</v>
          </cell>
          <cell r="C74" t="str">
            <v>工事予備費</v>
          </cell>
          <cell r="D74">
            <v>0</v>
          </cell>
          <cell r="E74">
            <v>0</v>
          </cell>
          <cell r="F74">
            <v>0</v>
          </cell>
          <cell r="G74">
            <v>0</v>
          </cell>
          <cell r="H74">
            <v>50000</v>
          </cell>
          <cell r="I74">
            <v>50000</v>
          </cell>
          <cell r="J74">
            <v>50000</v>
          </cell>
          <cell r="K74">
            <v>50000</v>
          </cell>
          <cell r="L74">
            <v>50000</v>
          </cell>
          <cell r="M74">
            <v>50000</v>
          </cell>
          <cell r="N74">
            <v>50000</v>
          </cell>
          <cell r="O74">
            <v>50000</v>
          </cell>
          <cell r="P74">
            <v>400000</v>
          </cell>
          <cell r="Q74">
            <v>1294.8336138806171</v>
          </cell>
        </row>
        <row r="75">
          <cell r="A75">
            <v>11113</v>
          </cell>
          <cell r="B75" t="str">
            <v>Construction Management Fees</v>
          </cell>
          <cell r="C75" t="str">
            <v>工事監理費</v>
          </cell>
          <cell r="D75">
            <v>0</v>
          </cell>
          <cell r="E75">
            <v>0</v>
          </cell>
          <cell r="F75">
            <v>0</v>
          </cell>
          <cell r="G75">
            <v>0</v>
          </cell>
          <cell r="H75">
            <v>0</v>
          </cell>
          <cell r="I75">
            <v>0</v>
          </cell>
          <cell r="J75">
            <v>0</v>
          </cell>
          <cell r="K75">
            <v>0</v>
          </cell>
          <cell r="L75">
            <v>0</v>
          </cell>
          <cell r="M75">
            <v>0</v>
          </cell>
          <cell r="N75">
            <v>0</v>
          </cell>
          <cell r="O75">
            <v>0</v>
          </cell>
          <cell r="P75">
            <v>0</v>
          </cell>
          <cell r="Q75">
            <v>0</v>
          </cell>
        </row>
        <row r="76">
          <cell r="B76" t="str">
            <v>Total Capital Expense</v>
          </cell>
          <cell r="C76" t="str">
            <v>資本的支出計</v>
          </cell>
          <cell r="D76">
            <v>0</v>
          </cell>
          <cell r="E76">
            <v>0</v>
          </cell>
          <cell r="F76">
            <v>0</v>
          </cell>
          <cell r="G76">
            <v>0</v>
          </cell>
          <cell r="H76">
            <v>50000</v>
          </cell>
          <cell r="I76">
            <v>110000</v>
          </cell>
          <cell r="J76">
            <v>200000</v>
          </cell>
          <cell r="K76">
            <v>50000</v>
          </cell>
          <cell r="L76">
            <v>50000</v>
          </cell>
          <cell r="M76">
            <v>50000</v>
          </cell>
          <cell r="N76">
            <v>50000</v>
          </cell>
          <cell r="O76">
            <v>50000</v>
          </cell>
          <cell r="P76">
            <v>610000</v>
          </cell>
          <cell r="Q76">
            <v>1974.6212611679414</v>
          </cell>
        </row>
        <row r="78">
          <cell r="A78">
            <v>30705</v>
          </cell>
          <cell r="B78" t="str">
            <v>Security Deposits</v>
          </cell>
          <cell r="C78" t="str">
            <v>敷金</v>
          </cell>
          <cell r="D78">
            <v>0</v>
          </cell>
          <cell r="E78">
            <v>0</v>
          </cell>
          <cell r="F78">
            <v>0</v>
          </cell>
          <cell r="G78">
            <v>0</v>
          </cell>
          <cell r="H78">
            <v>0</v>
          </cell>
          <cell r="I78">
            <v>172000</v>
          </cell>
          <cell r="J78">
            <v>-252000</v>
          </cell>
          <cell r="K78">
            <v>-332000</v>
          </cell>
          <cell r="L78">
            <v>184000</v>
          </cell>
          <cell r="M78">
            <v>0</v>
          </cell>
          <cell r="N78">
            <v>164000</v>
          </cell>
          <cell r="O78">
            <v>166000</v>
          </cell>
          <cell r="P78">
            <v>102000</v>
          </cell>
          <cell r="Q78">
            <v>330.18257153955739</v>
          </cell>
        </row>
        <row r="79">
          <cell r="B79" t="str">
            <v>Total Security Deposits</v>
          </cell>
          <cell r="C79" t="str">
            <v>敷金計</v>
          </cell>
          <cell r="D79">
            <v>0</v>
          </cell>
          <cell r="E79">
            <v>0</v>
          </cell>
          <cell r="F79">
            <v>0</v>
          </cell>
          <cell r="G79">
            <v>0</v>
          </cell>
          <cell r="H79">
            <v>0</v>
          </cell>
          <cell r="I79">
            <v>172000</v>
          </cell>
          <cell r="J79">
            <v>-252000</v>
          </cell>
          <cell r="K79">
            <v>-332000</v>
          </cell>
          <cell r="L79">
            <v>184000</v>
          </cell>
          <cell r="M79">
            <v>0</v>
          </cell>
          <cell r="N79">
            <v>164000</v>
          </cell>
          <cell r="O79">
            <v>166000</v>
          </cell>
          <cell r="P79">
            <v>102000</v>
          </cell>
          <cell r="Q79">
            <v>330.18257153955739</v>
          </cell>
        </row>
        <row r="81">
          <cell r="A81">
            <v>20270</v>
          </cell>
          <cell r="B81" t="str">
            <v>Consumption Tax-Rent</v>
          </cell>
          <cell r="C81" t="str">
            <v>受取消費税</v>
          </cell>
          <cell r="P81">
            <v>0</v>
          </cell>
          <cell r="Q81">
            <v>0</v>
          </cell>
        </row>
        <row r="82">
          <cell r="A82">
            <v>20272</v>
          </cell>
          <cell r="B82" t="str">
            <v>Consumption Tax-Paid</v>
          </cell>
          <cell r="C82" t="str">
            <v>支払費用消費税</v>
          </cell>
          <cell r="P82">
            <v>0</v>
          </cell>
          <cell r="Q82">
            <v>0</v>
          </cell>
        </row>
        <row r="83">
          <cell r="A83">
            <v>20273</v>
          </cell>
          <cell r="B83" t="str">
            <v>Consumption Tax-Other Reciepts</v>
          </cell>
          <cell r="C83" t="str">
            <v>その他受取消費税</v>
          </cell>
          <cell r="P83">
            <v>0</v>
          </cell>
          <cell r="Q83">
            <v>0</v>
          </cell>
        </row>
        <row r="84">
          <cell r="B84" t="str">
            <v>Total Taxes</v>
          </cell>
          <cell r="C84" t="str">
            <v>消費税計</v>
          </cell>
          <cell r="D84">
            <v>0</v>
          </cell>
          <cell r="E84">
            <v>0</v>
          </cell>
          <cell r="F84">
            <v>0</v>
          </cell>
          <cell r="G84">
            <v>0</v>
          </cell>
          <cell r="H84">
            <v>0</v>
          </cell>
          <cell r="I84">
            <v>0</v>
          </cell>
          <cell r="J84">
            <v>0</v>
          </cell>
          <cell r="K84">
            <v>0</v>
          </cell>
          <cell r="L84">
            <v>0</v>
          </cell>
          <cell r="M84">
            <v>0</v>
          </cell>
          <cell r="N84">
            <v>0</v>
          </cell>
          <cell r="O84">
            <v>0</v>
          </cell>
          <cell r="P84">
            <v>0</v>
          </cell>
          <cell r="Q84">
            <v>0</v>
          </cell>
        </row>
        <row r="86">
          <cell r="A86">
            <v>30330</v>
          </cell>
          <cell r="B86" t="str">
            <v>Interest Income</v>
          </cell>
          <cell r="C86" t="str">
            <v>利息収入</v>
          </cell>
          <cell r="H86" t="str">
            <v/>
          </cell>
          <cell r="N86" t="str">
            <v/>
          </cell>
          <cell r="P86">
            <v>0</v>
          </cell>
          <cell r="Q86">
            <v>0</v>
          </cell>
        </row>
        <row r="87">
          <cell r="A87">
            <v>50110</v>
          </cell>
          <cell r="B87" t="str">
            <v>Debt Service-Interest</v>
          </cell>
          <cell r="C87" t="str">
            <v>借入金支払利息</v>
          </cell>
          <cell r="J87">
            <v>4811813</v>
          </cell>
          <cell r="M87">
            <v>4710511</v>
          </cell>
          <cell r="P87">
            <v>9522324</v>
          </cell>
          <cell r="Q87">
            <v>30824.562993655338</v>
          </cell>
        </row>
        <row r="88">
          <cell r="A88">
            <v>50238</v>
          </cell>
          <cell r="B88" t="str">
            <v>Lease Commissions</v>
          </cell>
          <cell r="C88" t="str">
            <v>仲介手数料</v>
          </cell>
          <cell r="D88">
            <v>0</v>
          </cell>
          <cell r="E88">
            <v>0</v>
          </cell>
          <cell r="F88">
            <v>0</v>
          </cell>
          <cell r="G88">
            <v>0</v>
          </cell>
          <cell r="H88">
            <v>0</v>
          </cell>
          <cell r="P88">
            <v>0</v>
          </cell>
          <cell r="Q88">
            <v>0</v>
          </cell>
        </row>
        <row r="89">
          <cell r="A89">
            <v>50406</v>
          </cell>
          <cell r="B89" t="str">
            <v>Tenant Retention/Promotion Costs</v>
          </cell>
          <cell r="C89" t="str">
            <v>プロモーション費用</v>
          </cell>
          <cell r="D89">
            <v>0</v>
          </cell>
          <cell r="E89">
            <v>0</v>
          </cell>
          <cell r="F89">
            <v>0</v>
          </cell>
          <cell r="G89">
            <v>0</v>
          </cell>
          <cell r="H89">
            <v>0</v>
          </cell>
          <cell r="P89">
            <v>0</v>
          </cell>
          <cell r="Q89">
            <v>0</v>
          </cell>
        </row>
        <row r="90">
          <cell r="A90">
            <v>50407</v>
          </cell>
          <cell r="B90" t="str">
            <v>Other Professional Fees</v>
          </cell>
          <cell r="C90" t="str">
            <v>その他外注費用</v>
          </cell>
          <cell r="P90">
            <v>0</v>
          </cell>
          <cell r="Q90">
            <v>0</v>
          </cell>
        </row>
        <row r="91">
          <cell r="A91">
            <v>60100</v>
          </cell>
          <cell r="B91" t="str">
            <v>Asset Management Fees</v>
          </cell>
          <cell r="C91" t="str">
            <v>ｱｾｯﾄ・ﾏﾈｰｼﾞﾒﾝﾄ・ﾌｨｰ</v>
          </cell>
          <cell r="H91">
            <v>18221</v>
          </cell>
          <cell r="I91">
            <v>190450</v>
          </cell>
          <cell r="J91">
            <v>185029</v>
          </cell>
          <cell r="K91">
            <v>212388</v>
          </cell>
          <cell r="L91">
            <v>214344</v>
          </cell>
          <cell r="M91">
            <v>194558</v>
          </cell>
          <cell r="N91">
            <v>177752</v>
          </cell>
          <cell r="O91">
            <v>202694</v>
          </cell>
          <cell r="P91">
            <v>1395436</v>
          </cell>
          <cell r="Q91">
            <v>4517.1435970477824</v>
          </cell>
        </row>
        <row r="92">
          <cell r="A92">
            <v>60116</v>
          </cell>
          <cell r="B92" t="str">
            <v>Trust Management Fees</v>
          </cell>
          <cell r="C92" t="str">
            <v>信託ﾏﾈｰｼﾞﾒﾝﾄ・ﾌｨｰ</v>
          </cell>
          <cell r="J92">
            <v>213238</v>
          </cell>
          <cell r="M92">
            <v>319858</v>
          </cell>
          <cell r="P92">
            <v>533096</v>
          </cell>
          <cell r="Q92">
            <v>1725.6765505632538</v>
          </cell>
        </row>
        <row r="93">
          <cell r="A93">
            <v>60305</v>
          </cell>
          <cell r="B93" t="str">
            <v>Audit Fees</v>
          </cell>
          <cell r="C93" t="str">
            <v>会計士費用</v>
          </cell>
          <cell r="K93">
            <v>87500</v>
          </cell>
          <cell r="N93">
            <v>87500</v>
          </cell>
          <cell r="P93">
            <v>175000</v>
          </cell>
          <cell r="Q93">
            <v>566.48970607276999</v>
          </cell>
        </row>
        <row r="94">
          <cell r="A94">
            <v>60320</v>
          </cell>
          <cell r="B94" t="str">
            <v>Legal Fees</v>
          </cell>
          <cell r="C94" t="str">
            <v>弁護士費用</v>
          </cell>
          <cell r="I94">
            <v>33575</v>
          </cell>
          <cell r="K94">
            <v>2000000</v>
          </cell>
          <cell r="N94">
            <v>6638</v>
          </cell>
          <cell r="P94">
            <v>2040213</v>
          </cell>
          <cell r="Q94">
            <v>6604.3409296905393</v>
          </cell>
        </row>
        <row r="95">
          <cell r="A95">
            <v>60525</v>
          </cell>
          <cell r="B95" t="str">
            <v>Tax Filing Fees</v>
          </cell>
          <cell r="C95" t="str">
            <v>税務申告費用</v>
          </cell>
          <cell r="O95">
            <v>7375</v>
          </cell>
          <cell r="P95">
            <v>7375</v>
          </cell>
          <cell r="Q95">
            <v>23.873494755923879</v>
          </cell>
        </row>
        <row r="96">
          <cell r="A96">
            <v>60529</v>
          </cell>
          <cell r="B96" t="str">
            <v>Income Tax</v>
          </cell>
          <cell r="C96" t="str">
            <v>法人税等</v>
          </cell>
          <cell r="P96">
            <v>0</v>
          </cell>
          <cell r="Q96">
            <v>0</v>
          </cell>
        </row>
        <row r="97">
          <cell r="A97">
            <v>60530</v>
          </cell>
          <cell r="B97" t="str">
            <v>Miscellaneous Expenses</v>
          </cell>
          <cell r="C97" t="str">
            <v>雑費</v>
          </cell>
          <cell r="G97">
            <v>30000</v>
          </cell>
          <cell r="H97">
            <v>30000</v>
          </cell>
          <cell r="I97">
            <v>30000</v>
          </cell>
          <cell r="J97">
            <v>30000</v>
          </cell>
          <cell r="K97">
            <v>30000</v>
          </cell>
          <cell r="L97">
            <v>30000</v>
          </cell>
          <cell r="M97">
            <v>30000</v>
          </cell>
          <cell r="N97">
            <v>30000</v>
          </cell>
          <cell r="O97">
            <v>30000</v>
          </cell>
          <cell r="P97">
            <v>270000</v>
          </cell>
          <cell r="Q97">
            <v>874.01268936941665</v>
          </cell>
        </row>
        <row r="98">
          <cell r="A98">
            <v>60545</v>
          </cell>
          <cell r="B98" t="str">
            <v>Bank Charges/Fiscal Agent Fees</v>
          </cell>
          <cell r="C98" t="str">
            <v>銀行手数料</v>
          </cell>
          <cell r="G98">
            <v>8400</v>
          </cell>
          <cell r="H98">
            <v>10700</v>
          </cell>
          <cell r="I98">
            <v>16200</v>
          </cell>
          <cell r="J98">
            <v>10700</v>
          </cell>
          <cell r="K98">
            <v>10700</v>
          </cell>
          <cell r="L98">
            <v>10700</v>
          </cell>
          <cell r="M98">
            <v>10700</v>
          </cell>
          <cell r="N98">
            <v>10700</v>
          </cell>
          <cell r="O98">
            <v>10700</v>
          </cell>
          <cell r="P98">
            <v>99500</v>
          </cell>
          <cell r="Q98">
            <v>322.08986145280352</v>
          </cell>
        </row>
        <row r="99">
          <cell r="B99" t="str">
            <v>Total Landlord Expense</v>
          </cell>
          <cell r="C99" t="str">
            <v>オーナー費用計</v>
          </cell>
          <cell r="D99">
            <v>0</v>
          </cell>
          <cell r="E99">
            <v>0</v>
          </cell>
          <cell r="F99">
            <v>0</v>
          </cell>
          <cell r="G99">
            <v>38400</v>
          </cell>
          <cell r="H99">
            <v>58921</v>
          </cell>
          <cell r="I99">
            <v>270225</v>
          </cell>
          <cell r="J99">
            <v>5250780</v>
          </cell>
          <cell r="K99">
            <v>2340588</v>
          </cell>
          <cell r="L99">
            <v>255044</v>
          </cell>
          <cell r="M99">
            <v>5265627</v>
          </cell>
          <cell r="N99">
            <v>312590</v>
          </cell>
          <cell r="O99">
            <v>250769</v>
          </cell>
          <cell r="P99">
            <v>14042944</v>
          </cell>
          <cell r="Q99">
            <v>45458.189822607819</v>
          </cell>
        </row>
        <row r="101">
          <cell r="B101" t="str">
            <v>TOTAL NON-OPE EXPENSES</v>
          </cell>
          <cell r="C101" t="str">
            <v>運営外費用合計</v>
          </cell>
          <cell r="D101">
            <v>0</v>
          </cell>
          <cell r="E101">
            <v>0</v>
          </cell>
          <cell r="F101">
            <v>0</v>
          </cell>
          <cell r="G101">
            <v>38400</v>
          </cell>
          <cell r="H101">
            <v>108921</v>
          </cell>
          <cell r="I101">
            <v>552225</v>
          </cell>
          <cell r="J101">
            <v>5198780</v>
          </cell>
          <cell r="K101">
            <v>2058588</v>
          </cell>
          <cell r="L101">
            <v>489044</v>
          </cell>
          <cell r="M101">
            <v>5315627</v>
          </cell>
          <cell r="N101">
            <v>526590</v>
          </cell>
          <cell r="O101">
            <v>466769</v>
          </cell>
          <cell r="P101">
            <v>14754944</v>
          </cell>
          <cell r="Q101">
            <v>47762.993655315324</v>
          </cell>
        </row>
        <row r="103">
          <cell r="B103" t="str">
            <v>TOTAL OP &amp; NON-OP EXPENSE</v>
          </cell>
          <cell r="C103" t="str">
            <v>総費用</v>
          </cell>
          <cell r="D103">
            <v>0</v>
          </cell>
          <cell r="E103">
            <v>0</v>
          </cell>
          <cell r="F103">
            <v>0</v>
          </cell>
          <cell r="G103">
            <v>801261.89812500007</v>
          </cell>
          <cell r="H103">
            <v>666904.926875</v>
          </cell>
          <cell r="I103">
            <v>1107633.9268749999</v>
          </cell>
          <cell r="J103">
            <v>5768013.9268749999</v>
          </cell>
          <cell r="K103">
            <v>2823696.9268749999</v>
          </cell>
          <cell r="L103">
            <v>1158877.9268749999</v>
          </cell>
          <cell r="M103">
            <v>6321581.9268749999</v>
          </cell>
          <cell r="N103">
            <v>1244698.9268749999</v>
          </cell>
          <cell r="O103">
            <v>1179802.9268749999</v>
          </cell>
          <cell r="P103">
            <v>21072473.313124996</v>
          </cell>
          <cell r="Q103">
            <v>68213.366933591256</v>
          </cell>
        </row>
        <row r="105">
          <cell r="B105" t="str">
            <v xml:space="preserve">  CASH FLOW</v>
          </cell>
          <cell r="C105" t="str">
            <v>キャッシュフロー</v>
          </cell>
          <cell r="D105">
            <v>0</v>
          </cell>
          <cell r="E105">
            <v>0</v>
          </cell>
          <cell r="F105">
            <v>0</v>
          </cell>
          <cell r="G105">
            <v>326025.19864919316</v>
          </cell>
          <cell r="H105">
            <v>3700095.0731250001</v>
          </cell>
          <cell r="I105">
            <v>3148366.0731250001</v>
          </cell>
          <cell r="J105">
            <v>-951013.92687499989</v>
          </cell>
          <cell r="K105">
            <v>2228303.0731250001</v>
          </cell>
          <cell r="L105">
            <v>3402122.0731250001</v>
          </cell>
          <cell r="M105">
            <v>-1760581.9268749999</v>
          </cell>
          <cell r="N105">
            <v>3527301.0731250001</v>
          </cell>
          <cell r="O105">
            <v>3389197.0731250001</v>
          </cell>
          <cell r="P105">
            <v>17009813.783649199</v>
          </cell>
          <cell r="Q105">
            <v>55062.196632297069</v>
          </cell>
        </row>
        <row r="107">
          <cell r="D107" t="e">
            <v>#REF!</v>
          </cell>
          <cell r="E107" t="str">
            <v>Investment Return</v>
          </cell>
          <cell r="I107" t="e">
            <v>#REF!</v>
          </cell>
          <cell r="J107" t="str">
            <v>Investment Return</v>
          </cell>
          <cell r="N107" t="e">
            <v>#REF!</v>
          </cell>
          <cell r="O107" t="str">
            <v>Leveraged Return</v>
          </cell>
        </row>
        <row r="108">
          <cell r="E108" t="str">
            <v>(excludes consumption tax refund, loan fees and interest, and capital improvements)</v>
          </cell>
          <cell r="J108" t="str">
            <v>(excludes consumption tax refund, loan fees and interest, capital improvements and Fund Level expenses)</v>
          </cell>
          <cell r="O108" t="str">
            <v>(excludes consumption tax refund and capital improvements)</v>
          </cell>
        </row>
        <row r="110">
          <cell r="E110" t="str">
            <v>出資利回り</v>
          </cell>
          <cell r="J110" t="str">
            <v>出資利回り</v>
          </cell>
          <cell r="O110" t="str">
            <v>エクイティに対する利回り</v>
          </cell>
        </row>
        <row r="111">
          <cell r="E111" t="str">
            <v>(減価償却、仲介手数料、ﾄﾗｽﾄﾏﾈｰｼﾞﾒﾝﾄﾌｨｰ、ｱｾｯﾄﾏﾈｰｼﾞﾒﾝﾄﾌｨｰ、弁護士費用控除後）</v>
          </cell>
          <cell r="J111" t="str">
            <v>(減価償却、仲介手数料、ﾄﾗｽﾄﾏﾈｰｼﾞﾒﾝﾄﾌｨｰ、ｱｾｯﾄﾏﾈｰｼﾞﾒﾝﾄﾌｨｰ控除後）</v>
          </cell>
          <cell r="O111" t="str">
            <v>(減価償却、仲介手数料、ﾄﾗｽﾄﾏﾈｰｼﾞﾒﾝﾄﾌｨｰ、ｱｾｯﾄﾏﾈｰｼﾞﾒﾝﾄﾌｨｰ、弁護士費用、支払利息控除後）</v>
          </cell>
        </row>
        <row r="114">
          <cell r="B114" t="str">
            <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만기"/>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TB"/>
      <sheetName val="만기 (2)"/>
      <sheetName val="She_x0000__x0000_2"/>
      <sheetName val="꺐윂"/>
      <sheetName val="00'미수"/>
      <sheetName val="99지분법평가ﾐ쟿"/>
      <sheetName val="1.외주공사"/>
      <sheetName val="2.직영공사"/>
      <sheetName val="감가상각"/>
      <sheetName val="XREF"/>
      <sheetName val="(참고)개인별 임금인상안"/>
      <sheetName val="(참고)DC형 선택자 퇴직금 추계"/>
      <sheetName val="She??2"/>
      <sheetName val="기본"/>
      <sheetName val="She"/>
      <sheetName val="시산표"/>
      <sheetName val="영화별rawdata"/>
      <sheetName val="COMBINED"/>
      <sheetName val="VALSTAT"/>
      <sheetName val="완성차 미수금"/>
      <sheetName val="2.2"/>
      <sheetName val="2.2 Yrly Comparison"/>
      <sheetName val="5. BSC Developmt"/>
      <sheetName val="총괄(회사)"/>
      <sheetName val="무형자산"/>
      <sheetName val="전산기기최종"/>
      <sheetName val="집기비품최종"/>
      <sheetName val="부재료입고집계"/>
      <sheetName val="만기0701"/>
      <sheetName val="손익합산"/>
      <sheetName val="지분법적용투자주식"/>
      <sheetName val="P50.subsequent"/>
      <sheetName val="정기적금"/>
      <sheetName val="data"/>
      <sheetName val="기초자료"/>
      <sheetName val="ʉ_x0000_䀀"/>
      <sheetName val="연결분개(거래.Ʉ_x0000_₎㔀"/>
      <sheetName val=""/>
      <sheetName val="Echangerates"/>
      <sheetName val="7 _2_"/>
      <sheetName val="7 (2)"/>
      <sheetName val="제품별원가분석"/>
      <sheetName val="Margins"/>
      <sheetName val="인건비예산(정규직)"/>
      <sheetName val="인건비예산(용역)"/>
      <sheetName val="참고"/>
      <sheetName val="原价计算表"/>
      <sheetName val="Significant Processes"/>
      <sheetName val="xxxxxx"/>
      <sheetName val="실사"/>
      <sheetName val="WELDING"/>
      <sheetName val="생산량"/>
      <sheetName val="118.세금과공과"/>
      <sheetName val="108.수선비"/>
      <sheetName val="안산기계장치"/>
      <sheetName val="할증 "/>
      <sheetName val="A"/>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REF"/>
      <sheetName val="0814_5만이하"/>
      <sheetName val="매출TOT"/>
      <sheetName val="INDEX"/>
      <sheetName val="BS"/>
      <sheetName val="손익계ʰ_x0000_"/>
      <sheetName val="연결분개(거래.Ʉ"/>
      <sheetName val="ʉ"/>
      <sheetName val="She_x005f_x0000__x005f_x0000_2"/>
      <sheetName val="9,10월신제품 (2)"/>
      <sheetName val="①매출"/>
      <sheetName val="연결분개(거래_채권채무)_(2)1"/>
      <sheetName val="연결분개(거래_채권채무)1"/>
      <sheetName val="만기_(2)1"/>
      <sheetName val="9,10월신제품_(2)"/>
      <sheetName val="She__2"/>
      <sheetName val="목표세부명세"/>
      <sheetName val="3.판관비명세서"/>
      <sheetName val="1_외주공사"/>
      <sheetName val="2_직영공사"/>
      <sheetName val="은행"/>
      <sheetName val="공사현황표"/>
      <sheetName val="1차 매출원가"/>
      <sheetName val="Links"/>
      <sheetName val="Lead"/>
      <sheetName val="기성내역"/>
      <sheetName val="미수"/>
      <sheetName val="외화"/>
      <sheetName val="자금동향"/>
      <sheetName val="특정현금과예금"/>
      <sheetName val="현금과예금"/>
      <sheetName val="TaxCalc"/>
      <sheetName val="24.보증금(전신전화가입권)"/>
      <sheetName val="Configuration"/>
      <sheetName val="03"/>
      <sheetName val="Parm"/>
      <sheetName val="DE"/>
      <sheetName val="K?fe"/>
      <sheetName val="pg15"/>
      <sheetName val="3. BSC NC ratio"/>
      <sheetName val="1.변경범위"/>
      <sheetName val="TCA"/>
      <sheetName val="2"/>
      <sheetName val="CPK"/>
      <sheetName val="주행"/>
      <sheetName val="매출분석"/>
      <sheetName val="2.생산성-2"/>
      <sheetName val="지급보증금74"/>
      <sheetName val="고정1"/>
      <sheetName val="W-현원가"/>
      <sheetName val="연결분개(거래.Ʉ_x005f_x0000_₎㔀"/>
      <sheetName val="ʉ_x005f_x0000_䀀"/>
      <sheetName val="계획"/>
      <sheetName val="PB제품 거래선별 실적"/>
      <sheetName val="1.2제품별발생실적"/>
      <sheetName val="정의"/>
      <sheetName val="Fix Asset(sch_3)"/>
      <sheetName val="연금개시전"/>
      <sheetName val="2001급여"/>
      <sheetName val="실행계획"/>
      <sheetName val="11급여대장"/>
      <sheetName val="시산표 (2)"/>
      <sheetName val="월별수입"/>
      <sheetName val="compare2"/>
      <sheetName val="Assumptions"/>
      <sheetName val="cover"/>
      <sheetName val="생산계획"/>
      <sheetName val="123"/>
      <sheetName val="급여조정"/>
      <sheetName val="She_x005f_x005f_x005f_x0000__x005f_x005f_x005f_x0000_2"/>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중연"/>
      <sheetName val="용연"/>
      <sheetName val="울산"/>
      <sheetName val="대구"/>
      <sheetName val="구미"/>
      <sheetName val="광주"/>
      <sheetName val="언양"/>
      <sheetName val="진천"/>
      <sheetName val="세부"/>
      <sheetName val="제조1과일일경영"/>
      <sheetName val="1부생산계획"/>
      <sheetName val="제조7과일일경영"/>
      <sheetName val="연결분개(거래.Ʉ_x0000__x0000_₎㔀"/>
      <sheetName val="회사정보"/>
      <sheetName val="감가상각재계산"/>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종합_SP"/>
      <sheetName val="종합_MP"/>
      <sheetName val="무림SP_상세"/>
      <sheetName val="무림페이퍼_상세"/>
      <sheetName val="종합"/>
      <sheetName val="Start"/>
      <sheetName val="경비"/>
      <sheetName val="노무비"/>
      <sheetName val="수입"/>
      <sheetName val="1_외주공사1"/>
      <sheetName val="2_직영공사1"/>
      <sheetName val="7__2_"/>
      <sheetName val="7_(2)"/>
      <sheetName val="연결분개(거래_Ʉ₎㔀"/>
      <sheetName val="2_2"/>
      <sheetName val="2_2_Yrly_Comparison"/>
      <sheetName val="5__BSC_Developmt"/>
      <sheetName val="P50_subsequent"/>
      <sheetName val="118_세금과공과"/>
      <sheetName val="108_수선비"/>
      <sheetName val="(참고)개인별_임금인상안"/>
      <sheetName val="(참고)DC형_선택자_퇴직금_추계"/>
      <sheetName val="24_보증금(전신전화가입권)"/>
      <sheetName val="할증_"/>
      <sheetName val="Significant_Processes"/>
      <sheetName val="(1)경영실적분석"/>
      <sheetName val="손익계ʰ_x005f_x0000_"/>
      <sheetName val="임율"/>
      <sheetName val="K_fe"/>
      <sheetName val="갑지"/>
      <sheetName val="완성차_미수금"/>
      <sheetName val="연결분개(거래_채권채무)_(2)3"/>
      <sheetName val="연결분개(거래_채권채무)3"/>
      <sheetName val="만기_(2)3"/>
      <sheetName val="결과조달"/>
      <sheetName val="내역서"/>
      <sheetName val="고정자산-회사제시"/>
      <sheetName val="신전산소항목시산표(5월)"/>
      <sheetName val="의왕"/>
      <sheetName val="T320_FY10(EY)"/>
      <sheetName val="FY10 GL Summary"/>
      <sheetName val="T320_FY09(EY)"/>
      <sheetName val="T300_FY10"/>
      <sheetName val="T310_FX rate"/>
      <sheetName val="SUMMARY"/>
      <sheetName val="She_x005f_x005f_x005f_x005f_x005f_x005f_x005f_x0000__x0"/>
      <sheetName val="연결분개(거래.Ʉ_x005f_x005f_x005f_x005f_x005f_x005f_x00"/>
      <sheetName val="ʉ_x005f_x005f_x005f_x005f_x005f_x005f_x005f_x0000_䀀"/>
      <sheetName val="연결분개(거래.Ʉ_₎㔀"/>
      <sheetName val="ʉ_䀀"/>
      <sheetName val="손익계ʰ_"/>
      <sheetName val="3__BSC_NC_ratio"/>
      <sheetName val="1_변경범위"/>
      <sheetName val="2_생산성-2"/>
      <sheetName val="요약"/>
      <sheetName val="인원현황"/>
      <sheetName val="She_x005f_x005f_x005f_x0000__x0"/>
      <sheetName val="연결분개(거래.Ʉ_x005f_x005f_x00"/>
      <sheetName val="손익계ʰ_x005f_x005f_x005f_x0000_"/>
      <sheetName val="She_x005f_x005f_x005f_x005f_x005f_x005f_x005f_x005f_x00"/>
      <sheetName val="ʉ_x005f_x005f_x005f_x005f_x005f_x005f_x005f_x005f_x005f"/>
      <sheetName val="손익계ʰ_x005f_x005f_x005f_x005f_x005f_x005f_x005f_x0000_"/>
      <sheetName val="손익계ʰ_x005f_x005f_x005f_x005f_x005f_x005f_x005f_x005f_x0"/>
      <sheetName val="VXXXXX"/>
      <sheetName val="CLM-MP"/>
      <sheetName val="A-100전제"/>
      <sheetName val="연결분개(거래.Ʉ_x005f_x005f_x005f_x005f_x00"/>
      <sheetName val="LS (2)"/>
      <sheetName val="건물 (2)"/>
      <sheetName val="유선방송설비 (2)"/>
      <sheetName val="차량운반구 (2)"/>
      <sheetName val="전송선로설비 (2)"/>
      <sheetName val="집기비품 (2)"/>
      <sheetName val="공구기구 (2)"/>
      <sheetName val="구축물 (2)"/>
      <sheetName val="컨버터 (2)"/>
      <sheetName val="Budget"/>
      <sheetName val="관계제품매출"/>
      <sheetName val="Cash Flows"/>
      <sheetName val="Inventory and Purchases"/>
      <sheetName val="Assumptions and Dashboard"/>
      <sheetName val="Headcount Overview"/>
      <sheetName val="원본"/>
      <sheetName val="월별자료"/>
      <sheetName val="3월"/>
      <sheetName val="탄산"/>
      <sheetName val="당좌예금"/>
      <sheetName val="삼호중공업"/>
      <sheetName val="FAB별"/>
      <sheetName val="96T"/>
      <sheetName val="9,10월신제품_(2)1"/>
      <sheetName val="Fix_Asset(sch_3)"/>
      <sheetName val="1차_매출원가"/>
      <sheetName val="시산표_(2)"/>
      <sheetName val="산정표"/>
      <sheetName val="XGPROD"/>
      <sheetName val="2003손익"/>
      <sheetName val="She_x005f_x005f_x005f_x005f_x00"/>
      <sheetName val="ʉ_x005f_x005f_x005f_x005f_x005f"/>
      <sheetName val="She_x005f_x0000__x0"/>
      <sheetName val="손익계ʰ_x005f_x005f_x005f_x005f_x0"/>
      <sheetName val="연결분개(거래.Ʉ_x00"/>
      <sheetName val="공용정보"/>
      <sheetName val="거래선"/>
      <sheetName val="파일의이용"/>
      <sheetName val="LOCAL"/>
      <sheetName val="지역개발"/>
      <sheetName val="명단"/>
      <sheetName val="8100"/>
      <sheetName val="#1 Basic"/>
      <sheetName val="연결분개(거래_Ʉ_x0000_₎㔀"/>
      <sheetName val="연결분개(거래.Ʉ_x005f_x0000__x0000_₎㔀"/>
      <sheetName val="연결분개(거래.Ʉ_x005f_x005f_x005f_x0000__x0000_₎㔀"/>
      <sheetName val="연결분개(거래.Ʉ?_x0000_₎㔀"/>
      <sheetName val="대차대조표기초"/>
      <sheetName val="손익계산서기초"/>
      <sheetName val="월중손익기초"/>
      <sheetName val="월중평잔기초"/>
      <sheetName val="누계평잔기초"/>
      <sheetName val="2담당0113"/>
      <sheetName val="1담당0113"/>
      <sheetName val="Inv "/>
      <sheetName val="성화"/>
      <sheetName val="총괄"/>
      <sheetName val="세계수요종합OK"/>
      <sheetName val="기안"/>
      <sheetName val="1_외주공사2"/>
      <sheetName val="2_직영공사2"/>
      <sheetName val="7__2_1"/>
      <sheetName val="7_(2)1"/>
      <sheetName val="P50_subsequent1"/>
      <sheetName val="할증_1"/>
      <sheetName val="118_세금과공과1"/>
      <sheetName val="108_수선비1"/>
      <sheetName val="(참고)개인별_임금인상안1"/>
      <sheetName val="(참고)DC형_선택자_퇴직금_추계1"/>
      <sheetName val="Significant_Processes1"/>
      <sheetName val="2_21"/>
      <sheetName val="2_2_Yrly_Comparison1"/>
      <sheetName val="5__BSC_Developmt1"/>
      <sheetName val="완성차_미수금1"/>
      <sheetName val="24_보증금(전신전화가입권)1"/>
      <sheetName val="3_판관비명세서"/>
      <sheetName val="연결분개(거래_Ʉ"/>
      <sheetName val="2000_EXTERNAL"/>
      <sheetName val="연결분개(거래_Ʉ_x005f_x0000_₎㔀"/>
      <sheetName val="PB제품_거래선별_실적"/>
      <sheetName val="1_2제품별발생실적"/>
      <sheetName val="연결분개(거래_Ʉ_x005f_x005f_x005f_x0000_₎㔀"/>
      <sheetName val="incoming_stock"/>
      <sheetName val="Stock_take_(재고조사)"/>
      <sheetName val="연결분개(거래_Ʉ?₎㔀"/>
      <sheetName val="FY10_GL_Summary"/>
      <sheetName val="T310_FX_rate"/>
      <sheetName val="LS_(2)"/>
      <sheetName val="건물_(2)"/>
      <sheetName val="유선방송설비_(2)"/>
      <sheetName val="차량운반구_(2)"/>
      <sheetName val="전송선로설비_(2)"/>
      <sheetName val="집기비품_(2)"/>
      <sheetName val="공구기구_(2)"/>
      <sheetName val="구축물_(2)"/>
      <sheetName val="컨버터_(2)"/>
      <sheetName val="#1_Basic"/>
      <sheetName val="Inv_"/>
      <sheetName val="코드정보"/>
      <sheetName val="집계표"/>
      <sheetName val="급여조견표"/>
      <sheetName val="민감도"/>
      <sheetName val="계정분류"/>
      <sheetName val="수입2"/>
      <sheetName val="공무"/>
      <sheetName val="전기"/>
      <sheetName val="6월 내수"/>
      <sheetName val="6월 내수_편집"/>
      <sheetName val="5"/>
      <sheetName val="계정과목 그룹명"/>
      <sheetName val="토지"/>
      <sheetName val="임대주택"/>
      <sheetName val="בית השקעות"/>
      <sheetName val="연습장소"/>
      <sheetName val="Input File"/>
      <sheetName val="제조원가명세서(11년02분기)"/>
      <sheetName val="장기차입금"/>
      <sheetName val="조선소시수"/>
      <sheetName val="요인별시수추이"/>
      <sheetName val="I"/>
      <sheetName val="00생산실적"/>
      <sheetName val="She_x005f_x005f_x00"/>
      <sheetName val="ʉ_x005f_x005f_x005f"/>
      <sheetName val="She_x0000__x0"/>
      <sheetName val="손익계ʰ_x005f_x005f_x0"/>
      <sheetName val="연결분개(거래.Ʉ_x005f_x0000_"/>
      <sheetName val="연결분개(거래.Ʉ_"/>
      <sheetName val="연결분개(거래.Ʉ_x005f_x005f_x005f_x0000_"/>
      <sheetName val="概算報告書"/>
      <sheetName val="CAMRA Rollforward YEN Detail"/>
      <sheetName val="Assump"/>
      <sheetName val="FF20"/>
      <sheetName val="DD30"/>
      <sheetName val="power"/>
      <sheetName val="시산표_(2)1"/>
      <sheetName val="3__BSC_NC_ratio1"/>
      <sheetName val="1_변경범위1"/>
      <sheetName val="2_생산성-21"/>
      <sheetName val="9,10월신제품_(2)2"/>
      <sheetName val="Fix_Asset(sch_3)1"/>
      <sheetName val="1차_매출원가1"/>
      <sheetName val="Cash_Flows"/>
      <sheetName val="Inventory_and_Purchases"/>
      <sheetName val="Assumptions_and_Dashboard"/>
      <sheetName val="Headcount_Overview"/>
      <sheetName val="연결분개(거래_Ʉ_x005f_x005f_x005f_x005f_x005f_x005f_x00"/>
      <sheetName val="연결분개(거래_Ʉ_₎㔀"/>
      <sheetName val="연결분개(거래_Ʉ_x005f_x005f_x00"/>
      <sheetName val="연결분개(거래_Ʉ_x005f_x005f_x005f_x005f_x00"/>
      <sheetName val="연결분개(거래_Ʉ_x00"/>
      <sheetName val="CAMRA_Rollforward_YEN_Detail"/>
      <sheetName val="연결분개(거래_Ʉ_x005f_x0000_₎㔀"/>
      <sheetName val="연결분개(거래_Ʉ_x005f_x005f_x005f_x0000_₎㔀"/>
      <sheetName val="연결분개(거래_Ʉ?₎㔀"/>
      <sheetName val="בית_השקעות"/>
      <sheetName val="수선비"/>
      <sheetName val="98"/>
      <sheetName val="누TB"/>
      <sheetName val="정산"/>
      <sheetName val="03반기손익"/>
      <sheetName val="선수금(29)"/>
      <sheetName val="고정자산원본"/>
      <sheetName val="T6-6(2)"/>
      <sheetName val="지점장"/>
      <sheetName val="외화9901"/>
      <sheetName val="수불부"/>
      <sheetName val="계정code"/>
      <sheetName val="KMMC"/>
      <sheetName val="월간"/>
      <sheetName val="INSTRUCTIONS"/>
      <sheetName val="원본 (2)"/>
      <sheetName val="적용환율"/>
      <sheetName val="출금실적"/>
      <sheetName val="9월"/>
      <sheetName val="연결분개(거래_채권채무)_(2)4"/>
      <sheetName val="연결분개(거래_채권채무)4"/>
      <sheetName val="만기_(2)4"/>
      <sheetName val="1_외주공사3"/>
      <sheetName val="2_직영공사3"/>
      <sheetName val="7__2_2"/>
      <sheetName val="7_(2)2"/>
      <sheetName val="P50_subsequent2"/>
      <sheetName val="할증_2"/>
      <sheetName val="118_세금과공과2"/>
      <sheetName val="108_수선비2"/>
      <sheetName val="(참고)개인별_임금인상안2"/>
      <sheetName val="(참고)DC형_선택자_퇴직금_추계2"/>
      <sheetName val="Significant_Processes2"/>
      <sheetName val="2_22"/>
      <sheetName val="2_2_Yrly_Comparison2"/>
      <sheetName val="5__BSC_Developmt2"/>
      <sheetName val="24_보증금(전신전화가입권)2"/>
      <sheetName val="완성차_미수금2"/>
      <sheetName val="3_판관비명세서1"/>
      <sheetName val="연결분개(거래_Ʉ1"/>
      <sheetName val="2000_EXTERNAL1"/>
      <sheetName val="연결분개(거래_Ʉ_x005f_x0000_₎㔀1"/>
      <sheetName val="PB제품_거래선별_실적1"/>
      <sheetName val="1_2제품별발생실적1"/>
      <sheetName val="연결분개(거래_Ʉ_x005f_x005f_x005f_x0000_₎㔀1"/>
      <sheetName val="incoming_stock1"/>
      <sheetName val="Stock_take_(재고조사)1"/>
      <sheetName val="연결분개(거래_Ʉ?₎㔀1"/>
      <sheetName val="FY10_GL_Summary1"/>
      <sheetName val="T310_FX_rate1"/>
      <sheetName val="LS_(2)1"/>
      <sheetName val="건물_(2)1"/>
      <sheetName val="유선방송설비_(2)1"/>
      <sheetName val="차량운반구_(2)1"/>
      <sheetName val="전송선로설비_(2)1"/>
      <sheetName val="집기비품_(2)1"/>
      <sheetName val="공구기구_(2)1"/>
      <sheetName val="구축물_(2)1"/>
      <sheetName val="컨버터_(2)1"/>
      <sheetName val="#1_Basic1"/>
      <sheetName val="Inv_1"/>
      <sheetName val="Input_File"/>
      <sheetName val="상세구분내역"/>
      <sheetName val="INDIA-ML"/>
      <sheetName val="연결분개(거래.Ʉ_x005f_x0000__x005f_x0000_₎㔀"/>
      <sheetName val="연봉제451"/>
      <sheetName val="점유면적"/>
      <sheetName val="자료"/>
      <sheetName val="BS(2018.12)"/>
      <sheetName val="정산표(공시용)"/>
      <sheetName val="요율"/>
      <sheetName val="소방"/>
      <sheetName val="원본 (4)"/>
      <sheetName val="공통비(전체)"/>
      <sheetName val="채권한전"/>
      <sheetName val="내역표지"/>
      <sheetName val="99입장목표"/>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3본사"/>
      <sheetName val="관계회사"/>
      <sheetName val="TITLE"/>
      <sheetName val="(평균)"/>
      <sheetName val="업무연락"/>
      <sheetName val="종합표"/>
      <sheetName val="Rearing"/>
      <sheetName val="Laying"/>
      <sheetName val="7.31 (2)"/>
      <sheetName val="p2-1"/>
      <sheetName val="SYS검토(1A1)"/>
      <sheetName val="MCT6"/>
      <sheetName val="연결분개(거래.Ʉ?"/>
      <sheetName val="10월_vs_12월_채권잔액"/>
      <sheetName val="SOURCE"/>
      <sheetName val="MALCON"/>
      <sheetName val="KBICL Budget 2004"/>
      <sheetName val="DIAMOND"/>
      <sheetName val="공구기구"/>
      <sheetName val="19제품데이터"/>
      <sheetName val="19원자재매입 합(BOM참고용)"/>
      <sheetName val="총괄표"/>
      <sheetName val="97년추정손익계산서"/>
      <sheetName val="콤보"/>
      <sheetName val="연결분개(거래.Ʉ__x0000_₎㔀"/>
      <sheetName val="유림골조"/>
      <sheetName val="费用明细"/>
      <sheetName val="1ST"/>
      <sheetName val="hms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כור שווקים "/>
      <sheetName val="שוקי הון"/>
      <sheetName val="כור חתמים"/>
      <sheetName val="מס תאורטי"/>
      <sheetName val="כור גמל"/>
      <sheetName val="כור שווקים ישן"/>
      <sheetName val="ני&quot;ע והשקעות"/>
      <sheetName val="ניהול קרנות "/>
      <sheetName val="מס רווח"/>
      <sheetName val="מס רווח (2)"/>
      <sheetName val="בית השקעות"/>
      <sheetName val="Dash Board"/>
      <sheetName val="손익"/>
      <sheetName val="내역서"/>
      <sheetName val="MAS12-97"/>
      <sheetName val="2014 Budget"/>
      <sheetName val="기본가정"/>
      <sheetName val="Sim"/>
      <sheetName val="Macro!"/>
      <sheetName val="목표세부명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בית השקעות"/>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노무비"/>
      <sheetName val="בית השקעות"/>
      <sheetName val="1ST"/>
      <sheetName val="금액내역서"/>
      <sheetName val="재무가정"/>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최종요약"/>
      <sheetName val="캐시표(사업주)"/>
      <sheetName val="최종요약 (선수금지급시)"/>
      <sheetName val="캐시표(사업주) (선수금지급시)"/>
      <sheetName val="최종분양일정"/>
      <sheetName val="cashflow"/>
      <sheetName val="미납중도금후납시"/>
      <sheetName val="공정표"/>
    </sheetNames>
    <sheetDataSet>
      <sheetData sheetId="0"/>
      <sheetData sheetId="1"/>
      <sheetData sheetId="2"/>
      <sheetData sheetId="3"/>
      <sheetData sheetId="4"/>
      <sheetData sheetId="5"/>
      <sheetData sheetId="6" refreshError="1">
        <row r="2">
          <cell r="I2" t="str">
            <v>계약금</v>
          </cell>
          <cell r="J2" t="str">
            <v>1차중도금</v>
          </cell>
          <cell r="K2" t="str">
            <v>2차중도금</v>
          </cell>
          <cell r="L2" t="str">
            <v>3차중도금</v>
          </cell>
          <cell r="M2" t="str">
            <v>4차중도금</v>
          </cell>
          <cell r="N2" t="str">
            <v>잔금</v>
          </cell>
        </row>
      </sheetData>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בית השקעות"/>
      <sheetName val="환율"/>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견적"/>
      <sheetName val="견적서"/>
      <sheetName val="견적내역"/>
      <sheetName val="산출기준"/>
      <sheetName val="인건"/>
      <sheetName val="근무"/>
      <sheetName val="재무가정"/>
      <sheetName val="인원계획-미화"/>
      <sheetName val="회사정보"/>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회사정보"/>
    </sheetNames>
    <sheetDataSet>
      <sheetData sheetId="0"/>
      <sheetData sheetId="1" refreshError="1">
        <row r="18">
          <cell r="C18">
            <v>0</v>
          </cell>
        </row>
        <row r="19">
          <cell r="C19">
            <v>0.01</v>
          </cell>
        </row>
        <row r="20">
          <cell r="C20">
            <v>0.02</v>
          </cell>
        </row>
      </sheetData>
      <sheetData sheetId="2"/>
      <sheetData sheetId="3"/>
      <sheetData sheetId="4"/>
      <sheetData sheetId="5"/>
      <sheetData sheetId="6"/>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Samsung Heavy Industry Bldg"/>
      <sheetName val="issued"/>
      <sheetName val="노무비"/>
      <sheetName val="Assumptions"/>
      <sheetName val="conclusion"/>
      <sheetName val="결정단가"/>
      <sheetName val="comparables"/>
      <sheetName val="Deduction"/>
      <sheetName val="other"/>
      <sheetName val="인원계획-미화"/>
      <sheetName val="영업.일1"/>
      <sheetName val="손익"/>
      <sheetName val="Tenants"/>
      <sheetName val="내역"/>
      <sheetName val="데이타"/>
      <sheetName val="지급어음(일별)"/>
      <sheetName val="CHECK LIST"/>
      <sheetName val="Template"/>
      <sheetName val="TaxCalc"/>
      <sheetName val="Operational Activities"/>
      <sheetName val="1998 P &amp; L"/>
      <sheetName val="ベース"/>
      <sheetName val="E100"/>
      <sheetName val="1차 내역서"/>
      <sheetName val="Acquisition Costs- Base Case"/>
      <sheetName val="Ⅳ.1.KEY수입"/>
      <sheetName val="Ⅳ-4.수익총괄"/>
      <sheetName val="マスタ"/>
      <sheetName val="24.보증금(전신전화가입권)"/>
      <sheetName val="Cashflow"/>
      <sheetName val="설계명세서"/>
      <sheetName val="건축개요"/>
      <sheetName val="이름표"/>
      <sheetName val="재무가정"/>
      <sheetName val="목록"/>
      <sheetName val="중기"/>
      <sheetName val="99판매상세"/>
      <sheetName val="2.대외공문"/>
      <sheetName val="Expense Schedule (4)"/>
      <sheetName val="Setup"/>
      <sheetName val="Finance Inputs"/>
      <sheetName val="Funding"/>
      <sheetName val="경산"/>
      <sheetName val="도급자재"/>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Sheet1"/>
      <sheetName val="프랜트면허"/>
      <sheetName val="g. Rent Roll"/>
      <sheetName val="II. Assumptions"/>
      <sheetName val="수광비분석(3개년)"/>
      <sheetName val="경비"/>
      <sheetName val="일반"/>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DD 008 - Annexure"/>
      <sheetName val="TB"/>
      <sheetName val="Rent R."/>
      <sheetName val="DCF"/>
      <sheetName val="10.익월 업무 계획-전기,방재"/>
      <sheetName val="관계회사거래내역및 채권채무잔액 99"/>
      <sheetName val="Details"/>
      <sheetName val="Æo°¡±aAØ"/>
      <sheetName val="RE9604"/>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TLCF"/>
      <sheetName val="BAN9905"/>
      <sheetName val="ITEMLIST9911"/>
      <sheetName val="XXXXXXXX"/>
      <sheetName val="지장물"/>
      <sheetName val="표준지등"/>
      <sheetName val="기타요인"/>
      <sheetName val="表紙"/>
      <sheetName val="전체손익"/>
      <sheetName val="GAAP Pru"/>
      <sheetName val="지수산출"/>
      <sheetName val="2 Harajuku Jimusho"/>
      <sheetName val="전기일위대가"/>
      <sheetName val="경율산정.XLS"/>
      <sheetName val="감가상각"/>
      <sheetName val="경율산정_XLS"/>
      <sheetName val="내역서"/>
      <sheetName val="식재인부"/>
      <sheetName val="Assumptions &amp; Workings"/>
      <sheetName val="Gen"/>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 val="받을어음"/>
      <sheetName val="현장"/>
      <sheetName val="Development"/>
      <sheetName val="Income"/>
      <sheetName val="Total"/>
      <sheetName val="Initial Input Variable"/>
      <sheetName val="출자한도"/>
      <sheetName val="BOJUNGGM"/>
      <sheetName val="국내"/>
      <sheetName val="Expense Schedule (4)"/>
      <sheetName val="로담코총괄제안견적3"/>
      <sheetName val="Journal"/>
      <sheetName val="1.0"/>
      <sheetName val="Summary"/>
      <sheetName val="1 Cash Flow Analysis"/>
      <sheetName val="2004SS"/>
      <sheetName val="2004CJ"/>
      <sheetName val="재무가정"/>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익월작업계힉"/>
      <sheetName val="Template"/>
      <sheetName val="S&amp;R"/>
      <sheetName val="Instructions"/>
      <sheetName val="조직및_인원계획"/>
      <sheetName val="견적내역-미화_(2)"/>
      <sheetName val="견적내역-보안_(2)"/>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Sheet1"/>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1ST"/>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3본사"/>
      <sheetName val="Project_CF"/>
      <sheetName val="직원자료입력"/>
      <sheetName val="2.Summary-cash"/>
      <sheetName val="최종"/>
      <sheetName val="공통"/>
      <sheetName val="소비자가"/>
      <sheetName val="99판매상세"/>
      <sheetName val="nr030112"/>
      <sheetName val="제품수불"/>
      <sheetName val="0103"/>
      <sheetName val="외화금융(97-03)"/>
      <sheetName val="산업은행 경영지표"/>
      <sheetName val="현장관리비"/>
      <sheetName val="기타수익"/>
      <sheetName val="SCH03"/>
      <sheetName val="내역서 제출"/>
      <sheetName val="入力用(家賃)"/>
      <sheetName val="入力用(駐車)"/>
      <sheetName val="실행철강하도"/>
      <sheetName val="Utilities"/>
      <sheetName val="D1300 자삽"/>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종합"/>
      <sheetName val="점코드"/>
      <sheetName val="산수(hd-0)"/>
      <sheetName val="산수(hd-1)"/>
      <sheetName val="Cash Flow"/>
      <sheetName val="Source"/>
      <sheetName val="임대료산정(자동계산)"/>
      <sheetName val="단가"/>
      <sheetName val="수지차(년)"/>
      <sheetName val="인건비"/>
      <sheetName val="FX Rates"/>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anaysis_sheet"/>
      <sheetName val="SALE"/>
      <sheetName val="소유임차부동산(원본)"/>
      <sheetName val="업무분장 "/>
      <sheetName val="101동"/>
      <sheetName val="손익"/>
      <sheetName val="07-Bud"/>
      <sheetName val="서식시트"/>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기본사항"/>
      <sheetName val="유가증권미수"/>
      <sheetName val="부동산세금"/>
      <sheetName val="CostApp."/>
      <sheetName val="Lookup"/>
      <sheetName val="효용적수"/>
      <sheetName val="관리부동산 목록"/>
      <sheetName val="_토목_처리장도급내역서_"/>
      <sheetName val="1_Cash_Flow_Analysis"/>
      <sheetName val="7_(2)"/>
      <sheetName val="2_Summary-cash"/>
      <sheetName val="산업은행_경영지표"/>
      <sheetName val="Cash_Flow"/>
      <sheetName val="관리부동산_목록"/>
      <sheetName val="tsuga"/>
      <sheetName val="Deal Assumptions"/>
      <sheetName val="Köpfe"/>
      <sheetName val="Office only Letup"/>
      <sheetName val="Tenants"/>
      <sheetName val="Data_Sheet"/>
      <sheetName val="Occupancy_Scenario"/>
      <sheetName val="빌딩코드"/>
      <sheetName val="식음료"/>
      <sheetName val="데이터유효성검사자료"/>
      <sheetName val="Tax"/>
      <sheetName val="시화점실행"/>
      <sheetName val="내역서"/>
      <sheetName val="조사번호"/>
      <sheetName val="Customer_Databas1"/>
      <sheetName val="Initial_Input_Variable1"/>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WFGInfo"/>
      <sheetName val="공사설계서"/>
      <sheetName val="한국오키"/>
      <sheetName val="95WBS"/>
      <sheetName val="Work"/>
      <sheetName val="수목단가"/>
      <sheetName val="자재단가"/>
      <sheetName val="노임단가"/>
      <sheetName val="원가서"/>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N賃率-職"/>
      <sheetName val="#REF"/>
      <sheetName val="結果（２年後１億円振り替え）"/>
      <sheetName val="전선 및 전선관"/>
      <sheetName val="조회총괄"/>
      <sheetName val="6월실적"/>
      <sheetName val="2F 회의실견적(5_14 일대)"/>
      <sheetName val="불법주정차"/>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데이타"/>
      <sheetName val="VA요약(가정_및_배당)"/>
      <sheetName val="내역서_제출"/>
      <sheetName val="정산표"/>
      <sheetName val="반포2차"/>
      <sheetName val="구로점"/>
      <sheetName val="선급비용"/>
      <sheetName val="1 자원총괄"/>
      <sheetName val="9GNG운반"/>
      <sheetName val="일반경비"/>
      <sheetName val="도기류"/>
      <sheetName val="단가산출"/>
      <sheetName val="임대현황"/>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전기내역서(총계)"/>
      <sheetName val="약품공급2"/>
      <sheetName val="건축내역"/>
      <sheetName val="요약&amp;결과"/>
      <sheetName val="Calendar"/>
      <sheetName val="자료"/>
      <sheetName val="2003정규직(1년이상)"/>
      <sheetName val="영업.일"/>
      <sheetName val="3.빌딩손익_6년차"/>
      <sheetName val="3.4.수도광열비"/>
      <sheetName val="CT"/>
      <sheetName val="주요가정"/>
      <sheetName val="SETUP"/>
      <sheetName val="민감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간접재료비산출표-27-30"/>
      <sheetName val="Data_Sheet1"/>
      <sheetName val="Occupancy_Scenario1"/>
      <sheetName val="CostApp_"/>
      <sheetName val="Dental_City_가정"/>
      <sheetName val="을지"/>
      <sheetName val="D01"/>
      <sheetName val="비용자료"/>
      <sheetName val="비용예산자료"/>
      <sheetName val="수익자료"/>
      <sheetName val="수익예산자료"/>
      <sheetName val="실행내역"/>
      <sheetName val="세목별"/>
      <sheetName val="I一般比"/>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조직도 빽업"/>
      <sheetName val="갑지(추정)"/>
      <sheetName val="분당임차변경"/>
      <sheetName val="Sheet11"/>
      <sheetName val="Front_Cover2"/>
      <sheetName val="지분법(AK)_(2)1"/>
      <sheetName val="한일자야(감액손실)_(2)1"/>
      <sheetName val="영업_일11"/>
      <sheetName val="10월_(2)1"/>
      <sheetName val="Facility_Information1"/>
      <sheetName val="수량계산"/>
      <sheetName val="일위산출"/>
      <sheetName val="DB"/>
      <sheetName val="VA요약(가정_및_배당)1"/>
      <sheetName val="내역서_제출1"/>
      <sheetName val="일위"/>
      <sheetName val="범용개발순소요비용"/>
      <sheetName val="JUCKEYK"/>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시멘트"/>
      <sheetName val="A"/>
      <sheetName val="CA"/>
      <sheetName val="ﾘｽﾄ"/>
      <sheetName val="準備ｼｰﾄ"/>
      <sheetName val="(Monthly)"/>
      <sheetName val="금융"/>
      <sheetName val="은행"/>
      <sheetName val="리스"/>
      <sheetName val="보험"/>
      <sheetName val="Funding"/>
      <sheetName val="CF(M)"/>
      <sheetName val="IS(FY)"/>
      <sheetName val="분전함신설"/>
      <sheetName val="접지1종"/>
      <sheetName val="물량"/>
      <sheetName val="매출"/>
      <sheetName val="단가표"/>
      <sheetName val="절대지우지말것"/>
      <sheetName val="운영비"/>
      <sheetName val="외주가공"/>
      <sheetName val="15"/>
      <sheetName val="근린생활"/>
      <sheetName val="기본가정"/>
      <sheetName val="총투자비"/>
      <sheetName val="총투자비(총괄)"/>
      <sheetName val="EACT10"/>
      <sheetName val="SRC-B3U2"/>
      <sheetName val="견적세부내역_보안미화_5%"/>
      <sheetName val="3-4현"/>
      <sheetName val="3-3현"/>
      <sheetName val="식재인부"/>
      <sheetName val="MEMORY"/>
      <sheetName val="Menu_Link"/>
      <sheetName val="울산"/>
      <sheetName val="감사일어"/>
      <sheetName val="9.Utilities"/>
      <sheetName val="95-96매출액등"/>
      <sheetName val="일반관리비"/>
      <sheetName val="운동장 (2)"/>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생산직"/>
      <sheetName val="붙임2-1  지급조서명세서(2001년분)"/>
      <sheetName val="SIMULATION"/>
      <sheetName val="구리토평1전기"/>
      <sheetName val="Sheet2"/>
      <sheetName val="결재방연결"/>
      <sheetName val="실적"/>
      <sheetName val="APT"/>
      <sheetName val="콘크리트타설집계표"/>
      <sheetName val="관리비계산서"/>
      <sheetName val="1.2"/>
      <sheetName val="10.익월 업무 계획-전기,방재"/>
      <sheetName val="base"/>
      <sheetName val="BOK차입"/>
      <sheetName val="Assumptions_"/>
      <sheetName val="Budget_2004(DW)"/>
      <sheetName val="돈암사업"/>
      <sheetName val="목차"/>
      <sheetName val="표지"/>
      <sheetName val="PROJECT BRIEF(EX.NEW)"/>
      <sheetName val="17.채용자명단"/>
      <sheetName val="업무분장_"/>
      <sheetName val="소방사항"/>
      <sheetName val="이름표"/>
      <sheetName val="일반수량총괄집계"/>
      <sheetName val="Accrued Interest income"/>
      <sheetName val="ﾄﾞﾛｯﾌﾟﾀﾞｳﾝﾒﾆｭｰ"/>
      <sheetName val="외상매출금현황-수정분 A2"/>
      <sheetName val="Inve. &amp; Income Assum."/>
      <sheetName val="이익영"/>
      <sheetName val="Tier 1"/>
      <sheetName val="PLD"/>
      <sheetName val="CF Case1(메인)"/>
      <sheetName val="순수통장"/>
      <sheetName val="적립수신"/>
      <sheetName val="Utility Usage YTN TOWE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내역서"/>
      <sheetName val="로담코총괄제안견적3"/>
      <sheetName val="노무비"/>
      <sheetName val="Initial Input Variable"/>
      <sheetName val="98지급계획"/>
      <sheetName val="재무가정"/>
      <sheetName val="2공구산출내역"/>
      <sheetName val="리츠"/>
      <sheetName val="차액보증"/>
      <sheetName val="영업.일"/>
      <sheetName val="재료"/>
      <sheetName val="설치자재"/>
      <sheetName val="SRC-B3U2"/>
      <sheetName val="Training"/>
      <sheetName val="Facility Information"/>
      <sheetName val="General"/>
      <sheetName val="Instructions"/>
      <sheetName val="People"/>
      <sheetName val="Quality"/>
      <sheetName val="Risk"/>
      <sheetName val="S&amp;R"/>
      <sheetName val="식음료"/>
      <sheetName val="(Monthly)"/>
      <sheetName val="단가비교"/>
      <sheetName val="3-4현"/>
      <sheetName val="3-3현"/>
      <sheetName val="목록"/>
      <sheetName val="10월 (2)"/>
      <sheetName val="종합-임현"/>
      <sheetName val="견적세부내역_보안미화_5%"/>
      <sheetName val="Menu_Link"/>
      <sheetName val="D01"/>
      <sheetName val="Assumptions"/>
      <sheetName val="지우기"/>
      <sheetName val="붙임2-1  지급조서명세서(2001년분)"/>
      <sheetName val="제-노임"/>
      <sheetName val="제직재"/>
      <sheetName val="증감대비"/>
      <sheetName val="단위단가"/>
      <sheetName val="조직및_인원계획"/>
      <sheetName val="견적내역-미화_(2)"/>
      <sheetName val="견적내역-보안_(2)"/>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nitial_Input_Variable"/>
      <sheetName val="영업_일"/>
      <sheetName val="Facility_Information"/>
      <sheetName val="10월_(2)"/>
      <sheetName val="DATA_Garak"/>
      <sheetName val="DATA_Total"/>
      <sheetName val="DATA_Kwangju"/>
      <sheetName val="DATA_Daejeon"/>
      <sheetName val="DATA_Sadang"/>
      <sheetName val="DATA_Yangjae"/>
      <sheetName val="DATA_Yoido"/>
      <sheetName val="DATA_Ulsan"/>
      <sheetName val="DATA_Incheon"/>
      <sheetName val="DATA_Jeonju"/>
      <sheetName val="MEMORY"/>
      <sheetName val="을지"/>
      <sheetName val="Sheet1"/>
      <sheetName val="하조서"/>
      <sheetName val="현금"/>
      <sheetName val="anaysis_sheet"/>
      <sheetName val="데이타"/>
      <sheetName val="식재인부"/>
      <sheetName val="Summary"/>
      <sheetName val="공사개요"/>
      <sheetName val="회사정보"/>
      <sheetName val="상가매매0115"/>
      <sheetName val="상가임대0115"/>
      <sheetName val="빌딩코드"/>
      <sheetName val="비용자료"/>
      <sheetName val="비용예산자료"/>
      <sheetName val="수익자료"/>
      <sheetName val="수익예산자료"/>
      <sheetName val="울산"/>
      <sheetName val="I一般比"/>
      <sheetName val="이자율"/>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인원계획-미화"/>
      <sheetName val="Multi_Iteration"/>
      <sheetName val="Set_Up"/>
      <sheetName val="A _Calcs_"/>
      <sheetName val="B _Controls_"/>
      <sheetName val="노무비"/>
      <sheetName val="A"/>
      <sheetName val="Area"/>
      <sheetName val="원료기말재고"/>
      <sheetName val="자재기말재고"/>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Ikoma Data"/>
    </sheetNames>
    <sheetDataSet>
      <sheetData sheetId="0"/>
      <sheetData sheetId="1"/>
      <sheetData sheetId="2" refreshError="1">
        <row r="9">
          <cell r="C9">
            <v>17511000</v>
          </cell>
          <cell r="D9">
            <v>18574000</v>
          </cell>
          <cell r="E9">
            <v>19673000</v>
          </cell>
          <cell r="F9">
            <v>20191000</v>
          </cell>
        </row>
        <row r="15">
          <cell r="C15">
            <v>17334000</v>
          </cell>
          <cell r="D15">
            <v>18572000</v>
          </cell>
          <cell r="E15">
            <v>19486000</v>
          </cell>
          <cell r="F15">
            <v>20203000</v>
          </cell>
        </row>
      </sheetData>
      <sheetData sheetId="3"/>
      <sheetData sheetId="4"/>
      <sheetData sheetId="5" refreshError="1">
        <row r="6">
          <cell r="D6" t="str">
            <v>San Diego, CA</v>
          </cell>
        </row>
        <row r="11">
          <cell r="D11">
            <v>0.95</v>
          </cell>
        </row>
        <row r="13">
          <cell r="D13">
            <v>2.5000000000000001E-2</v>
          </cell>
        </row>
        <row r="38">
          <cell r="D38">
            <v>8085500</v>
          </cell>
        </row>
        <row r="40">
          <cell r="D40">
            <v>0.01</v>
          </cell>
        </row>
        <row r="47">
          <cell r="D47">
            <v>2978045.7081158897</v>
          </cell>
        </row>
        <row r="48">
          <cell r="D48">
            <v>0.13</v>
          </cell>
        </row>
      </sheetData>
      <sheetData sheetId="6"/>
      <sheetData sheetId="7"/>
      <sheetData sheetId="8"/>
      <sheetData sheetId="9"/>
      <sheetData sheetId="10"/>
      <sheetData sheetId="11" refreshError="1">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row r="50">
          <cell r="J50">
            <v>0</v>
          </cell>
        </row>
        <row r="51">
          <cell r="J51">
            <v>0</v>
          </cell>
        </row>
        <row r="52">
          <cell r="J52">
            <v>0</v>
          </cell>
        </row>
        <row r="53">
          <cell r="J53">
            <v>0</v>
          </cell>
        </row>
        <row r="54">
          <cell r="J54">
            <v>64462.835161124916</v>
          </cell>
        </row>
        <row r="55">
          <cell r="J55">
            <v>51986.860862706606</v>
          </cell>
        </row>
        <row r="56">
          <cell r="J56">
            <v>106498.07835219578</v>
          </cell>
        </row>
        <row r="57">
          <cell r="J57">
            <v>192420.13424849883</v>
          </cell>
        </row>
        <row r="58">
          <cell r="J58">
            <v>335495.42746156233</v>
          </cell>
        </row>
        <row r="59">
          <cell r="J59">
            <v>463596.4716894895</v>
          </cell>
        </row>
        <row r="60">
          <cell r="J60">
            <v>495461.53396917135</v>
          </cell>
        </row>
        <row r="126">
          <cell r="G126">
            <v>-1.632231530680095E-2</v>
          </cell>
        </row>
        <row r="127">
          <cell r="G127">
            <v>4.609871266814336E-2</v>
          </cell>
        </row>
        <row r="128">
          <cell r="G128">
            <v>7.0890585645393855E-2</v>
          </cell>
        </row>
        <row r="129">
          <cell r="G129">
            <v>8.2220312679882168E-2</v>
          </cell>
        </row>
        <row r="130">
          <cell r="G130">
            <v>8.321265582856241E-2</v>
          </cell>
        </row>
        <row r="131">
          <cell r="G131">
            <v>8.7754443929506598E-2</v>
          </cell>
        </row>
        <row r="132">
          <cell r="G132">
            <v>9.0707298767477074E-2</v>
          </cell>
        </row>
        <row r="133">
          <cell r="G133">
            <v>9.4433566410651482E-2</v>
          </cell>
        </row>
        <row r="134">
          <cell r="G134">
            <v>9.6648417690867072E-2</v>
          </cell>
        </row>
        <row r="135">
          <cell r="G135">
            <v>9.6305681396688714E-2</v>
          </cell>
        </row>
        <row r="136">
          <cell r="G136">
            <v>9.7523764624104503E-2</v>
          </cell>
        </row>
        <row r="137">
          <cell r="G137">
            <v>9.8155945006124901E-2</v>
          </cell>
        </row>
        <row r="138">
          <cell r="G138">
            <v>9.9784831025603538E-2</v>
          </cell>
        </row>
        <row r="139">
          <cell r="G139">
            <v>0.10066251058779829</v>
          </cell>
        </row>
        <row r="140">
          <cell r="G140">
            <v>0.10046820350987473</v>
          </cell>
        </row>
        <row r="141">
          <cell r="G141">
            <v>0.10084023651817242</v>
          </cell>
        </row>
        <row r="142">
          <cell r="G142">
            <v>0.10133306633219363</v>
          </cell>
        </row>
        <row r="143">
          <cell r="G143">
            <v>0.10204192630267528</v>
          </cell>
        </row>
        <row r="144">
          <cell r="G144">
            <v>0.10248971298128984</v>
          </cell>
        </row>
        <row r="145">
          <cell r="G145">
            <v>0.10236657708002106</v>
          </cell>
        </row>
        <row r="150">
          <cell r="G150">
            <v>-1.632231530680095E-2</v>
          </cell>
        </row>
        <row r="151">
          <cell r="G151">
            <v>4.609871266814336E-2</v>
          </cell>
        </row>
        <row r="152">
          <cell r="G152">
            <v>7.0890585645393855E-2</v>
          </cell>
        </row>
        <row r="153">
          <cell r="G153">
            <v>8.2220312679882168E-2</v>
          </cell>
        </row>
        <row r="154">
          <cell r="G154">
            <v>8.321265582856241E-2</v>
          </cell>
        </row>
        <row r="155">
          <cell r="G155">
            <v>8.7754443929506598E-2</v>
          </cell>
        </row>
        <row r="156">
          <cell r="G156">
            <v>9.0707298767477074E-2</v>
          </cell>
        </row>
        <row r="157">
          <cell r="G157">
            <v>9.4433566410651482E-2</v>
          </cell>
        </row>
        <row r="158">
          <cell r="G158">
            <v>9.6648417690867072E-2</v>
          </cell>
        </row>
        <row r="159">
          <cell r="G159">
            <v>9.6305681396688714E-2</v>
          </cell>
        </row>
        <row r="160">
          <cell r="G160">
            <v>9.7523764624104503E-2</v>
          </cell>
        </row>
        <row r="161">
          <cell r="G161">
            <v>9.8155945006124901E-2</v>
          </cell>
        </row>
        <row r="162">
          <cell r="G162">
            <v>9.9784831025603538E-2</v>
          </cell>
        </row>
        <row r="163">
          <cell r="G163">
            <v>0.10053049978545681</v>
          </cell>
        </row>
        <row r="164">
          <cell r="G164">
            <v>0.10037482988287838</v>
          </cell>
        </row>
        <row r="165">
          <cell r="G165">
            <v>0.10067311814879676</v>
          </cell>
        </row>
        <row r="166">
          <cell r="G166">
            <v>0.10106896541825128</v>
          </cell>
        </row>
        <row r="167">
          <cell r="G167">
            <v>0.10163983951643063</v>
          </cell>
        </row>
        <row r="168">
          <cell r="G168">
            <v>0.10200174870512568</v>
          </cell>
        </row>
        <row r="169">
          <cell r="G169">
            <v>0.10190286834474471</v>
          </cell>
        </row>
        <row r="205">
          <cell r="G205">
            <v>-9.7596188275150042E-2</v>
          </cell>
        </row>
        <row r="206">
          <cell r="G206">
            <v>2.6044824955810952E-2</v>
          </cell>
        </row>
        <row r="207">
          <cell r="G207">
            <v>7.5777295712634141E-2</v>
          </cell>
        </row>
        <row r="208">
          <cell r="G208">
            <v>9.7750851257066396E-2</v>
          </cell>
        </row>
        <row r="209">
          <cell r="G209">
            <v>9.9503526074708359E-2</v>
          </cell>
        </row>
        <row r="210">
          <cell r="G210">
            <v>0.10767618451201377</v>
          </cell>
        </row>
        <row r="211">
          <cell r="G211">
            <v>0.11267853254246596</v>
          </cell>
        </row>
        <row r="212">
          <cell r="G212">
            <v>0.11872204006072584</v>
          </cell>
        </row>
        <row r="213">
          <cell r="G213">
            <v>0.12196196777676604</v>
          </cell>
        </row>
        <row r="214">
          <cell r="G214">
            <v>0.12094792548974165</v>
          </cell>
        </row>
        <row r="215">
          <cell r="G215">
            <v>0.12243676015996874</v>
          </cell>
        </row>
        <row r="216">
          <cell r="G216">
            <v>0.12298852450060971</v>
          </cell>
        </row>
        <row r="217">
          <cell r="G217">
            <v>0.12499771708932328</v>
          </cell>
        </row>
        <row r="218">
          <cell r="G218">
            <v>0.1258373114654181</v>
          </cell>
        </row>
        <row r="219">
          <cell r="G219">
            <v>0.12512247293656586</v>
          </cell>
        </row>
        <row r="220">
          <cell r="G220">
            <v>0.12523572786161896</v>
          </cell>
        </row>
        <row r="221">
          <cell r="G221">
            <v>0.1255267937630411</v>
          </cell>
        </row>
        <row r="222">
          <cell r="G222">
            <v>0.12609931597997126</v>
          </cell>
        </row>
        <row r="223">
          <cell r="G223">
            <v>0.12631960991653535</v>
          </cell>
        </row>
        <row r="224">
          <cell r="G224">
            <v>0.12580093318181018</v>
          </cell>
        </row>
      </sheetData>
      <sheetData sheetId="12" refreshError="1">
        <row r="39">
          <cell r="E39">
            <v>0</v>
          </cell>
        </row>
        <row r="40">
          <cell r="E40">
            <v>0</v>
          </cell>
        </row>
        <row r="41">
          <cell r="E41">
            <v>1</v>
          </cell>
        </row>
        <row r="49">
          <cell r="E49">
            <v>0</v>
          </cell>
        </row>
        <row r="52">
          <cell r="E52">
            <v>10</v>
          </cell>
        </row>
        <row r="53">
          <cell r="E53">
            <v>1</v>
          </cell>
        </row>
        <row r="54">
          <cell r="E54">
            <v>1</v>
          </cell>
        </row>
        <row r="55">
          <cell r="E55">
            <v>0</v>
          </cell>
        </row>
        <row r="68">
          <cell r="E68">
            <v>0</v>
          </cell>
        </row>
        <row r="74">
          <cell r="E74">
            <v>0</v>
          </cell>
        </row>
        <row r="79">
          <cell r="E79">
            <v>1</v>
          </cell>
        </row>
        <row r="82">
          <cell r="E82" t="str">
            <v>CalStrs</v>
          </cell>
        </row>
        <row r="85">
          <cell r="E85">
            <v>4.2500000000000003E-2</v>
          </cell>
        </row>
      </sheetData>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sheetName val="Balance sheet"/>
      <sheetName val="P&amp;L report"/>
      <sheetName val="FIXED ASSETS "/>
      <sheetName val="NOTES_ACCOUNT"/>
      <sheetName val="Summary of Exp."/>
      <sheetName val="RECIEPT&amp;PAYMENT"/>
      <sheetName val="Annexure 1"/>
      <sheetName val="Annexure 2"/>
      <sheetName val="Annexure 3"/>
      <sheetName val="Bank Rec"/>
      <sheetName val="노무비"/>
      <sheetName val="A (Calcs)"/>
      <sheetName val="B (Controls)"/>
      <sheetName val="Set-Up"/>
      <sheetName val="Multi-Iteration"/>
      <sheetName val="Initial Input Variable"/>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Name val="Balance sheet"/>
      <sheetName val="Situation"/>
      <sheetName val="P &amp;L"/>
      <sheetName val="IS"/>
      <sheetName val="Cash flow"/>
      <sheetName val="Prov I&amp;T"/>
      <sheetName val="Ventil NDF AB 03 00"/>
      <sheetName val="Bal. G. au 31-12-2001"/>
      <sheetName val="Immobilisation"/>
      <sheetName val="Budget 2002"/>
      <sheetName val="France Budget 2003"/>
      <sheetName val="P&amp;L monthly"/>
      <sheetName val="RECIEPT&amp;PAYMENT"/>
    </sheetNames>
    <sheetDataSet>
      <sheetData sheetId="0" refreshError="1"/>
      <sheetData sheetId="1" refreshError="1"/>
      <sheetData sheetId="2" refreshError="1"/>
      <sheetData sheetId="3" refreshError="1">
        <row r="1">
          <cell r="B1">
            <v>37103</v>
          </cell>
        </row>
        <row r="11">
          <cell r="R11" t="str">
            <v>capital</v>
          </cell>
          <cell r="T11">
            <v>0</v>
          </cell>
          <cell r="U11">
            <v>-50000</v>
          </cell>
        </row>
        <row r="12">
          <cell r="T12">
            <v>0</v>
          </cell>
          <cell r="U12">
            <v>0</v>
          </cell>
        </row>
        <row r="13">
          <cell r="T13">
            <v>0</v>
          </cell>
          <cell r="U13">
            <v>466485.14</v>
          </cell>
        </row>
        <row r="14">
          <cell r="T14">
            <v>0</v>
          </cell>
          <cell r="U14">
            <v>0</v>
          </cell>
        </row>
        <row r="15">
          <cell r="T15">
            <v>2799.8099999999977</v>
          </cell>
          <cell r="U15">
            <v>-126678.75</v>
          </cell>
        </row>
        <row r="16">
          <cell r="T16">
            <v>0</v>
          </cell>
          <cell r="U16">
            <v>0</v>
          </cell>
        </row>
        <row r="17">
          <cell r="R17" t="str">
            <v>Laptop</v>
          </cell>
          <cell r="S17" t="str">
            <v xml:space="preserve">  Concessions-patents &amp; similar assets</v>
          </cell>
          <cell r="T17">
            <v>0</v>
          </cell>
          <cell r="U17">
            <v>28521.16</v>
          </cell>
        </row>
        <row r="18">
          <cell r="R18" t="str">
            <v>Laptop</v>
          </cell>
          <cell r="S18" t="str">
            <v xml:space="preserve">  Concessions-patents &amp; similar assets</v>
          </cell>
          <cell r="T18">
            <v>0</v>
          </cell>
          <cell r="U18">
            <v>0</v>
          </cell>
        </row>
        <row r="19">
          <cell r="R19" t="str">
            <v>desk phone installation cabling</v>
          </cell>
          <cell r="S19" t="str">
            <v xml:space="preserve">  Other intangible assets</v>
          </cell>
          <cell r="T19">
            <v>0</v>
          </cell>
          <cell r="U19">
            <v>121176.58</v>
          </cell>
        </row>
        <row r="20">
          <cell r="R20" t="str">
            <v>cars</v>
          </cell>
          <cell r="S20" t="str">
            <v xml:space="preserve">  Other intangible assets</v>
          </cell>
          <cell r="T20">
            <v>0</v>
          </cell>
          <cell r="U20">
            <v>1105952.01</v>
          </cell>
        </row>
        <row r="21">
          <cell r="R21" t="str">
            <v>Laptop</v>
          </cell>
          <cell r="S21" t="str">
            <v xml:space="preserve">  Other intangible assets</v>
          </cell>
          <cell r="T21">
            <v>0</v>
          </cell>
          <cell r="U21">
            <v>31669.79</v>
          </cell>
        </row>
        <row r="22">
          <cell r="R22" t="str">
            <v>Laptop</v>
          </cell>
          <cell r="S22" t="str">
            <v xml:space="preserve">  Other intangible assets</v>
          </cell>
          <cell r="T22">
            <v>0</v>
          </cell>
          <cell r="U22">
            <v>223592.08</v>
          </cell>
        </row>
        <row r="23">
          <cell r="R23" t="str">
            <v>Laptop</v>
          </cell>
          <cell r="S23" t="str">
            <v xml:space="preserve">  Other intangible assets</v>
          </cell>
          <cell r="T23">
            <v>0</v>
          </cell>
          <cell r="U23">
            <v>33703.1</v>
          </cell>
        </row>
        <row r="24">
          <cell r="R24" t="str">
            <v>desk phone installation cabling</v>
          </cell>
          <cell r="S24" t="str">
            <v xml:space="preserve">  Other intangible assets</v>
          </cell>
          <cell r="T24">
            <v>0</v>
          </cell>
          <cell r="U24">
            <v>49546.28</v>
          </cell>
        </row>
        <row r="25">
          <cell r="R25" t="str">
            <v>Laptop</v>
          </cell>
          <cell r="S25" t="str">
            <v xml:space="preserve">  Other intangible assets</v>
          </cell>
          <cell r="T25">
            <v>0</v>
          </cell>
          <cell r="U25">
            <v>156798.34</v>
          </cell>
        </row>
        <row r="26">
          <cell r="R26" t="str">
            <v>cars</v>
          </cell>
          <cell r="S26" t="str">
            <v xml:space="preserve">  Payments on account in advance</v>
          </cell>
          <cell r="T26">
            <v>0</v>
          </cell>
          <cell r="U26">
            <v>0</v>
          </cell>
        </row>
        <row r="27">
          <cell r="R27" t="str">
            <v>Deposit (Rent)</v>
          </cell>
          <cell r="S27" t="str">
            <v xml:space="preserve">  Other intangible assets</v>
          </cell>
          <cell r="T27">
            <v>0</v>
          </cell>
          <cell r="U27">
            <v>188500</v>
          </cell>
        </row>
        <row r="28">
          <cell r="T28">
            <v>-497.66999999999825</v>
          </cell>
          <cell r="U28">
            <v>-19105.16</v>
          </cell>
        </row>
        <row r="29">
          <cell r="T29">
            <v>-732.92000000000007</v>
          </cell>
          <cell r="U29">
            <v>-3298.13</v>
          </cell>
        </row>
        <row r="30">
          <cell r="T30">
            <v>-1058.7300000000005</v>
          </cell>
          <cell r="U30">
            <v>-7890.39</v>
          </cell>
        </row>
        <row r="31">
          <cell r="T31">
            <v>-22964.630000000005</v>
          </cell>
          <cell r="U31">
            <v>-189921.18</v>
          </cell>
        </row>
        <row r="32">
          <cell r="T32">
            <v>-1602.8600000000006</v>
          </cell>
          <cell r="U32">
            <v>-7384.77</v>
          </cell>
        </row>
        <row r="33">
          <cell r="T33">
            <v>-6210.2699999999968</v>
          </cell>
          <cell r="U33">
            <v>-58768.81</v>
          </cell>
        </row>
        <row r="34">
          <cell r="T34">
            <v>-702.14999999999964</v>
          </cell>
          <cell r="U34">
            <v>-7393.79</v>
          </cell>
        </row>
        <row r="35">
          <cell r="T35">
            <v>-480.83999999999969</v>
          </cell>
          <cell r="U35">
            <v>-3737.7999999999997</v>
          </cell>
        </row>
        <row r="36">
          <cell r="T36">
            <v>-1306.6500000000015</v>
          </cell>
          <cell r="U36">
            <v>-10438.710000000001</v>
          </cell>
        </row>
        <row r="37">
          <cell r="T37">
            <v>478930.65</v>
          </cell>
          <cell r="U37">
            <v>-194678.39</v>
          </cell>
        </row>
        <row r="38">
          <cell r="T38">
            <v>-140174</v>
          </cell>
          <cell r="U38">
            <v>-696327</v>
          </cell>
        </row>
        <row r="39">
          <cell r="T39">
            <v>7227.1099999999969</v>
          </cell>
          <cell r="U39">
            <v>25143.599999999999</v>
          </cell>
        </row>
        <row r="40">
          <cell r="T40">
            <v>0</v>
          </cell>
          <cell r="U40">
            <v>0</v>
          </cell>
        </row>
        <row r="41">
          <cell r="T41">
            <v>0</v>
          </cell>
          <cell r="U41">
            <v>0</v>
          </cell>
        </row>
        <row r="42">
          <cell r="T42">
            <v>0</v>
          </cell>
          <cell r="U42">
            <v>0</v>
          </cell>
        </row>
        <row r="43">
          <cell r="T43">
            <v>156717.6</v>
          </cell>
          <cell r="U43">
            <v>459.15</v>
          </cell>
        </row>
        <row r="44">
          <cell r="T44">
            <v>0</v>
          </cell>
          <cell r="U44">
            <v>3148.44</v>
          </cell>
        </row>
        <row r="45">
          <cell r="T45">
            <v>0</v>
          </cell>
          <cell r="U45">
            <v>2451</v>
          </cell>
        </row>
        <row r="46">
          <cell r="T46">
            <v>-5477.85</v>
          </cell>
          <cell r="U46">
            <v>-5477.85</v>
          </cell>
        </row>
        <row r="47">
          <cell r="T47">
            <v>0</v>
          </cell>
          <cell r="U47">
            <v>0</v>
          </cell>
        </row>
        <row r="48">
          <cell r="T48">
            <v>-3751.57</v>
          </cell>
          <cell r="U48">
            <v>322.73</v>
          </cell>
        </row>
        <row r="49">
          <cell r="T49">
            <v>0</v>
          </cell>
          <cell r="U49">
            <v>-5049.07</v>
          </cell>
        </row>
        <row r="50">
          <cell r="T50">
            <v>3206.74</v>
          </cell>
          <cell r="U50">
            <v>7062.73</v>
          </cell>
        </row>
        <row r="51">
          <cell r="T51">
            <v>-12442.92</v>
          </cell>
          <cell r="U51">
            <v>-13401.72</v>
          </cell>
        </row>
        <row r="52">
          <cell r="T52">
            <v>0</v>
          </cell>
          <cell r="U52">
            <v>-1260.7</v>
          </cell>
        </row>
        <row r="53">
          <cell r="T53">
            <v>0</v>
          </cell>
          <cell r="U53">
            <v>-147615</v>
          </cell>
        </row>
        <row r="54">
          <cell r="T54">
            <v>415000</v>
          </cell>
          <cell r="U54">
            <v>0</v>
          </cell>
        </row>
        <row r="55">
          <cell r="T55">
            <v>238892.77</v>
          </cell>
          <cell r="U55">
            <v>-173246.23</v>
          </cell>
        </row>
        <row r="56">
          <cell r="T56">
            <v>145542.35</v>
          </cell>
          <cell r="U56">
            <v>-111080.38</v>
          </cell>
        </row>
        <row r="57">
          <cell r="T57">
            <v>0</v>
          </cell>
          <cell r="U57">
            <v>0</v>
          </cell>
        </row>
        <row r="58">
          <cell r="T58">
            <v>0</v>
          </cell>
          <cell r="U58">
            <v>0</v>
          </cell>
        </row>
        <row r="59">
          <cell r="T59">
            <v>36131.649999999994</v>
          </cell>
          <cell r="U59">
            <v>-21394.59</v>
          </cell>
        </row>
        <row r="60">
          <cell r="T60">
            <v>0</v>
          </cell>
          <cell r="U60">
            <v>0</v>
          </cell>
        </row>
        <row r="61">
          <cell r="T61">
            <v>0</v>
          </cell>
          <cell r="U61">
            <v>-59046</v>
          </cell>
        </row>
        <row r="62">
          <cell r="T62">
            <v>166000</v>
          </cell>
          <cell r="U62">
            <v>0</v>
          </cell>
        </row>
        <row r="63">
          <cell r="T63">
            <v>0</v>
          </cell>
          <cell r="U63">
            <v>0</v>
          </cell>
        </row>
        <row r="64">
          <cell r="T64">
            <v>0</v>
          </cell>
          <cell r="U64">
            <v>0</v>
          </cell>
        </row>
        <row r="65">
          <cell r="T65">
            <v>0</v>
          </cell>
          <cell r="U65">
            <v>0</v>
          </cell>
        </row>
        <row r="66">
          <cell r="T66">
            <v>0</v>
          </cell>
          <cell r="U66">
            <v>0</v>
          </cell>
        </row>
        <row r="67">
          <cell r="T67">
            <v>7515.8499999999985</v>
          </cell>
          <cell r="U67">
            <v>48244.49</v>
          </cell>
        </row>
        <row r="68">
          <cell r="T68">
            <v>0</v>
          </cell>
          <cell r="U68">
            <v>0</v>
          </cell>
        </row>
        <row r="69">
          <cell r="T69">
            <v>0</v>
          </cell>
          <cell r="U69">
            <v>0</v>
          </cell>
        </row>
        <row r="70">
          <cell r="T70">
            <v>0</v>
          </cell>
          <cell r="U70">
            <v>215976</v>
          </cell>
        </row>
        <row r="71">
          <cell r="T71">
            <v>0</v>
          </cell>
          <cell r="U71">
            <v>409035</v>
          </cell>
        </row>
        <row r="72">
          <cell r="T72">
            <v>0</v>
          </cell>
          <cell r="U72">
            <v>0</v>
          </cell>
        </row>
        <row r="73">
          <cell r="T73">
            <v>-35610</v>
          </cell>
          <cell r="U73">
            <v>-199659</v>
          </cell>
        </row>
        <row r="74">
          <cell r="T74">
            <v>-993547.77</v>
          </cell>
          <cell r="U74">
            <v>-4661390.87</v>
          </cell>
        </row>
        <row r="75">
          <cell r="T75">
            <v>0</v>
          </cell>
          <cell r="U75">
            <v>-8552.58</v>
          </cell>
        </row>
        <row r="76">
          <cell r="T76">
            <v>0</v>
          </cell>
          <cell r="U76">
            <v>-0.88</v>
          </cell>
        </row>
        <row r="77">
          <cell r="T77">
            <v>0</v>
          </cell>
          <cell r="U77">
            <v>0</v>
          </cell>
        </row>
        <row r="78">
          <cell r="T78">
            <v>0</v>
          </cell>
          <cell r="U78">
            <v>0</v>
          </cell>
        </row>
        <row r="79">
          <cell r="T79">
            <v>0</v>
          </cell>
          <cell r="U79">
            <v>0</v>
          </cell>
        </row>
        <row r="80">
          <cell r="T80">
            <v>0</v>
          </cell>
          <cell r="U80">
            <v>0</v>
          </cell>
        </row>
        <row r="81">
          <cell r="T81">
            <v>0</v>
          </cell>
          <cell r="U81">
            <v>0</v>
          </cell>
        </row>
        <row r="82">
          <cell r="T82">
            <v>-45622</v>
          </cell>
          <cell r="U82">
            <v>95435</v>
          </cell>
        </row>
        <row r="83">
          <cell r="T83">
            <v>0</v>
          </cell>
          <cell r="U83">
            <v>0</v>
          </cell>
        </row>
        <row r="84">
          <cell r="T84">
            <v>-135947.57</v>
          </cell>
          <cell r="U84">
            <v>-5120.26</v>
          </cell>
        </row>
        <row r="85">
          <cell r="T85">
            <v>0</v>
          </cell>
          <cell r="U85">
            <v>0</v>
          </cell>
        </row>
        <row r="86">
          <cell r="T86">
            <v>-627320.23</v>
          </cell>
          <cell r="U86">
            <v>262038.14999999997</v>
          </cell>
        </row>
        <row r="87">
          <cell r="T87">
            <v>1619.3900000000003</v>
          </cell>
          <cell r="U87">
            <v>7573.34</v>
          </cell>
        </row>
        <row r="88">
          <cell r="T88">
            <v>0</v>
          </cell>
          <cell r="U88">
            <v>2650.66</v>
          </cell>
        </row>
        <row r="89">
          <cell r="T89">
            <v>0</v>
          </cell>
          <cell r="U89">
            <v>0</v>
          </cell>
        </row>
        <row r="90">
          <cell r="R90" t="str">
            <v>Other(Printer, Paper, pen)</v>
          </cell>
          <cell r="T90">
            <v>0</v>
          </cell>
          <cell r="U90">
            <v>8323.64</v>
          </cell>
        </row>
        <row r="91">
          <cell r="R91" t="str">
            <v>Other(Printer, Paper, pen)</v>
          </cell>
          <cell r="T91">
            <v>0</v>
          </cell>
          <cell r="U91">
            <v>0</v>
          </cell>
        </row>
        <row r="92">
          <cell r="R92" t="str">
            <v>Other(Printer, Paper, pen)</v>
          </cell>
          <cell r="T92">
            <v>2763.4599999999991</v>
          </cell>
          <cell r="U92">
            <v>22962.36</v>
          </cell>
        </row>
        <row r="93">
          <cell r="R93" t="str">
            <v>Photocopy</v>
          </cell>
          <cell r="T93">
            <v>4116.1600000000035</v>
          </cell>
          <cell r="U93">
            <v>33891.480000000003</v>
          </cell>
        </row>
        <row r="94">
          <cell r="R94" t="str">
            <v>Other(Printer, Paper, pen)</v>
          </cell>
          <cell r="T94">
            <v>0</v>
          </cell>
          <cell r="U94">
            <v>-320</v>
          </cell>
        </row>
        <row r="95">
          <cell r="R95" t="str">
            <v>Office Rent (including services)</v>
          </cell>
          <cell r="T95">
            <v>0</v>
          </cell>
          <cell r="U95">
            <v>0</v>
          </cell>
        </row>
        <row r="96">
          <cell r="R96" t="str">
            <v>Office Rent (including services)</v>
          </cell>
          <cell r="T96">
            <v>34166.999999999971</v>
          </cell>
          <cell r="U96">
            <v>235647.03999999998</v>
          </cell>
        </row>
        <row r="97">
          <cell r="R97" t="str">
            <v>Office Rent (including services)</v>
          </cell>
          <cell r="T97">
            <v>4432.9999999999964</v>
          </cell>
          <cell r="U97">
            <v>31032.989999999998</v>
          </cell>
        </row>
        <row r="98">
          <cell r="R98" t="str">
            <v>Office Rent (including services)</v>
          </cell>
          <cell r="T98">
            <v>8037</v>
          </cell>
          <cell r="U98">
            <v>12899.6</v>
          </cell>
        </row>
        <row r="99">
          <cell r="R99" t="str">
            <v>Expense (parking, hotel, restaurant)</v>
          </cell>
          <cell r="T99">
            <v>2069.87</v>
          </cell>
          <cell r="U99">
            <v>7642.99</v>
          </cell>
        </row>
        <row r="100">
          <cell r="R100" t="str">
            <v>Car fees (reparation)</v>
          </cell>
          <cell r="T100">
            <v>6418.98</v>
          </cell>
          <cell r="U100">
            <v>18474.66</v>
          </cell>
        </row>
        <row r="101">
          <cell r="R101" t="str">
            <v>Other(Printer, Paper, pen)</v>
          </cell>
          <cell r="T101">
            <v>0</v>
          </cell>
          <cell r="U101">
            <v>10212</v>
          </cell>
        </row>
        <row r="102">
          <cell r="R102" t="str">
            <v>Other(Printer, Paper, pen)</v>
          </cell>
          <cell r="T102">
            <v>0</v>
          </cell>
          <cell r="U102">
            <v>12210.29</v>
          </cell>
        </row>
        <row r="103">
          <cell r="R103" t="str">
            <v>Other(Printer, Paper, pen)</v>
          </cell>
          <cell r="T103">
            <v>0</v>
          </cell>
          <cell r="U103">
            <v>625</v>
          </cell>
        </row>
        <row r="104">
          <cell r="R104" t="str">
            <v>Desk Insurance+ RC</v>
          </cell>
          <cell r="T104">
            <v>432</v>
          </cell>
          <cell r="U104">
            <v>6287</v>
          </cell>
        </row>
        <row r="105">
          <cell r="R105" t="str">
            <v>Desk Insurance+ RC</v>
          </cell>
          <cell r="T105">
            <v>0</v>
          </cell>
          <cell r="U105">
            <v>0</v>
          </cell>
        </row>
        <row r="106">
          <cell r="R106" t="str">
            <v>Desk Insurance+ RC</v>
          </cell>
          <cell r="T106">
            <v>10775</v>
          </cell>
          <cell r="U106">
            <v>10775</v>
          </cell>
        </row>
        <row r="107">
          <cell r="R107" t="str">
            <v>Car insurance+ vignette</v>
          </cell>
          <cell r="T107">
            <v>2155</v>
          </cell>
          <cell r="U107">
            <v>41352.5</v>
          </cell>
        </row>
        <row r="108">
          <cell r="R108" t="str">
            <v>Other(Printer, Paper, pen)</v>
          </cell>
          <cell r="T108">
            <v>3289.29</v>
          </cell>
          <cell r="U108">
            <v>5386.25</v>
          </cell>
        </row>
        <row r="109">
          <cell r="R109" t="str">
            <v>Other(Printer, Paper, pen)</v>
          </cell>
          <cell r="T109">
            <v>0</v>
          </cell>
          <cell r="U109">
            <v>10000</v>
          </cell>
        </row>
        <row r="110">
          <cell r="R110" t="str">
            <v>Accountant</v>
          </cell>
          <cell r="T110">
            <v>10000</v>
          </cell>
          <cell r="U110">
            <v>72300</v>
          </cell>
        </row>
        <row r="111">
          <cell r="R111" t="str">
            <v>Lawyer</v>
          </cell>
          <cell r="T111">
            <v>3334</v>
          </cell>
          <cell r="U111">
            <v>23334</v>
          </cell>
        </row>
        <row r="112">
          <cell r="R112" t="str">
            <v>Other fees</v>
          </cell>
          <cell r="T112">
            <v>0</v>
          </cell>
          <cell r="U112">
            <v>50000</v>
          </cell>
        </row>
        <row r="113">
          <cell r="R113" t="str">
            <v>Other fees</v>
          </cell>
          <cell r="T113">
            <v>0</v>
          </cell>
          <cell r="U113">
            <v>0</v>
          </cell>
        </row>
        <row r="114">
          <cell r="R114" t="str">
            <v>Other fees</v>
          </cell>
          <cell r="T114">
            <v>0</v>
          </cell>
          <cell r="U114">
            <v>0</v>
          </cell>
        </row>
        <row r="115">
          <cell r="R115" t="str">
            <v>P/R</v>
          </cell>
          <cell r="T115">
            <v>0</v>
          </cell>
          <cell r="U115">
            <v>1541.3</v>
          </cell>
        </row>
        <row r="116">
          <cell r="R116" t="str">
            <v>Marketing/com</v>
          </cell>
          <cell r="T116">
            <v>76990</v>
          </cell>
          <cell r="U116">
            <v>490017.88</v>
          </cell>
        </row>
        <row r="117">
          <cell r="R117" t="str">
            <v>P/R</v>
          </cell>
          <cell r="T117">
            <v>-33990</v>
          </cell>
          <cell r="U117">
            <v>83990.15</v>
          </cell>
        </row>
        <row r="118">
          <cell r="R118" t="str">
            <v>P/R</v>
          </cell>
          <cell r="T118">
            <v>57419.55</v>
          </cell>
          <cell r="U118">
            <v>120458.35</v>
          </cell>
        </row>
        <row r="119">
          <cell r="R119" t="str">
            <v>Marketing/com</v>
          </cell>
          <cell r="T119">
            <v>5265</v>
          </cell>
          <cell r="U119">
            <v>65265</v>
          </cell>
        </row>
        <row r="120">
          <cell r="R120" t="str">
            <v>Marketing/com</v>
          </cell>
          <cell r="T120">
            <v>3695.0499999999993</v>
          </cell>
          <cell r="U120">
            <v>16227.22</v>
          </cell>
        </row>
        <row r="121">
          <cell r="R121" t="str">
            <v>Marketing/com</v>
          </cell>
          <cell r="T121">
            <v>-2135</v>
          </cell>
          <cell r="U121">
            <v>500268</v>
          </cell>
        </row>
        <row r="122">
          <cell r="R122" t="str">
            <v>Mail fees</v>
          </cell>
          <cell r="T122">
            <v>0</v>
          </cell>
          <cell r="U122">
            <v>3330.44</v>
          </cell>
        </row>
        <row r="123">
          <cell r="R123" t="str">
            <v>Mail fees</v>
          </cell>
          <cell r="T123">
            <v>0</v>
          </cell>
          <cell r="U123">
            <v>3667.47</v>
          </cell>
        </row>
        <row r="124">
          <cell r="R124" t="str">
            <v>Car allowance+ petrol</v>
          </cell>
          <cell r="T124">
            <v>11948</v>
          </cell>
          <cell r="U124">
            <v>86878</v>
          </cell>
        </row>
        <row r="125">
          <cell r="R125" t="str">
            <v>Expense (parking, hotel, restaurant)</v>
          </cell>
          <cell r="T125">
            <v>500</v>
          </cell>
          <cell r="U125">
            <v>2749.5</v>
          </cell>
        </row>
        <row r="126">
          <cell r="R126" t="str">
            <v>Expense (parking, hotel, restaurant)</v>
          </cell>
          <cell r="T126">
            <v>0</v>
          </cell>
          <cell r="U126">
            <v>0</v>
          </cell>
        </row>
        <row r="127">
          <cell r="R127" t="str">
            <v>Flight</v>
          </cell>
          <cell r="T127">
            <v>2387.0100000000093</v>
          </cell>
          <cell r="U127">
            <v>95429.38</v>
          </cell>
        </row>
        <row r="128">
          <cell r="R128" t="str">
            <v>Expense (parking, hotel, restaurant)</v>
          </cell>
          <cell r="T128">
            <v>2514.0000000000018</v>
          </cell>
          <cell r="U128">
            <v>16751.580000000002</v>
          </cell>
        </row>
        <row r="129">
          <cell r="R129" t="str">
            <v>Expense (parking, hotel, restaurant)</v>
          </cell>
          <cell r="T129">
            <v>498</v>
          </cell>
          <cell r="U129">
            <v>10822.33</v>
          </cell>
        </row>
        <row r="130">
          <cell r="R130" t="str">
            <v>Petrol</v>
          </cell>
          <cell r="T130">
            <v>3136.4800000000032</v>
          </cell>
          <cell r="U130">
            <v>41218.800000000003</v>
          </cell>
        </row>
        <row r="131">
          <cell r="R131" t="str">
            <v>Expense (parking, hotel, restaurant)</v>
          </cell>
          <cell r="T131">
            <v>0</v>
          </cell>
          <cell r="U131">
            <v>2011.5</v>
          </cell>
        </row>
        <row r="132">
          <cell r="R132" t="str">
            <v>Expense (parking, hotel, restaurant)</v>
          </cell>
          <cell r="T132">
            <v>17089.290000000005</v>
          </cell>
          <cell r="U132">
            <v>40919.050000000003</v>
          </cell>
        </row>
        <row r="133">
          <cell r="R133" t="str">
            <v>Expense (parking, hotel, restaurant)</v>
          </cell>
          <cell r="T133">
            <v>7327.8599999999933</v>
          </cell>
          <cell r="U133">
            <v>68690.459999999992</v>
          </cell>
        </row>
        <row r="134">
          <cell r="R134" t="str">
            <v>Expense (parking, hotel, restaurant)</v>
          </cell>
          <cell r="T134">
            <v>0</v>
          </cell>
          <cell r="U134">
            <v>0</v>
          </cell>
        </row>
        <row r="135">
          <cell r="R135" t="str">
            <v>Expense (parking, hotel, restaurant)</v>
          </cell>
          <cell r="T135">
            <v>3503</v>
          </cell>
          <cell r="U135">
            <v>91174.09</v>
          </cell>
        </row>
        <row r="136">
          <cell r="R136" t="str">
            <v>Expense (parking, hotel, restaurant)</v>
          </cell>
          <cell r="T136">
            <v>0</v>
          </cell>
          <cell r="U136">
            <v>0</v>
          </cell>
        </row>
        <row r="137">
          <cell r="R137" t="str">
            <v>Telephone</v>
          </cell>
          <cell r="T137">
            <v>12325</v>
          </cell>
          <cell r="U137">
            <v>68557.5</v>
          </cell>
        </row>
        <row r="138">
          <cell r="R138" t="str">
            <v>Mail fees</v>
          </cell>
          <cell r="T138">
            <v>0</v>
          </cell>
          <cell r="U138">
            <v>1233.7</v>
          </cell>
        </row>
        <row r="139">
          <cell r="R139" t="str">
            <v>Telephone</v>
          </cell>
          <cell r="T139">
            <v>0</v>
          </cell>
          <cell r="U139">
            <v>2124.4299999999998</v>
          </cell>
        </row>
        <row r="140">
          <cell r="R140" t="str">
            <v>Telephone</v>
          </cell>
          <cell r="T140">
            <v>8314.2099999999991</v>
          </cell>
          <cell r="U140">
            <v>37812.1</v>
          </cell>
        </row>
        <row r="141">
          <cell r="R141" t="str">
            <v>Telephone</v>
          </cell>
          <cell r="T141">
            <v>0</v>
          </cell>
          <cell r="U141">
            <v>0</v>
          </cell>
        </row>
        <row r="142">
          <cell r="R142" t="str">
            <v>Telephone</v>
          </cell>
          <cell r="T142">
            <v>0</v>
          </cell>
          <cell r="U142">
            <v>0</v>
          </cell>
        </row>
        <row r="143">
          <cell r="R143" t="str">
            <v>Internet access</v>
          </cell>
          <cell r="T143">
            <v>3519.92</v>
          </cell>
          <cell r="U143">
            <v>7014.05</v>
          </cell>
        </row>
        <row r="144">
          <cell r="R144" t="str">
            <v>Telephone</v>
          </cell>
          <cell r="T144">
            <v>0</v>
          </cell>
          <cell r="U144">
            <v>0</v>
          </cell>
        </row>
        <row r="145">
          <cell r="R145" t="str">
            <v>Telephone</v>
          </cell>
          <cell r="T145">
            <v>0</v>
          </cell>
          <cell r="U145">
            <v>1659.42</v>
          </cell>
        </row>
        <row r="146">
          <cell r="R146" t="str">
            <v>Telephone</v>
          </cell>
          <cell r="T146">
            <v>0</v>
          </cell>
          <cell r="U146">
            <v>1381.01</v>
          </cell>
        </row>
        <row r="147">
          <cell r="R147" t="str">
            <v>Bank</v>
          </cell>
          <cell r="T147">
            <v>3670.7299999999996</v>
          </cell>
          <cell r="U147">
            <v>17564.77</v>
          </cell>
        </row>
        <row r="148">
          <cell r="R148" t="str">
            <v>Other fees</v>
          </cell>
          <cell r="T148">
            <v>0</v>
          </cell>
          <cell r="U148">
            <v>0</v>
          </cell>
        </row>
        <row r="149">
          <cell r="R149" t="str">
            <v>country manager</v>
          </cell>
          <cell r="T149">
            <v>777</v>
          </cell>
          <cell r="U149">
            <v>3795</v>
          </cell>
        </row>
        <row r="150">
          <cell r="R150" t="str">
            <v>Pre-sale Director</v>
          </cell>
          <cell r="T150">
            <v>412</v>
          </cell>
          <cell r="U150">
            <v>2169</v>
          </cell>
        </row>
        <row r="151">
          <cell r="R151" t="str">
            <v>internal sale</v>
          </cell>
          <cell r="T151">
            <v>176</v>
          </cell>
          <cell r="U151">
            <v>918</v>
          </cell>
        </row>
        <row r="152">
          <cell r="R152" t="str">
            <v>Pre-sale 1</v>
          </cell>
          <cell r="T152">
            <v>262</v>
          </cell>
          <cell r="U152">
            <v>1426</v>
          </cell>
        </row>
        <row r="153">
          <cell r="R153" t="str">
            <v>Sale 1</v>
          </cell>
          <cell r="T153">
            <v>282</v>
          </cell>
          <cell r="U153">
            <v>1501</v>
          </cell>
        </row>
        <row r="154">
          <cell r="R154" t="str">
            <v>Channel sale</v>
          </cell>
          <cell r="T154">
            <v>466</v>
          </cell>
          <cell r="U154">
            <v>1905</v>
          </cell>
        </row>
        <row r="155">
          <cell r="R155" t="str">
            <v>Business developper</v>
          </cell>
          <cell r="T155">
            <v>306</v>
          </cell>
          <cell r="U155">
            <v>1847</v>
          </cell>
        </row>
        <row r="156">
          <cell r="R156" t="str">
            <v>Network ingeneer</v>
          </cell>
          <cell r="T156">
            <v>0</v>
          </cell>
          <cell r="U156">
            <v>313</v>
          </cell>
        </row>
        <row r="157">
          <cell r="R157" t="str">
            <v>country manager</v>
          </cell>
          <cell r="T157">
            <v>389</v>
          </cell>
          <cell r="U157">
            <v>3792.38</v>
          </cell>
        </row>
        <row r="158">
          <cell r="R158" t="str">
            <v>Pre-sale Director</v>
          </cell>
          <cell r="T158">
            <v>207</v>
          </cell>
          <cell r="U158">
            <v>1085</v>
          </cell>
        </row>
        <row r="159">
          <cell r="R159" t="str">
            <v>internal sale</v>
          </cell>
          <cell r="T159">
            <v>88</v>
          </cell>
          <cell r="U159">
            <v>459</v>
          </cell>
        </row>
        <row r="160">
          <cell r="R160" t="str">
            <v>Pre-sale 1</v>
          </cell>
          <cell r="T160">
            <v>131</v>
          </cell>
          <cell r="U160">
            <v>713</v>
          </cell>
        </row>
        <row r="161">
          <cell r="R161" t="str">
            <v>Sale 1</v>
          </cell>
          <cell r="T161">
            <v>141</v>
          </cell>
          <cell r="U161">
            <v>751</v>
          </cell>
        </row>
        <row r="162">
          <cell r="R162" t="str">
            <v>Channel sale</v>
          </cell>
          <cell r="T162">
            <v>233</v>
          </cell>
          <cell r="U162">
            <v>953</v>
          </cell>
        </row>
        <row r="163">
          <cell r="R163" t="str">
            <v>Business developper</v>
          </cell>
          <cell r="T163">
            <v>153</v>
          </cell>
          <cell r="U163">
            <v>923</v>
          </cell>
        </row>
        <row r="164">
          <cell r="R164" t="str">
            <v>Network ingeneer</v>
          </cell>
          <cell r="T164">
            <v>0</v>
          </cell>
          <cell r="U164">
            <v>157</v>
          </cell>
        </row>
        <row r="165">
          <cell r="R165" t="str">
            <v>Business licence Tax</v>
          </cell>
          <cell r="T165">
            <v>15000</v>
          </cell>
          <cell r="U165">
            <v>105000</v>
          </cell>
        </row>
        <row r="166">
          <cell r="R166" t="str">
            <v>Property tax</v>
          </cell>
          <cell r="T166">
            <v>1667</v>
          </cell>
          <cell r="U166">
            <v>11667</v>
          </cell>
        </row>
        <row r="167">
          <cell r="R167" t="str">
            <v>Office Tax</v>
          </cell>
          <cell r="T167">
            <v>3600</v>
          </cell>
          <cell r="U167">
            <v>12195.5</v>
          </cell>
        </row>
        <row r="168">
          <cell r="R168" t="str">
            <v>Car insurance+ vignette</v>
          </cell>
          <cell r="T168">
            <v>0</v>
          </cell>
          <cell r="U168">
            <v>1076</v>
          </cell>
        </row>
        <row r="169">
          <cell r="R169" t="str">
            <v>Car TVTS</v>
          </cell>
          <cell r="T169">
            <v>14667</v>
          </cell>
          <cell r="U169">
            <v>46667</v>
          </cell>
        </row>
        <row r="170">
          <cell r="R170" t="str">
            <v>Office Tax</v>
          </cell>
          <cell r="T170">
            <v>0</v>
          </cell>
          <cell r="U170">
            <v>1502</v>
          </cell>
        </row>
        <row r="171">
          <cell r="R171" t="str">
            <v>Organic</v>
          </cell>
          <cell r="T171">
            <v>253</v>
          </cell>
          <cell r="U171">
            <v>10817</v>
          </cell>
        </row>
        <row r="172">
          <cell r="R172" t="str">
            <v>Organic</v>
          </cell>
          <cell r="T172">
            <v>0</v>
          </cell>
          <cell r="U172">
            <v>32.380000000000003</v>
          </cell>
        </row>
        <row r="173">
          <cell r="R173" t="str">
            <v>Office Tax</v>
          </cell>
          <cell r="T173">
            <v>0</v>
          </cell>
          <cell r="U173">
            <v>18</v>
          </cell>
        </row>
        <row r="174">
          <cell r="R174" t="str">
            <v>taxes</v>
          </cell>
          <cell r="T174">
            <v>0</v>
          </cell>
          <cell r="U174">
            <v>0</v>
          </cell>
        </row>
        <row r="175">
          <cell r="R175" t="str">
            <v>country manager</v>
          </cell>
          <cell r="T175">
            <v>0</v>
          </cell>
          <cell r="U175">
            <v>3290</v>
          </cell>
        </row>
        <row r="176">
          <cell r="R176" t="str">
            <v>country manager</v>
          </cell>
          <cell r="T176">
            <v>30416.660000000033</v>
          </cell>
          <cell r="U176">
            <v>759005.98</v>
          </cell>
        </row>
        <row r="177">
          <cell r="R177" t="str">
            <v>Pre-sale Director</v>
          </cell>
          <cell r="T177">
            <v>7500</v>
          </cell>
          <cell r="U177">
            <v>461417.56</v>
          </cell>
        </row>
        <row r="178">
          <cell r="R178" t="str">
            <v>internal sale</v>
          </cell>
          <cell r="T178">
            <v>-14800</v>
          </cell>
          <cell r="U178">
            <v>191952.76</v>
          </cell>
        </row>
        <row r="179">
          <cell r="R179" t="str">
            <v>Pre-sale 1</v>
          </cell>
          <cell r="T179">
            <v>32300</v>
          </cell>
          <cell r="U179">
            <v>300884.03999999998</v>
          </cell>
        </row>
        <row r="180">
          <cell r="R180" t="str">
            <v>Sale 1</v>
          </cell>
          <cell r="T180">
            <v>-18600</v>
          </cell>
          <cell r="U180">
            <v>312944.33</v>
          </cell>
        </row>
        <row r="181">
          <cell r="R181" t="str">
            <v>Channel sale</v>
          </cell>
          <cell r="T181">
            <v>63250</v>
          </cell>
          <cell r="U181">
            <v>396941.98</v>
          </cell>
        </row>
        <row r="182">
          <cell r="R182" t="str">
            <v>Business developper</v>
          </cell>
          <cell r="T182">
            <v>21166</v>
          </cell>
          <cell r="U182">
            <v>384524.87</v>
          </cell>
        </row>
        <row r="183">
          <cell r="R183" t="str">
            <v>Network ingeneer</v>
          </cell>
          <cell r="T183">
            <v>0</v>
          </cell>
          <cell r="U183">
            <v>62626.04</v>
          </cell>
        </row>
        <row r="184">
          <cell r="R184" t="str">
            <v>country manager</v>
          </cell>
          <cell r="T184">
            <v>0</v>
          </cell>
          <cell r="U184">
            <v>60512.44</v>
          </cell>
        </row>
        <row r="185">
          <cell r="R185" t="str">
            <v>country manager</v>
          </cell>
          <cell r="T185">
            <v>0</v>
          </cell>
          <cell r="U185">
            <v>-326000</v>
          </cell>
        </row>
        <row r="186">
          <cell r="R186" t="str">
            <v>country manager</v>
          </cell>
          <cell r="T186">
            <v>7500</v>
          </cell>
          <cell r="U186">
            <v>46500</v>
          </cell>
        </row>
        <row r="187">
          <cell r="R187" t="str">
            <v>country manager</v>
          </cell>
          <cell r="T187">
            <v>0</v>
          </cell>
          <cell r="U187">
            <v>-39000</v>
          </cell>
        </row>
        <row r="188">
          <cell r="R188" t="str">
            <v>country manager</v>
          </cell>
          <cell r="T188">
            <v>-15963.570000000007</v>
          </cell>
          <cell r="U188">
            <v>169512.69</v>
          </cell>
        </row>
        <row r="189">
          <cell r="R189" t="str">
            <v>Pre-sale Director</v>
          </cell>
          <cell r="T189">
            <v>-13353.259999999995</v>
          </cell>
          <cell r="U189">
            <v>100925.6</v>
          </cell>
        </row>
        <row r="190">
          <cell r="R190" t="str">
            <v>internal sale</v>
          </cell>
          <cell r="T190">
            <v>-11402.349999999999</v>
          </cell>
          <cell r="U190">
            <v>52427.47</v>
          </cell>
        </row>
        <row r="191">
          <cell r="R191" t="str">
            <v>Pre-sale 1</v>
          </cell>
          <cell r="T191">
            <v>4485.0499999999884</v>
          </cell>
          <cell r="U191">
            <v>78069.149999999994</v>
          </cell>
        </row>
        <row r="192">
          <cell r="R192" t="str">
            <v>Sale 1</v>
          </cell>
          <cell r="T192">
            <v>-16658.049999999988</v>
          </cell>
          <cell r="U192">
            <v>79505.990000000005</v>
          </cell>
        </row>
        <row r="193">
          <cell r="R193" t="str">
            <v>Channel sale</v>
          </cell>
          <cell r="T193">
            <v>9043.5999999999913</v>
          </cell>
          <cell r="U193">
            <v>98004.95</v>
          </cell>
        </row>
        <row r="194">
          <cell r="R194" t="str">
            <v>Business developper</v>
          </cell>
          <cell r="T194">
            <v>-1975.4500000000116</v>
          </cell>
          <cell r="U194">
            <v>93721.26</v>
          </cell>
        </row>
        <row r="195">
          <cell r="R195" t="str">
            <v>Network ingeneer</v>
          </cell>
          <cell r="T195">
            <v>68.509999999998399</v>
          </cell>
          <cell r="U195">
            <v>17793.73</v>
          </cell>
        </row>
        <row r="196">
          <cell r="R196" t="str">
            <v>country manager</v>
          </cell>
          <cell r="T196">
            <v>507.2199999999998</v>
          </cell>
          <cell r="U196">
            <v>3550.54</v>
          </cell>
        </row>
        <row r="197">
          <cell r="R197" t="str">
            <v>Pre-sale Director</v>
          </cell>
          <cell r="T197">
            <v>507.2199999999998</v>
          </cell>
          <cell r="U197">
            <v>3550.54</v>
          </cell>
        </row>
        <row r="198">
          <cell r="R198" t="str">
            <v>internal sale</v>
          </cell>
          <cell r="T198">
            <v>507.2199999999998</v>
          </cell>
          <cell r="U198">
            <v>3550.54</v>
          </cell>
        </row>
        <row r="199">
          <cell r="R199" t="str">
            <v>Pre-sale 1</v>
          </cell>
          <cell r="T199">
            <v>507.2199999999998</v>
          </cell>
          <cell r="U199">
            <v>3550.54</v>
          </cell>
        </row>
        <row r="200">
          <cell r="R200" t="str">
            <v>Sale 1</v>
          </cell>
          <cell r="T200">
            <v>507.2199999999998</v>
          </cell>
          <cell r="U200">
            <v>3550.54</v>
          </cell>
        </row>
        <row r="201">
          <cell r="R201" t="str">
            <v>Channel sale</v>
          </cell>
          <cell r="T201">
            <v>507.2199999999998</v>
          </cell>
          <cell r="U201">
            <v>3550.54</v>
          </cell>
        </row>
        <row r="202">
          <cell r="R202" t="str">
            <v>Business developper</v>
          </cell>
          <cell r="T202">
            <v>507.22000000000025</v>
          </cell>
          <cell r="U202">
            <v>3505.69</v>
          </cell>
        </row>
        <row r="203">
          <cell r="R203" t="str">
            <v>Network ingeneer</v>
          </cell>
          <cell r="T203">
            <v>0</v>
          </cell>
          <cell r="U203">
            <v>1476.81</v>
          </cell>
        </row>
        <row r="204">
          <cell r="R204" t="str">
            <v>country manager</v>
          </cell>
          <cell r="T204">
            <v>672.75</v>
          </cell>
          <cell r="U204">
            <v>4709.25</v>
          </cell>
        </row>
        <row r="205">
          <cell r="R205" t="str">
            <v>Pre-sale Director</v>
          </cell>
          <cell r="T205">
            <v>672.75</v>
          </cell>
          <cell r="U205">
            <v>4709.25</v>
          </cell>
        </row>
        <row r="206">
          <cell r="R206" t="str">
            <v>internal sale</v>
          </cell>
          <cell r="T206">
            <v>672.75</v>
          </cell>
          <cell r="U206">
            <v>4709.25</v>
          </cell>
        </row>
        <row r="207">
          <cell r="R207" t="str">
            <v>Pre-sale 1</v>
          </cell>
          <cell r="T207">
            <v>672.75</v>
          </cell>
          <cell r="U207">
            <v>4709.25</v>
          </cell>
        </row>
        <row r="208">
          <cell r="R208" t="str">
            <v>Sale 1</v>
          </cell>
          <cell r="T208">
            <v>672.75</v>
          </cell>
          <cell r="U208">
            <v>4709.25</v>
          </cell>
        </row>
        <row r="209">
          <cell r="R209" t="str">
            <v>Channel sale</v>
          </cell>
          <cell r="T209">
            <v>672.75</v>
          </cell>
          <cell r="U209">
            <v>4709.25</v>
          </cell>
        </row>
        <row r="210">
          <cell r="R210" t="str">
            <v>Business developper</v>
          </cell>
          <cell r="T210">
            <v>672.75</v>
          </cell>
          <cell r="U210">
            <v>4574.7</v>
          </cell>
        </row>
        <row r="211">
          <cell r="R211" t="str">
            <v>Network ingeneer</v>
          </cell>
          <cell r="T211">
            <v>0</v>
          </cell>
          <cell r="U211">
            <v>1883.7</v>
          </cell>
        </row>
        <row r="212">
          <cell r="R212" t="str">
            <v>country manager</v>
          </cell>
          <cell r="T212">
            <v>18869.650000000009</v>
          </cell>
          <cell r="U212">
            <v>88027.38</v>
          </cell>
        </row>
        <row r="213">
          <cell r="R213" t="str">
            <v>Pre-sale Director</v>
          </cell>
          <cell r="T213">
            <v>9594.6499999999942</v>
          </cell>
          <cell r="U213">
            <v>48429.2</v>
          </cell>
        </row>
        <row r="214">
          <cell r="R214" t="str">
            <v>internal sale</v>
          </cell>
          <cell r="T214">
            <v>3058.630000000001</v>
          </cell>
          <cell r="U214">
            <v>13111.1</v>
          </cell>
        </row>
        <row r="215">
          <cell r="R215" t="str">
            <v>Pre-sale 1</v>
          </cell>
          <cell r="T215">
            <v>5673.0499999999993</v>
          </cell>
          <cell r="U215">
            <v>27819.360000000001</v>
          </cell>
        </row>
        <row r="216">
          <cell r="R216" t="str">
            <v>Sale 1</v>
          </cell>
          <cell r="T216">
            <v>6249.34</v>
          </cell>
          <cell r="U216">
            <v>29605.98</v>
          </cell>
        </row>
        <row r="217">
          <cell r="R217" t="str">
            <v>Channel sale</v>
          </cell>
          <cell r="T217">
            <v>10974.630000000001</v>
          </cell>
          <cell r="U217">
            <v>40636.83</v>
          </cell>
        </row>
        <row r="218">
          <cell r="R218" t="str">
            <v>Business developper</v>
          </cell>
          <cell r="T218">
            <v>6708.4200000000019</v>
          </cell>
          <cell r="U218">
            <v>38015.43</v>
          </cell>
        </row>
        <row r="219">
          <cell r="R219" t="str">
            <v>Network ingeneer</v>
          </cell>
          <cell r="T219">
            <v>0</v>
          </cell>
          <cell r="U219">
            <v>3556.64</v>
          </cell>
        </row>
        <row r="220">
          <cell r="R220" t="str">
            <v>country manager</v>
          </cell>
          <cell r="T220">
            <v>0</v>
          </cell>
          <cell r="U220">
            <v>5022.99</v>
          </cell>
        </row>
        <row r="221">
          <cell r="R221" t="str">
            <v>Pre-sale Director</v>
          </cell>
          <cell r="T221">
            <v>2272.4000000000015</v>
          </cell>
          <cell r="U221">
            <v>15906.79</v>
          </cell>
        </row>
        <row r="222">
          <cell r="R222" t="str">
            <v>internal sale</v>
          </cell>
          <cell r="T222">
            <v>1337.6000000000004</v>
          </cell>
          <cell r="U222">
            <v>7344.64</v>
          </cell>
        </row>
        <row r="223">
          <cell r="R223" t="str">
            <v>Pre-sale 1</v>
          </cell>
          <cell r="T223">
            <v>2044.3999999999996</v>
          </cell>
          <cell r="U223">
            <v>11472.92</v>
          </cell>
        </row>
        <row r="224">
          <cell r="R224" t="str">
            <v>Sale 1</v>
          </cell>
          <cell r="T224">
            <v>2200.2000000000007</v>
          </cell>
          <cell r="U224">
            <v>11953.28</v>
          </cell>
        </row>
        <row r="225">
          <cell r="R225" t="str">
            <v>Channel sale</v>
          </cell>
          <cell r="T225">
            <v>3600.5</v>
          </cell>
          <cell r="U225">
            <v>15085.99</v>
          </cell>
        </row>
        <row r="226">
          <cell r="R226" t="str">
            <v>Business developper</v>
          </cell>
          <cell r="T226">
            <v>2324.3099999999995</v>
          </cell>
          <cell r="U226">
            <v>14398.8</v>
          </cell>
        </row>
        <row r="227">
          <cell r="R227" t="str">
            <v>Network ingeneer</v>
          </cell>
          <cell r="T227">
            <v>0</v>
          </cell>
          <cell r="U227">
            <v>2603.5100000000002</v>
          </cell>
        </row>
        <row r="228">
          <cell r="R228" t="str">
            <v>country manager</v>
          </cell>
          <cell r="T228">
            <v>0</v>
          </cell>
          <cell r="U228">
            <v>0</v>
          </cell>
        </row>
        <row r="229">
          <cell r="R229" t="str">
            <v>country manager</v>
          </cell>
          <cell r="T229">
            <v>0</v>
          </cell>
          <cell r="U229">
            <v>0</v>
          </cell>
        </row>
        <row r="230">
          <cell r="R230" t="str">
            <v>country manager</v>
          </cell>
          <cell r="T230">
            <v>0</v>
          </cell>
          <cell r="U230">
            <v>-130000</v>
          </cell>
        </row>
        <row r="231">
          <cell r="R231" t="str">
            <v>internal sale</v>
          </cell>
          <cell r="T231">
            <v>0</v>
          </cell>
          <cell r="U231">
            <v>2946.56</v>
          </cell>
        </row>
        <row r="232">
          <cell r="R232" t="str">
            <v>Other(Printer, Paper, pen)</v>
          </cell>
          <cell r="T232">
            <v>-0.39999999999997726</v>
          </cell>
          <cell r="U232">
            <v>403.23</v>
          </cell>
        </row>
        <row r="233">
          <cell r="R233" t="str">
            <v>Bank</v>
          </cell>
          <cell r="T233">
            <v>0</v>
          </cell>
          <cell r="U233">
            <v>0</v>
          </cell>
        </row>
        <row r="234">
          <cell r="R234" t="str">
            <v>Bank</v>
          </cell>
          <cell r="T234">
            <v>962.81999999999971</v>
          </cell>
          <cell r="U234">
            <v>6825.96</v>
          </cell>
        </row>
        <row r="235">
          <cell r="R235" t="str">
            <v>Bank</v>
          </cell>
          <cell r="T235">
            <v>-126917.13</v>
          </cell>
          <cell r="U235">
            <v>20849.25</v>
          </cell>
        </row>
        <row r="236">
          <cell r="R236" t="str">
            <v>Bank</v>
          </cell>
          <cell r="T236">
            <v>0</v>
          </cell>
          <cell r="U236">
            <v>0</v>
          </cell>
        </row>
        <row r="237">
          <cell r="R237" t="str">
            <v>Bank</v>
          </cell>
          <cell r="T237">
            <v>0</v>
          </cell>
          <cell r="U237">
            <v>0</v>
          </cell>
        </row>
        <row r="238">
          <cell r="R238" t="str">
            <v>Bank</v>
          </cell>
          <cell r="T238">
            <v>0</v>
          </cell>
          <cell r="U238">
            <v>0</v>
          </cell>
        </row>
        <row r="239">
          <cell r="R239" t="str">
            <v>Bank</v>
          </cell>
          <cell r="T239">
            <v>0</v>
          </cell>
          <cell r="U239">
            <v>500</v>
          </cell>
        </row>
        <row r="240">
          <cell r="R240" t="str">
            <v>amortizations</v>
          </cell>
          <cell r="T240">
            <v>35556.720000000001</v>
          </cell>
          <cell r="U240">
            <v>227995.99</v>
          </cell>
        </row>
        <row r="241">
          <cell r="R241" t="str">
            <v>amortizations</v>
          </cell>
          <cell r="T241">
            <v>0</v>
          </cell>
          <cell r="U241">
            <v>0</v>
          </cell>
        </row>
        <row r="242">
          <cell r="R242" t="str">
            <v>Bank</v>
          </cell>
          <cell r="T242">
            <v>0</v>
          </cell>
          <cell r="U242">
            <v>0</v>
          </cell>
        </row>
        <row r="243">
          <cell r="R243" t="str">
            <v>Corporation tax</v>
          </cell>
          <cell r="T243">
            <v>0</v>
          </cell>
          <cell r="U243">
            <v>0</v>
          </cell>
        </row>
        <row r="244">
          <cell r="R244" t="str">
            <v>Commissions</v>
          </cell>
          <cell r="T244">
            <v>0</v>
          </cell>
          <cell r="U244">
            <v>-3249926.87</v>
          </cell>
        </row>
        <row r="245">
          <cell r="R245" t="str">
            <v>Other(Printer, Paper, pen)</v>
          </cell>
          <cell r="T245">
            <v>0</v>
          </cell>
          <cell r="U245">
            <v>-75.87</v>
          </cell>
        </row>
        <row r="246">
          <cell r="R246" t="str">
            <v>Bank</v>
          </cell>
          <cell r="T246">
            <v>-7558.869999999999</v>
          </cell>
          <cell r="U246">
            <v>-12612.869999999999</v>
          </cell>
        </row>
        <row r="247">
          <cell r="R247" t="str">
            <v>Bank</v>
          </cell>
          <cell r="T247">
            <v>0</v>
          </cell>
          <cell r="U247">
            <v>0</v>
          </cell>
        </row>
        <row r="248">
          <cell r="T248">
            <v>0</v>
          </cell>
          <cell r="U248">
            <v>0</v>
          </cell>
        </row>
        <row r="249">
          <cell r="R249" t="str">
            <v>country manager</v>
          </cell>
          <cell r="T249">
            <v>-7500</v>
          </cell>
          <cell r="U249">
            <v>-7500</v>
          </cell>
        </row>
        <row r="250">
          <cell r="T250">
            <v>0</v>
          </cell>
          <cell r="U250">
            <v>0</v>
          </cell>
        </row>
      </sheetData>
      <sheetData sheetId="4" refreshError="1"/>
      <sheetData sheetId="5" refreshError="1"/>
      <sheetData sheetId="6" refreshError="1">
        <row r="48">
          <cell r="E48">
            <v>-3302433.24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pproximate BC"/>
      <sheetName val="Redevelopment"/>
      <sheetName val="Remodelling"/>
      <sheetName val="Architecture"/>
      <sheetName val="Cash Flow"/>
      <sheetName val="New Cash"/>
      <sheetName val="Source"/>
      <sheetName val="부동산세금"/>
      <sheetName val="Error festival"/>
      <sheetName val="Architecture(출력용)"/>
      <sheetName val="CoA map"/>
      <sheetName val="FM 인건비(KB)"/>
      <sheetName val="Main"/>
      <sheetName val="Rent Roll_py"/>
      <sheetName val="노임이"/>
      <sheetName val="A (Calcs)"/>
      <sheetName val="B (Controls)"/>
      <sheetName val="Set-Up"/>
      <sheetName val="Multi-Iteration"/>
      <sheetName val="++++"/>
      <sheetName val="Operational Activities"/>
      <sheetName val="12.수도광열비"/>
      <sheetName val="Balance"/>
      <sheetName val="P &amp;L"/>
      <sheetName val="RECIEPT&amp;PAYMENT"/>
      <sheetName val="WREK자산임대현황-1(2월06일) "/>
      <sheetName val="KDB final cash flow"/>
      <sheetName val="Building 1"/>
      <sheetName val="노무비"/>
      <sheetName val="Voucher"/>
      <sheetName val="재무가정"/>
      <sheetName val="인원계획-미화"/>
      <sheetName val="Excess Calc"/>
      <sheetName val="Approximate_BC"/>
      <sheetName val="Cash_Flow"/>
      <sheetName val="New_Cash"/>
      <sheetName val="Error_festival"/>
      <sheetName val="CoA_map"/>
      <sheetName val="FM_인건비(KB)"/>
      <sheetName val="Rent_Roll_py"/>
      <sheetName val="A_(Calcs)"/>
      <sheetName val="B_(Controls)"/>
      <sheetName val="Building_1"/>
      <sheetName val="Operational_Activities"/>
      <sheetName val="12_수도광열비"/>
      <sheetName val="P_&amp;L"/>
      <sheetName val="WREK자산임대현황-1(2월06일)_"/>
      <sheetName val="KDB_final_cash_flow"/>
      <sheetName val="Co-Invest"/>
      <sheetName val="회사정보"/>
      <sheetName val="guard(mac)"/>
      <sheetName val="CodeTable"/>
      <sheetName val="Initial Input Variable"/>
      <sheetName val="Macro Codes"/>
      <sheetName val="Input"/>
      <sheetName val="yakumo"/>
      <sheetName val="Assumptions"/>
      <sheetName val="A"/>
      <sheetName val="PL Summary"/>
      <sheetName val="현금흐름"/>
      <sheetName val="1Month+Sheet2!"/>
      <sheetName val="Input - Global"/>
      <sheetName val="Database - Tenant"/>
      <sheetName val="Model"/>
      <sheetName val="Control Tables- Hotel"/>
      <sheetName val="ControlTablesII"/>
      <sheetName val="Roll-Over"/>
      <sheetName val="Database - Eyechart"/>
      <sheetName val="Lookup"/>
      <sheetName val="CostApp."/>
      <sheetName val="IC Accounts"/>
      <sheetName val="사옥별"/>
      <sheetName val="仲介業者"/>
      <sheetName val="CostData"/>
      <sheetName val="IncomeData"/>
      <sheetName val="Summary"/>
      <sheetName val="PropertyData"/>
      <sheetName val="기본사항"/>
      <sheetName val="Matrix"/>
      <sheetName val="입찰안"/>
      <sheetName val="96월경계 (2)"/>
      <sheetName val="ENTRIES"/>
      <sheetName val="Pro-Forma"/>
      <sheetName val="시멘트"/>
      <sheetName val="감사회사"/>
      <sheetName val="Approximate_BC1"/>
      <sheetName val="Cash_Flow1"/>
      <sheetName val="New_Cash1"/>
      <sheetName val="Error_festival1"/>
      <sheetName val="KDB_final_cash_flow1"/>
      <sheetName val="CoA_map1"/>
      <sheetName val="FM_인건비(KB)1"/>
      <sheetName val="Operational_Activities1"/>
      <sheetName val="12_수도광열비1"/>
      <sheetName val="P_&amp;L1"/>
      <sheetName val="WREK자산임대현황-1(2월06일)_1"/>
      <sheetName val="Rent_Roll_py1"/>
      <sheetName val="A_(Calcs)1"/>
      <sheetName val="B_(Controls)1"/>
      <sheetName val="Building_11"/>
      <sheetName val="Excess_Calc"/>
      <sheetName val="Initial_Input_Variable"/>
      <sheetName val="Macro_Codes"/>
      <sheetName val="PL_Summary"/>
      <sheetName val="해외법인"/>
      <sheetName val="편입조서"/>
      <sheetName val="ControlNoLinks"/>
      <sheetName val="MIML RECONCILIATIONS"/>
      <sheetName val="RAMM RECONCILIATIONS"/>
      <sheetName val="카니발(자105노60)"/>
      <sheetName val="Tenants"/>
      <sheetName val="ﾘｽﾄ"/>
      <sheetName val="자재단가비교표"/>
      <sheetName val="45,46"/>
      <sheetName val="지분법(지분수정전)"/>
      <sheetName val="C"/>
      <sheetName val="Control"/>
      <sheetName val="Xaxis"/>
      <sheetName val="B"/>
      <sheetName val="SP-B1"/>
      <sheetName val="Cash_Flow2"/>
      <sheetName val="準備ｼｰﾄ"/>
      <sheetName val="1차 내역서"/>
      <sheetName val="주차"/>
      <sheetName val="CARPENTER"/>
      <sheetName val="ALICO"/>
      <sheetName val="재무결과_현금"/>
      <sheetName val="변수"/>
      <sheetName val="2월가격"/>
      <sheetName val="ABUT수량-A1"/>
      <sheetName val="지장물"/>
      <sheetName val="수입"/>
      <sheetName val="수지"/>
      <sheetName val="데이타"/>
      <sheetName val="주관사업"/>
      <sheetName val="안산기계장치"/>
      <sheetName val="Parm"/>
      <sheetName val="수량산출1"/>
      <sheetName val="현장"/>
      <sheetName val="출자한도"/>
      <sheetName val="2010 Autal"/>
      <sheetName val="2010 Budget"/>
      <sheetName val="Appendix 01"/>
      <sheetName val="I. Assumptions"/>
      <sheetName val="CashFlows"/>
      <sheetName val="APOD"/>
      <sheetName val="Sales"/>
      <sheetName val="내역서"/>
      <sheetName val="A-General"/>
      <sheetName val="수식변수"/>
      <sheetName val="시화점실행"/>
      <sheetName val="97 사업추정(WEKI)"/>
      <sheetName val="AJE"/>
      <sheetName val="내역"/>
      <sheetName val="갑지(추정)"/>
      <sheetName val="GAEYO"/>
      <sheetName val="Assumption"/>
      <sheetName val="보증금(전신전화가입권)"/>
      <sheetName val="보증금(임차보증금외)"/>
      <sheetName val="1월"/>
      <sheetName val="ACPREF"/>
      <sheetName val="Exchange rates"/>
      <sheetName val="Import_FX"/>
      <sheetName val="YTD"/>
      <sheetName val="익월작업계힉"/>
      <sheetName val="금액내역서"/>
      <sheetName val="0"/>
      <sheetName val="제조원가명세서"/>
      <sheetName val="추정1안계획1,2,3안"/>
      <sheetName val="data"/>
      <sheetName val="법곳동"/>
      <sheetName val="대화동"/>
      <sheetName val="표준지"/>
      <sheetName val="명세표"/>
      <sheetName val="Intro2"/>
      <sheetName val="Id"/>
      <sheetName val="토지평가조서(발송용)"/>
      <sheetName val="Financ. Overview"/>
      <sheetName val="Toolbox"/>
      <sheetName val="Col"/>
      <sheetName val="KDB final cash flow.xls"/>
      <sheetName val="payment"/>
      <sheetName val="A-Property"/>
      <sheetName val="ANALY"/>
      <sheetName val="설직재-1"/>
    </sheetNames>
    <sheetDataSet>
      <sheetData sheetId="0" refreshError="1"/>
      <sheetData sheetId="1" refreshError="1"/>
      <sheetData sheetId="2" refreshError="1"/>
      <sheetData sheetId="3" refreshError="1"/>
      <sheetData sheetId="4" refreshError="1"/>
      <sheetData sheetId="5" refreshError="1">
        <row r="2">
          <cell r="A2">
            <v>9</v>
          </cell>
        </row>
      </sheetData>
      <sheetData sheetId="6" refreshError="1"/>
      <sheetData sheetId="7" refreshError="1">
        <row r="2">
          <cell r="A2">
            <v>9</v>
          </cell>
        </row>
        <row r="3">
          <cell r="A3">
            <v>1</v>
          </cell>
          <cell r="B3">
            <v>39385599292.527596</v>
          </cell>
          <cell r="C3">
            <v>2300.5</v>
          </cell>
          <cell r="D3">
            <v>40525.03</v>
          </cell>
          <cell r="E3" t="str">
            <v>BA02</v>
          </cell>
          <cell r="F3">
            <v>10663432.732014779</v>
          </cell>
          <cell r="G3">
            <v>6517.0384400000003</v>
          </cell>
          <cell r="H3" t="str">
            <v>Office &amp; Parking</v>
          </cell>
          <cell r="I3">
            <v>0</v>
          </cell>
          <cell r="J3">
            <v>0</v>
          </cell>
          <cell r="K3">
            <v>1342.068790673587</v>
          </cell>
          <cell r="L3">
            <v>39182.961209326422</v>
          </cell>
          <cell r="M3">
            <v>40525.030000000006</v>
          </cell>
          <cell r="N3">
            <v>0</v>
          </cell>
          <cell r="O3">
            <v>0</v>
          </cell>
          <cell r="P3">
            <v>870048</v>
          </cell>
          <cell r="Q3">
            <v>1087560</v>
          </cell>
          <cell r="R3">
            <v>0</v>
          </cell>
          <cell r="S3">
            <v>0</v>
          </cell>
          <cell r="T3">
            <v>90000</v>
          </cell>
          <cell r="U3">
            <v>50000</v>
          </cell>
          <cell r="V3">
            <v>0.3</v>
          </cell>
          <cell r="W3">
            <v>0.15</v>
          </cell>
          <cell r="X3">
            <v>0.1</v>
          </cell>
          <cell r="Y3">
            <v>0.05</v>
          </cell>
          <cell r="Z3">
            <v>0.05</v>
          </cell>
          <cell r="AA3" t="str">
            <v>remodel</v>
          </cell>
          <cell r="AB3" t="str">
            <v>notouch</v>
          </cell>
          <cell r="AC3" t="str">
            <v>Remodelling</v>
          </cell>
          <cell r="AD3">
            <v>674000</v>
          </cell>
          <cell r="AE3" t="str">
            <v>Office (Remodelling)</v>
          </cell>
          <cell r="AF3" t="str">
            <v>개조해서 사무실</v>
          </cell>
        </row>
        <row r="4">
          <cell r="A4">
            <v>2</v>
          </cell>
          <cell r="B4">
            <v>4900026813.8552227</v>
          </cell>
          <cell r="C4">
            <v>423.1</v>
          </cell>
          <cell r="D4">
            <v>5633.0832</v>
          </cell>
          <cell r="E4" t="str">
            <v>CA01</v>
          </cell>
          <cell r="F4">
            <v>9170000</v>
          </cell>
          <cell r="G4">
            <v>816.78029200000003</v>
          </cell>
          <cell r="H4" t="str">
            <v>Parking</v>
          </cell>
          <cell r="K4">
            <v>5633.0832</v>
          </cell>
          <cell r="M4">
            <v>5633.0832</v>
          </cell>
          <cell r="P4">
            <v>1650000</v>
          </cell>
          <cell r="T4">
            <v>51884</v>
          </cell>
          <cell r="V4">
            <v>0.25</v>
          </cell>
          <cell r="W4">
            <v>0.15</v>
          </cell>
          <cell r="X4">
            <v>0.08</v>
          </cell>
          <cell r="Y4">
            <v>0.05</v>
          </cell>
          <cell r="Z4">
            <v>0.05</v>
          </cell>
          <cell r="AC4" t="str">
            <v>Remodelling</v>
          </cell>
          <cell r="AD4">
            <v>458000</v>
          </cell>
          <cell r="AE4" t="str">
            <v>Serviced Apartment (Remodelling) - 2</v>
          </cell>
          <cell r="AF4" t="str">
            <v>원래 철거비는 더 싼데구조보강하는데 돈 들었다고 생각할란다.(85000원)</v>
          </cell>
        </row>
        <row r="5">
          <cell r="A5">
            <v>3</v>
          </cell>
          <cell r="B5">
            <v>14339515349.780529</v>
          </cell>
          <cell r="C5">
            <v>1877.4</v>
          </cell>
          <cell r="D5">
            <v>34892.32</v>
          </cell>
          <cell r="E5" t="str">
            <v>CA03</v>
          </cell>
          <cell r="F5">
            <v>11800000</v>
          </cell>
          <cell r="G5">
            <v>4788.8599999999997</v>
          </cell>
          <cell r="H5" t="str">
            <v>Office</v>
          </cell>
          <cell r="J5">
            <v>26422.372174290238</v>
          </cell>
          <cell r="K5">
            <v>8469.9478257097635</v>
          </cell>
          <cell r="M5">
            <v>34892.32</v>
          </cell>
          <cell r="O5">
            <v>1365000</v>
          </cell>
          <cell r="P5">
            <v>1465000</v>
          </cell>
          <cell r="S5">
            <v>6500000</v>
          </cell>
          <cell r="T5">
            <v>62238.000000000007</v>
          </cell>
          <cell r="V5">
            <v>0.25</v>
          </cell>
          <cell r="W5">
            <v>0.15</v>
          </cell>
          <cell r="X5">
            <v>0.1</v>
          </cell>
          <cell r="Y5">
            <v>0.05</v>
          </cell>
          <cell r="Z5">
            <v>0.05</v>
          </cell>
          <cell r="AC5" t="str">
            <v>Remodelling</v>
          </cell>
          <cell r="AD5">
            <v>508000</v>
          </cell>
          <cell r="AE5" t="str">
            <v>Officetel (Remodelling) - 1</v>
          </cell>
          <cell r="AF5" t="str">
            <v>주차장을 지하1,지상4-6층에 끼워넣기 작전, 대안5, 전용율 48.36%</v>
          </cell>
        </row>
        <row r="6">
          <cell r="A6">
            <v>4</v>
          </cell>
          <cell r="B6">
            <v>3129656446.2449169</v>
          </cell>
          <cell r="C6">
            <v>423.1</v>
          </cell>
          <cell r="D6">
            <v>3650</v>
          </cell>
          <cell r="E6" t="str">
            <v>CA01</v>
          </cell>
          <cell r="F6">
            <v>9170000</v>
          </cell>
          <cell r="G6">
            <v>350</v>
          </cell>
          <cell r="H6" t="str">
            <v>Parking</v>
          </cell>
          <cell r="I6">
            <v>0</v>
          </cell>
          <cell r="J6">
            <v>0</v>
          </cell>
          <cell r="K6">
            <v>3300</v>
          </cell>
          <cell r="L6">
            <v>0</v>
          </cell>
          <cell r="M6">
            <v>3300</v>
          </cell>
          <cell r="P6">
            <v>2200000</v>
          </cell>
          <cell r="T6">
            <v>56580</v>
          </cell>
          <cell r="V6">
            <v>0.2</v>
          </cell>
          <cell r="W6">
            <v>0.1</v>
          </cell>
          <cell r="X6">
            <v>0.05</v>
          </cell>
          <cell r="Y6">
            <v>0.05</v>
          </cell>
          <cell r="Z6">
            <v>0.05</v>
          </cell>
          <cell r="AC6" t="str">
            <v>Redevelopment</v>
          </cell>
          <cell r="AD6">
            <v>458000</v>
          </cell>
          <cell r="AE6" t="str">
            <v>Other Alternative -1</v>
          </cell>
          <cell r="AF6" t="str">
            <v>이방법은 신축시 최대규모로 갔을때인데, 사업성이 안나오니까, 투자규모를 줄이는 방법을 찾는 중이다.</v>
          </cell>
        </row>
        <row r="7">
          <cell r="A7">
            <v>5</v>
          </cell>
          <cell r="B7">
            <v>45233695391.276688</v>
          </cell>
          <cell r="C7">
            <v>1877.4</v>
          </cell>
          <cell r="D7">
            <v>34892.32</v>
          </cell>
          <cell r="E7" t="str">
            <v>BA03</v>
          </cell>
          <cell r="F7">
            <v>11800000</v>
          </cell>
          <cell r="G7">
            <v>11038.58</v>
          </cell>
          <cell r="H7" t="str">
            <v>Office</v>
          </cell>
          <cell r="I7">
            <v>31357.235017748881</v>
          </cell>
          <cell r="K7">
            <v>1451.8449822511075</v>
          </cell>
          <cell r="M7">
            <v>32809.079999999987</v>
          </cell>
          <cell r="N7">
            <v>4876128.7688661758</v>
          </cell>
          <cell r="P7">
            <v>1465000</v>
          </cell>
          <cell r="R7">
            <v>104139.20000000001</v>
          </cell>
          <cell r="T7">
            <v>75000</v>
          </cell>
          <cell r="V7">
            <v>0.35</v>
          </cell>
          <cell r="W7">
            <v>0.2</v>
          </cell>
          <cell r="X7">
            <v>0.1</v>
          </cell>
          <cell r="Y7">
            <v>0.05</v>
          </cell>
          <cell r="Z7">
            <v>0.05</v>
          </cell>
          <cell r="AC7" t="str">
            <v>Remodelling</v>
          </cell>
          <cell r="AD7">
            <v>0</v>
          </cell>
          <cell r="AE7" t="str">
            <v>Serviced Apartment (Remodelling) - 1</v>
          </cell>
          <cell r="AF7" t="str">
            <v>Centerpoint 공사단가를 참고하여 비용결정, 대안3, 전용율 33.06%</v>
          </cell>
          <cell r="AG7" t="str">
            <v>연면적 4449평을 230억원에 공사수주(일체 공사비 포함)</v>
          </cell>
        </row>
        <row r="8">
          <cell r="A8">
            <v>6</v>
          </cell>
          <cell r="B8">
            <v>3973913253.3845406</v>
          </cell>
          <cell r="C8">
            <v>423.1</v>
          </cell>
          <cell r="D8">
            <v>2731</v>
          </cell>
          <cell r="E8" t="str">
            <v>CA01</v>
          </cell>
          <cell r="F8">
            <v>9170000</v>
          </cell>
          <cell r="G8">
            <v>350</v>
          </cell>
          <cell r="H8" t="str">
            <v>Parking</v>
          </cell>
          <cell r="K8">
            <v>2731</v>
          </cell>
          <cell r="M8">
            <v>2731</v>
          </cell>
          <cell r="P8">
            <v>2050000</v>
          </cell>
          <cell r="T8">
            <v>74654</v>
          </cell>
          <cell r="V8">
            <v>0.15</v>
          </cell>
          <cell r="W8">
            <v>0.08</v>
          </cell>
          <cell r="X8">
            <v>0.05</v>
          </cell>
          <cell r="Y8">
            <v>0.05</v>
          </cell>
          <cell r="Z8">
            <v>0.05</v>
          </cell>
          <cell r="AC8" t="str">
            <v>Redevelopment</v>
          </cell>
          <cell r="AD8">
            <v>774000</v>
          </cell>
          <cell r="AE8" t="str">
            <v>Other Alternative -2</v>
          </cell>
        </row>
        <row r="9">
          <cell r="A9">
            <v>7</v>
          </cell>
          <cell r="B9">
            <v>48888838293.207954</v>
          </cell>
          <cell r="C9">
            <v>1877.4</v>
          </cell>
          <cell r="D9">
            <v>34892.32</v>
          </cell>
          <cell r="E9" t="str">
            <v>CA05</v>
          </cell>
          <cell r="F9">
            <v>11800000</v>
          </cell>
          <cell r="G9">
            <v>4654.58</v>
          </cell>
          <cell r="H9" t="str">
            <v>Office</v>
          </cell>
          <cell r="J9">
            <v>1235.4347250785793</v>
          </cell>
          <cell r="K9">
            <v>33656.88527492142</v>
          </cell>
          <cell r="M9">
            <v>34892.32</v>
          </cell>
          <cell r="P9">
            <v>1595000</v>
          </cell>
          <cell r="S9">
            <v>6500000</v>
          </cell>
          <cell r="T9">
            <v>72294.10299319042</v>
          </cell>
          <cell r="V9">
            <v>0.25</v>
          </cell>
          <cell r="W9">
            <v>0.1</v>
          </cell>
          <cell r="X9">
            <v>0.05</v>
          </cell>
          <cell r="Y9">
            <v>0.05</v>
          </cell>
          <cell r="Z9">
            <v>0.05</v>
          </cell>
          <cell r="AC9" t="str">
            <v>Remodelling</v>
          </cell>
          <cell r="AD9">
            <v>674000</v>
          </cell>
          <cell r="AE9" t="str">
            <v>Other Alternative -3</v>
          </cell>
        </row>
        <row r="10">
          <cell r="A10">
            <v>8</v>
          </cell>
          <cell r="B10">
            <v>43000000000</v>
          </cell>
          <cell r="C10">
            <v>2300.5</v>
          </cell>
          <cell r="D10">
            <v>40037.22</v>
          </cell>
          <cell r="E10" t="str">
            <v>CA05</v>
          </cell>
          <cell r="F10">
            <v>10663433</v>
          </cell>
          <cell r="G10">
            <v>5633</v>
          </cell>
          <cell r="H10" t="str">
            <v>Office &amp; Parking</v>
          </cell>
          <cell r="J10">
            <v>1239.3356558739333</v>
          </cell>
          <cell r="K10">
            <v>38797.298344126066</v>
          </cell>
          <cell r="M10">
            <v>40036.633999999998</v>
          </cell>
          <cell r="P10">
            <v>1620000</v>
          </cell>
          <cell r="S10">
            <v>6500000</v>
          </cell>
          <cell r="T10">
            <v>95504.952272327995</v>
          </cell>
          <cell r="V10">
            <v>0.35</v>
          </cell>
          <cell r="W10">
            <v>0.2</v>
          </cell>
          <cell r="X10">
            <v>0.1</v>
          </cell>
          <cell r="Y10">
            <v>0.05</v>
          </cell>
          <cell r="Z10">
            <v>0.05</v>
          </cell>
          <cell r="AA10" t="str">
            <v>remodel</v>
          </cell>
          <cell r="AB10" t="str">
            <v>notouch</v>
          </cell>
          <cell r="AC10" t="str">
            <v>Remodelling</v>
          </cell>
          <cell r="AD10">
            <v>741400.00000000012</v>
          </cell>
          <cell r="AE10" t="str">
            <v>Theme Bldg</v>
          </cell>
        </row>
        <row r="11">
          <cell r="A11">
            <v>9</v>
          </cell>
          <cell r="B11">
            <v>20658132670.418995</v>
          </cell>
          <cell r="C11">
            <v>1608.762655</v>
          </cell>
          <cell r="D11">
            <v>27998.095389229937</v>
          </cell>
          <cell r="E11" t="str">
            <v>CA05</v>
          </cell>
          <cell r="F11">
            <v>10663433</v>
          </cell>
          <cell r="G11">
            <v>4026.7956433032978</v>
          </cell>
          <cell r="H11" t="str">
            <v>Office &amp; Parking</v>
          </cell>
          <cell r="K11">
            <v>27998.095389229937</v>
          </cell>
          <cell r="M11">
            <v>27998.095389229937</v>
          </cell>
          <cell r="P11">
            <v>1620000</v>
          </cell>
          <cell r="T11">
            <v>65611.137560688148</v>
          </cell>
          <cell r="V11">
            <v>0.35</v>
          </cell>
          <cell r="W11">
            <v>0.2</v>
          </cell>
          <cell r="X11">
            <v>0.1</v>
          </cell>
          <cell r="Y11">
            <v>0.05</v>
          </cell>
          <cell r="Z11">
            <v>0.05</v>
          </cell>
          <cell r="AA11" t="str">
            <v>remodel</v>
          </cell>
          <cell r="AB11" t="str">
            <v>notouch</v>
          </cell>
          <cell r="AC11" t="str">
            <v>Remodelling</v>
          </cell>
          <cell r="AD11">
            <v>741400.00000000012</v>
          </cell>
          <cell r="AF11" t="str">
            <v>분양프로그램을 위해서 Alt8로부터 임대면적을 추출</v>
          </cell>
        </row>
        <row r="12">
          <cell r="A12">
            <v>10</v>
          </cell>
          <cell r="B12">
            <v>22341867329.581024</v>
          </cell>
          <cell r="C12">
            <v>691.737345</v>
          </cell>
          <cell r="D12">
            <v>12038.538610770061</v>
          </cell>
          <cell r="E12" t="str">
            <v>CA05</v>
          </cell>
          <cell r="F12">
            <v>10663433</v>
          </cell>
          <cell r="G12">
            <v>1606.2043566967022</v>
          </cell>
          <cell r="H12" t="str">
            <v>Office &amp; Parking</v>
          </cell>
          <cell r="K12">
            <v>12038.538610770061</v>
          </cell>
          <cell r="M12">
            <v>12038.538610770061</v>
          </cell>
          <cell r="P12">
            <v>1620000</v>
          </cell>
          <cell r="V12">
            <v>0.25</v>
          </cell>
          <cell r="AA12" t="str">
            <v>remodel</v>
          </cell>
          <cell r="AB12" t="str">
            <v>notouch</v>
          </cell>
          <cell r="AC12" t="str">
            <v>Remodelling</v>
          </cell>
          <cell r="AD12">
            <v>741400.00000000012</v>
          </cell>
        </row>
        <row r="13">
          <cell r="M13">
            <v>0</v>
          </cell>
        </row>
        <row r="14">
          <cell r="M14">
            <v>0</v>
          </cell>
        </row>
        <row r="15">
          <cell r="M15">
            <v>0</v>
          </cell>
        </row>
        <row r="16">
          <cell r="M16">
            <v>0</v>
          </cell>
        </row>
        <row r="17">
          <cell r="M17">
            <v>0</v>
          </cell>
        </row>
        <row r="18">
          <cell r="M18">
            <v>0</v>
          </cell>
        </row>
        <row r="19">
          <cell r="M19">
            <v>0</v>
          </cell>
        </row>
        <row r="20">
          <cell r="M20">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refreshError="1"/>
      <sheetData sheetId="183" refreshError="1"/>
      <sheetData sheetId="184" refreshError="1"/>
      <sheetData sheetId="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Summary"/>
      <sheetName val="Sensitivity Analysis"/>
      <sheetName val="1 Cash Flow Analysis"/>
      <sheetName val="1 Cash Flow Analysis (external)"/>
      <sheetName val="SumForGraph"/>
      <sheetName val="2 Unleveraged Report"/>
      <sheetName val="3 Leveraged Report"/>
      <sheetName val="Reversion Calcs"/>
      <sheetName val="Argus Assumptions"/>
      <sheetName val="Argus Import"/>
      <sheetName val="Leaseup Assumption"/>
      <sheetName val="Tax Calc"/>
      <sheetName val="Standard Price"/>
      <sheetName val="CAPEX Calc"/>
      <sheetName val="J1 Cash Flow Analysis"/>
      <sheetName val="J2 Unleveraged Report"/>
      <sheetName val="J3 Leveraged Report"/>
      <sheetName val="Ratio Analysis"/>
      <sheetName val="CF Input Hints"/>
      <sheetName val="Cash Flow"/>
      <sheetName val="Source"/>
      <sheetName val="Balance"/>
      <sheetName val="P &amp;L"/>
      <sheetName val="Strategy 1"/>
      <sheetName val="Euljiro 2-ga_NCC CF_Jul 26_@15M"/>
      <sheetName val="Stacking Plan"/>
      <sheetName val="지역분석"/>
      <sheetName val="A (Calcs)"/>
      <sheetName val="B (Controls)"/>
      <sheetName val="Set-Up"/>
      <sheetName val="Multi-Iteration"/>
    </sheetNames>
    <sheetDataSet>
      <sheetData sheetId="0"/>
      <sheetData sheetId="1"/>
      <sheetData sheetId="2"/>
      <sheetData sheetId="3"/>
      <sheetData sheetId="4" refreshError="1"/>
      <sheetData sheetId="5" refreshError="1"/>
      <sheetData sheetId="6" refreshError="1"/>
      <sheetData sheetId="7"/>
      <sheetData sheetId="8"/>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ing"/>
      <sheetName val="Rent R."/>
      <sheetName val="Cash Flow"/>
      <sheetName val="Source"/>
      <sheetName val="Intro2"/>
      <sheetName val="Id"/>
    </sheetNames>
    <sheetDataSet>
      <sheetData sheetId="0">
        <row r="5">
          <cell r="U5">
            <v>3.3058000000000001</v>
          </cell>
        </row>
      </sheetData>
      <sheetData sheetId="1"/>
      <sheetData sheetId="2" refreshError="1"/>
      <sheetData sheetId="3" refreshError="1"/>
      <sheetData sheetId="4" refreshError="1"/>
      <sheetData sheetId="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A-Property"/>
      <sheetName val="A-UW1"/>
      <sheetName val="A-General"/>
      <sheetName val="Stacking"/>
      <sheetName val="1 Cash Flow Analysis"/>
      <sheetName val="Summary"/>
      <sheetName val="Setup"/>
      <sheetName val="Cash Flow"/>
      <sheetName val="Source"/>
      <sheetName val="2. Summary-cash"/>
      <sheetName val="갑지1"/>
      <sheetName val="A"/>
      <sheetName val="Valuation"/>
      <sheetName val="Sheet1"/>
      <sheetName val="Trust List"/>
      <sheetName val="評価項目"/>
      <sheetName val="Memo"/>
      <sheetName val="Valuation　"/>
      <sheetName val="Pivot"/>
      <sheetName val="Ranking"/>
      <sheetName val="Ranking (Link禁止）"/>
      <sheetName val="Top 30"/>
      <sheetName val="CodeTable"/>
      <sheetName val="General Assumption"/>
      <sheetName val="StampTax"/>
      <sheetName val="노무비"/>
      <sheetName val="CostData"/>
      <sheetName val="IncomeData"/>
      <sheetName val="PropertyData"/>
      <sheetName val="공무부"/>
      <sheetName val="Assumption"/>
      <sheetName val="Development"/>
      <sheetName val="Income"/>
      <sheetName val="Total"/>
      <sheetName val="S&amp;R"/>
      <sheetName val="Macro Codes"/>
      <sheetName val="Assumptions"/>
      <sheetName val="노임단가"/>
      <sheetName val="경비_원본"/>
      <sheetName val="95WBS"/>
      <sheetName val="공사현황"/>
      <sheetName val="일위대가"/>
      <sheetName val="소비자가"/>
      <sheetName val="Milky"/>
      <sheetName val="인원계획-미화"/>
      <sheetName val="노원열병합  건축공사기성내역서"/>
      <sheetName val="Sales_Approach"/>
      <sheetName val="Rent_Adjustment"/>
      <sheetName val="Rent_Adjustment_(1F)"/>
      <sheetName val="B1_Retail_Market"/>
      <sheetName val="Cost_Approach"/>
      <sheetName val="mamt_analysis"/>
      <sheetName val="received_data"/>
      <sheetName val="Sales_Approach1"/>
      <sheetName val="Rent_Adjustment1"/>
      <sheetName val="Rent_Adjustment_(1F)1"/>
      <sheetName val="B1_Retail_Market1"/>
      <sheetName val="Cost_Approach1"/>
      <sheetName val="mamt_analysis1"/>
      <sheetName val="received_data1"/>
      <sheetName val="Cash Flows"/>
      <sheetName val="내역서"/>
      <sheetName val="Tax"/>
      <sheetName val="RPT"/>
      <sheetName val="Coverpage"/>
      <sheetName val="TB"/>
      <sheetName val="3"/>
      <sheetName val="2B"/>
      <sheetName val="동양"/>
      <sheetName val="Template"/>
      <sheetName val="comparables"/>
      <sheetName val="Deduction"/>
      <sheetName val="other"/>
      <sheetName val="Conclusion"/>
      <sheetName val="결정단가"/>
      <sheetName val="손익"/>
      <sheetName val="감사일어"/>
      <sheetName val="Set-Up"/>
      <sheetName val="B (Controls)"/>
      <sheetName val="C"/>
      <sheetName val="Control"/>
      <sheetName val="Xaxis"/>
      <sheetName val="B"/>
      <sheetName val="2.Summary-cash"/>
      <sheetName val="Forum DB"/>
      <sheetName val="1_Cash_Flow_Analysis"/>
      <sheetName val="Cash_Flow"/>
      <sheetName val="DD 002 - Annexure (W1)"/>
      <sheetName val="Source Data"/>
      <sheetName val="Debt"/>
      <sheetName val="Sensitivity"/>
      <sheetName val="crews"/>
      <sheetName val="전기일위대가"/>
      <sheetName val="1.우편집중내역서"/>
      <sheetName val="KMT물량"/>
      <sheetName val="マスタ"/>
      <sheetName val="Jupiter"/>
      <sheetName val="부하계산서"/>
      <sheetName val="직재"/>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ty"/>
      <sheetName val="Location"/>
      <sheetName val="Physical"/>
      <sheetName val="Forecloser"/>
      <sheetName val="Price Level"/>
      <sheetName val="Cost"/>
      <sheetName val="Sales"/>
      <sheetName val="Income"/>
      <sheetName val="Development"/>
      <sheetName val="Comment"/>
      <sheetName val="Total"/>
      <sheetName val="Summary"/>
      <sheetName val="Valuation Sheet"/>
      <sheetName val="Cash Flow"/>
      <sheetName val="Area"/>
      <sheetName val="Source"/>
      <sheetName val="노무비"/>
      <sheetName val="2. Summary-cash"/>
      <sheetName val="인원계획-미화"/>
      <sheetName val="2.Summary-cash"/>
    </sheetNames>
    <sheetDataSet>
      <sheetData sheetId="0">
        <row r="3">
          <cell r="A3">
            <v>10</v>
          </cell>
        </row>
      </sheetData>
      <sheetData sheetId="1">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B28" t="str">
            <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830</v>
          </cell>
          <cell r="B85" t="str">
            <v/>
          </cell>
          <cell r="C85" t="str">
            <v/>
          </cell>
          <cell r="D85" t="str">
            <v/>
          </cell>
        </row>
        <row r="86">
          <cell r="A86">
            <v>840</v>
          </cell>
          <cell r="B86" t="str">
            <v/>
          </cell>
          <cell r="C86" t="str">
            <v/>
          </cell>
          <cell r="D86" t="str">
            <v/>
          </cell>
        </row>
        <row r="87">
          <cell r="A87">
            <v>850</v>
          </cell>
          <cell r="B87" t="str">
            <v/>
          </cell>
          <cell r="C87" t="str">
            <v/>
          </cell>
          <cell r="D87" t="str">
            <v/>
          </cell>
        </row>
        <row r="88">
          <cell r="A88">
            <v>860</v>
          </cell>
          <cell r="B88" t="str">
            <v/>
          </cell>
          <cell r="C88" t="str">
            <v/>
          </cell>
          <cell r="D88" t="str">
            <v/>
          </cell>
        </row>
        <row r="89">
          <cell r="A89">
            <v>870</v>
          </cell>
          <cell r="B89" t="str">
            <v/>
          </cell>
          <cell r="C89" t="str">
            <v/>
          </cell>
          <cell r="D89" t="str">
            <v/>
          </cell>
        </row>
        <row r="90">
          <cell r="A90">
            <v>880</v>
          </cell>
          <cell r="B90" t="str">
            <v/>
          </cell>
          <cell r="C90" t="str">
            <v/>
          </cell>
          <cell r="D90" t="str">
            <v/>
          </cell>
        </row>
        <row r="91">
          <cell r="A91">
            <v>890</v>
          </cell>
          <cell r="B91" t="str">
            <v/>
          </cell>
          <cell r="C91" t="str">
            <v/>
          </cell>
          <cell r="D91" t="str">
            <v/>
          </cell>
        </row>
        <row r="92">
          <cell r="A92">
            <v>900</v>
          </cell>
          <cell r="B92" t="str">
            <v/>
          </cell>
          <cell r="C92" t="str">
            <v/>
          </cell>
          <cell r="D92" t="str">
            <v/>
          </cell>
        </row>
        <row r="93">
          <cell r="A93">
            <v>910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2">
        <row r="3">
          <cell r="A3">
            <v>10</v>
          </cell>
          <cell r="B3" t="str">
            <v/>
          </cell>
          <cell r="C3" t="str">
            <v/>
          </cell>
          <cell r="D3" t="str">
            <v>㈜대현</v>
          </cell>
          <cell r="E3" t="str">
            <v>경기도</v>
          </cell>
          <cell r="F3" t="str">
            <v>용인시</v>
          </cell>
          <cell r="G3" t="str">
            <v>역북동 370-3, 541-6</v>
          </cell>
          <cell r="H3">
            <v>18466</v>
          </cell>
          <cell r="I3">
            <v>9900</v>
          </cell>
          <cell r="J3">
            <v>12900.52</v>
          </cell>
          <cell r="K3">
            <v>12900.52</v>
          </cell>
          <cell r="M3">
            <v>3192.75</v>
          </cell>
          <cell r="N3">
            <v>1976.31</v>
          </cell>
          <cell r="O3">
            <v>1976.31</v>
          </cell>
          <cell r="P3">
            <v>1976.31</v>
          </cell>
          <cell r="Q3">
            <v>3952.62</v>
          </cell>
          <cell r="R3" t="str">
            <v>5/1</v>
          </cell>
          <cell r="AF3" t="str">
            <v>Indetermined form</v>
          </cell>
          <cell r="AG3">
            <v>1995</v>
          </cell>
          <cell r="AH3" t="str">
            <v>RC</v>
          </cell>
          <cell r="AI3" t="str">
            <v>Slab</v>
          </cell>
          <cell r="AJ3" t="str">
            <v>Pannel</v>
          </cell>
          <cell r="AK3" t="str">
            <v>B</v>
          </cell>
          <cell r="AL3">
            <v>476000</v>
          </cell>
          <cell r="AM3">
            <v>45</v>
          </cell>
          <cell r="AN3">
            <v>560000</v>
          </cell>
          <cell r="AO3">
            <v>0.1996</v>
          </cell>
          <cell r="AP3">
            <v>0.98060000000000003</v>
          </cell>
        </row>
        <row r="4">
          <cell r="A4">
            <v>20</v>
          </cell>
          <cell r="B4" t="str">
            <v/>
          </cell>
          <cell r="C4" t="str">
            <v/>
          </cell>
          <cell r="D4" t="str">
            <v>㈜대현</v>
          </cell>
          <cell r="E4" t="str">
            <v>경기도</v>
          </cell>
          <cell r="F4" t="str">
            <v>포천군</v>
          </cell>
          <cell r="G4" t="str">
            <v>내리 산64, 66외</v>
          </cell>
          <cell r="I4">
            <v>180297.52</v>
          </cell>
        </row>
        <row r="5">
          <cell r="A5">
            <v>30</v>
          </cell>
          <cell r="B5" t="str">
            <v/>
          </cell>
          <cell r="C5" t="str">
            <v/>
          </cell>
          <cell r="D5" t="str">
            <v>㈜대현</v>
          </cell>
          <cell r="E5" t="str">
            <v>대전광역시</v>
          </cell>
          <cell r="F5" t="str">
            <v/>
          </cell>
        </row>
        <row r="6">
          <cell r="A6">
            <v>40</v>
          </cell>
          <cell r="B6" t="str">
            <v/>
          </cell>
          <cell r="C6" t="str">
            <v/>
          </cell>
          <cell r="D6" t="str">
            <v>㈜고합</v>
          </cell>
          <cell r="E6" t="str">
            <v>서울시</v>
          </cell>
          <cell r="F6" t="str">
            <v>종로구</v>
          </cell>
        </row>
        <row r="7">
          <cell r="A7">
            <v>50</v>
          </cell>
          <cell r="B7" t="str">
            <v/>
          </cell>
          <cell r="C7" t="str">
            <v/>
          </cell>
          <cell r="D7" t="str">
            <v>㈜고합</v>
          </cell>
          <cell r="E7" t="str">
            <v>경기도</v>
          </cell>
          <cell r="F7" t="str">
            <v>의왕시</v>
          </cell>
          <cell r="G7" t="str">
            <v>경운동 89-4 외</v>
          </cell>
          <cell r="H7">
            <v>6242.6</v>
          </cell>
          <cell r="I7">
            <v>6242.6</v>
          </cell>
          <cell r="J7">
            <v>16811.5</v>
          </cell>
          <cell r="K7">
            <v>16811.5</v>
          </cell>
          <cell r="AF7" t="str">
            <v>Indetermined form</v>
          </cell>
          <cell r="AN7">
            <v>3870000</v>
          </cell>
          <cell r="AP7">
            <v>2.6930999999999998</v>
          </cell>
        </row>
        <row r="8">
          <cell r="A8">
            <v>60</v>
          </cell>
          <cell r="B8" t="str">
            <v/>
          </cell>
          <cell r="C8" t="str">
            <v/>
          </cell>
          <cell r="D8" t="str">
            <v>㈜고합</v>
          </cell>
          <cell r="E8" t="str">
            <v>충청남도</v>
          </cell>
          <cell r="F8" t="str">
            <v>당진군</v>
          </cell>
        </row>
        <row r="9">
          <cell r="A9">
            <v>70</v>
          </cell>
          <cell r="B9" t="str">
            <v/>
          </cell>
          <cell r="C9" t="str">
            <v/>
          </cell>
          <cell r="D9" t="str">
            <v>㈜고합</v>
          </cell>
          <cell r="E9" t="str">
            <v>멕시코</v>
          </cell>
          <cell r="F9" t="str">
            <v/>
          </cell>
        </row>
        <row r="10">
          <cell r="A10">
            <v>80</v>
          </cell>
          <cell r="B10" t="str">
            <v/>
          </cell>
          <cell r="C10" t="str">
            <v/>
          </cell>
          <cell r="D10" t="str">
            <v>대우종합기계</v>
          </cell>
          <cell r="E10" t="str">
            <v>대전광역시</v>
          </cell>
          <cell r="F10" t="str">
            <v>대덕구</v>
          </cell>
          <cell r="G10" t="str">
            <v>송촌동 292-3</v>
          </cell>
          <cell r="H10">
            <v>3824.79</v>
          </cell>
          <cell r="I10">
            <v>3824.79</v>
          </cell>
          <cell r="J10">
            <v>22952.07</v>
          </cell>
          <cell r="K10">
            <v>22952.07</v>
          </cell>
        </row>
        <row r="11">
          <cell r="A11">
            <v>90</v>
          </cell>
          <cell r="B11" t="str">
            <v/>
          </cell>
          <cell r="C11" t="str">
            <v/>
          </cell>
          <cell r="D11" t="str">
            <v>신원</v>
          </cell>
          <cell r="E11" t="str">
            <v>서울시</v>
          </cell>
          <cell r="F11" t="str">
            <v>중구</v>
          </cell>
          <cell r="G11" t="str">
            <v>명동2가 31-1,12</v>
          </cell>
          <cell r="H11">
            <v>3014.55</v>
          </cell>
          <cell r="I11">
            <v>3014.55</v>
          </cell>
          <cell r="J11">
            <v>27822.74</v>
          </cell>
          <cell r="K11">
            <v>27822.74</v>
          </cell>
        </row>
        <row r="12">
          <cell r="A12">
            <v>100</v>
          </cell>
          <cell r="B12" t="str">
            <v/>
          </cell>
          <cell r="C12" t="str">
            <v/>
          </cell>
          <cell r="D12" t="str">
            <v>남선 알미늄</v>
          </cell>
          <cell r="E12" t="str">
            <v>경상북도</v>
          </cell>
          <cell r="F12" t="str">
            <v>달성군</v>
          </cell>
        </row>
        <row r="13">
          <cell r="A13">
            <v>110</v>
          </cell>
          <cell r="B13" t="str">
            <v/>
          </cell>
          <cell r="C13" t="str">
            <v/>
          </cell>
          <cell r="D13" t="str">
            <v>미주제강</v>
          </cell>
          <cell r="E13" t="str">
            <v>전라남도</v>
          </cell>
          <cell r="F13" t="str">
            <v>순천시</v>
          </cell>
        </row>
        <row r="14">
          <cell r="A14">
            <v>120</v>
          </cell>
          <cell r="B14" t="str">
            <v/>
          </cell>
          <cell r="C14" t="str">
            <v/>
          </cell>
          <cell r="D14" t="str">
            <v>개발리스</v>
          </cell>
          <cell r="E14" t="str">
            <v>서울시</v>
          </cell>
          <cell r="F14" t="str">
            <v>종로구</v>
          </cell>
        </row>
        <row r="15">
          <cell r="A15">
            <v>130</v>
          </cell>
          <cell r="B15" t="str">
            <v/>
          </cell>
          <cell r="C15" t="str">
            <v/>
          </cell>
          <cell r="D15" t="str">
            <v>개발리스</v>
          </cell>
          <cell r="E15" t="str">
            <v>부산시</v>
          </cell>
          <cell r="F15" t="str">
            <v/>
          </cell>
        </row>
        <row r="16">
          <cell r="A16">
            <v>140</v>
          </cell>
          <cell r="B16" t="str">
            <v/>
          </cell>
          <cell r="C16" t="str">
            <v/>
          </cell>
          <cell r="D16" t="str">
            <v>신호제지</v>
          </cell>
          <cell r="E16" t="str">
            <v>대전광역시</v>
          </cell>
          <cell r="F16" t="str">
            <v>대덕구</v>
          </cell>
        </row>
        <row r="17">
          <cell r="A17">
            <v>150</v>
          </cell>
          <cell r="B17" t="str">
            <v/>
          </cell>
          <cell r="C17" t="str">
            <v/>
          </cell>
          <cell r="D17" t="str">
            <v>신호제지</v>
          </cell>
          <cell r="E17" t="str">
            <v>경기도</v>
          </cell>
          <cell r="F17" t="str">
            <v>평택시</v>
          </cell>
        </row>
        <row r="18">
          <cell r="A18">
            <v>160</v>
          </cell>
          <cell r="B18" t="str">
            <v/>
          </cell>
          <cell r="C18" t="str">
            <v/>
          </cell>
          <cell r="D18" t="str">
            <v>㈜새한</v>
          </cell>
          <cell r="E18" t="str">
            <v>경상북도</v>
          </cell>
          <cell r="F18" t="str">
            <v>경산시</v>
          </cell>
        </row>
        <row r="19">
          <cell r="A19">
            <v>170</v>
          </cell>
          <cell r="B19" t="str">
            <v/>
          </cell>
          <cell r="C19" t="str">
            <v/>
          </cell>
          <cell r="D19" t="str">
            <v>㈜새한</v>
          </cell>
          <cell r="E19" t="str">
            <v xml:space="preserve">경기도 </v>
          </cell>
          <cell r="F19" t="str">
            <v>기흥시</v>
          </cell>
        </row>
        <row r="20">
          <cell r="A20">
            <v>180</v>
          </cell>
          <cell r="B20" t="str">
            <v/>
          </cell>
          <cell r="C20" t="str">
            <v/>
          </cell>
          <cell r="D20" t="str">
            <v>㈜새한</v>
          </cell>
          <cell r="E20" t="str">
            <v>경기도</v>
          </cell>
          <cell r="F20" t="str">
            <v>기흥시</v>
          </cell>
        </row>
        <row r="21">
          <cell r="A21">
            <v>190</v>
          </cell>
          <cell r="B21" t="str">
            <v/>
          </cell>
          <cell r="C21" t="str">
            <v/>
          </cell>
          <cell r="D21" t="str">
            <v>㈜새한</v>
          </cell>
          <cell r="E21" t="str">
            <v>경기도</v>
          </cell>
          <cell r="F21" t="str">
            <v>용인시</v>
          </cell>
        </row>
        <row r="22">
          <cell r="A22">
            <v>200</v>
          </cell>
          <cell r="B22" t="str">
            <v/>
          </cell>
          <cell r="D22" t="str">
            <v>삼일공사</v>
          </cell>
          <cell r="E22" t="str">
            <v xml:space="preserve">서울시 </v>
          </cell>
          <cell r="F22" t="str">
            <v>광진구</v>
          </cell>
        </row>
        <row r="23">
          <cell r="A23">
            <v>210</v>
          </cell>
          <cell r="B23" t="str">
            <v/>
          </cell>
          <cell r="C23" t="str">
            <v/>
          </cell>
          <cell r="D23" t="str">
            <v>일동제약</v>
          </cell>
          <cell r="E23" t="str">
            <v xml:space="preserve">서울시 </v>
          </cell>
          <cell r="F23" t="str">
            <v>동대문구</v>
          </cell>
        </row>
        <row r="24">
          <cell r="A24">
            <v>220</v>
          </cell>
          <cell r="B24" t="str">
            <v/>
          </cell>
          <cell r="C24" t="str">
            <v/>
          </cell>
          <cell r="D24" t="str">
            <v>갑을</v>
          </cell>
          <cell r="E24" t="str">
            <v>서울시</v>
          </cell>
          <cell r="F24" t="str">
            <v>서초구</v>
          </cell>
          <cell r="G24" t="str">
            <v>방배동</v>
          </cell>
          <cell r="H24">
            <v>414.98</v>
          </cell>
          <cell r="I24">
            <v>414.98</v>
          </cell>
          <cell r="J24">
            <v>320</v>
          </cell>
          <cell r="K24">
            <v>320</v>
          </cell>
        </row>
        <row r="25">
          <cell r="A25">
            <v>230</v>
          </cell>
          <cell r="B25" t="str">
            <v/>
          </cell>
          <cell r="C25" t="str">
            <v/>
          </cell>
          <cell r="D25" t="str">
            <v>영창악기</v>
          </cell>
          <cell r="E25" t="str">
            <v>인천광역시</v>
          </cell>
          <cell r="F25" t="str">
            <v>서구</v>
          </cell>
          <cell r="G25" t="str">
            <v>가좌동 564-1</v>
          </cell>
          <cell r="H25">
            <v>92119</v>
          </cell>
          <cell r="I25">
            <v>92119</v>
          </cell>
          <cell r="J25">
            <v>63322.31</v>
          </cell>
          <cell r="K25">
            <v>63322.31</v>
          </cell>
        </row>
        <row r="26">
          <cell r="A26">
            <v>240</v>
          </cell>
          <cell r="B26" t="str">
            <v/>
          </cell>
          <cell r="C26" t="str">
            <v/>
          </cell>
          <cell r="D26" t="str">
            <v>벽산건설</v>
          </cell>
          <cell r="E26" t="str">
            <v>전라북도</v>
          </cell>
          <cell r="F26" t="str">
            <v>전주시</v>
          </cell>
          <cell r="G26" t="str">
            <v>중앙동 2가 26-1 (전주백화점)</v>
          </cell>
          <cell r="H26">
            <v>966.98</v>
          </cell>
          <cell r="I26">
            <v>966.98</v>
          </cell>
          <cell r="J26">
            <v>6456</v>
          </cell>
          <cell r="K26">
            <v>6456</v>
          </cell>
        </row>
        <row r="27">
          <cell r="A27">
            <v>250</v>
          </cell>
          <cell r="B27" t="str">
            <v/>
          </cell>
          <cell r="C27" t="str">
            <v/>
          </cell>
          <cell r="D27" t="str">
            <v>벽산건설</v>
          </cell>
          <cell r="E27" t="str">
            <v>경기도</v>
          </cell>
          <cell r="F27" t="str">
            <v>안양시</v>
          </cell>
          <cell r="G27" t="str">
            <v>안양동 627-287(7층중5층일부매각)</v>
          </cell>
        </row>
        <row r="28">
          <cell r="A28">
            <v>260</v>
          </cell>
          <cell r="B28" t="str">
            <v/>
          </cell>
          <cell r="C28" t="str">
            <v/>
          </cell>
          <cell r="D28" t="str">
            <v>벽산건설</v>
          </cell>
          <cell r="E28" t="str">
            <v>대전광역시</v>
          </cell>
          <cell r="F28" t="str">
            <v>서구</v>
          </cell>
          <cell r="G28" t="str">
            <v>정림동(임대아파트720세대)</v>
          </cell>
        </row>
        <row r="29">
          <cell r="A29">
            <v>270</v>
          </cell>
          <cell r="B29" t="str">
            <v/>
          </cell>
          <cell r="C29" t="str">
            <v/>
          </cell>
          <cell r="D29" t="str">
            <v>벽산건설</v>
          </cell>
          <cell r="E29" t="str">
            <v>서울시</v>
          </cell>
          <cell r="F29" t="str">
            <v>용산구</v>
          </cell>
          <cell r="G29" t="str">
            <v>한강로2가</v>
          </cell>
          <cell r="H29">
            <v>2353.65</v>
          </cell>
          <cell r="I29">
            <v>2353.65</v>
          </cell>
          <cell r="J29">
            <v>2410.7399999999998</v>
          </cell>
          <cell r="K29">
            <v>2410.7399999999998</v>
          </cell>
        </row>
        <row r="30">
          <cell r="A30">
            <v>280</v>
          </cell>
          <cell r="B30" t="str">
            <v/>
          </cell>
          <cell r="C30" t="str">
            <v/>
          </cell>
          <cell r="D30" t="str">
            <v>벽산건설</v>
          </cell>
          <cell r="E30" t="str">
            <v>서울시</v>
          </cell>
          <cell r="F30" t="str">
            <v>중구</v>
          </cell>
          <cell r="G30" t="str">
            <v>저동1가(명동재개발부지)</v>
          </cell>
          <cell r="H30">
            <v>88.99</v>
          </cell>
          <cell r="I30">
            <v>88.99</v>
          </cell>
          <cell r="J30">
            <v>141.97999999999999</v>
          </cell>
          <cell r="K30">
            <v>141.97999999999999</v>
          </cell>
        </row>
        <row r="31">
          <cell r="A31">
            <v>290</v>
          </cell>
          <cell r="B31" t="str">
            <v/>
          </cell>
          <cell r="C31" t="str">
            <v/>
          </cell>
          <cell r="D31" t="str">
            <v>벽산건설</v>
          </cell>
          <cell r="E31" t="str">
            <v>경기도</v>
          </cell>
          <cell r="F31" t="str">
            <v>평택시</v>
          </cell>
          <cell r="G31" t="str">
            <v>용이동</v>
          </cell>
          <cell r="I31">
            <v>6005.98</v>
          </cell>
          <cell r="K31">
            <v>421.98</v>
          </cell>
        </row>
        <row r="32">
          <cell r="A32">
            <v>300</v>
          </cell>
          <cell r="B32" t="str">
            <v/>
          </cell>
          <cell r="C32" t="str">
            <v/>
          </cell>
          <cell r="D32" t="str">
            <v>벽산건설</v>
          </cell>
          <cell r="E32" t="str">
            <v>서울시</v>
          </cell>
          <cell r="F32" t="str">
            <v>영등포구</v>
          </cell>
          <cell r="G32" t="str">
            <v>여의도동 13-25(정우빌딩 사무실5개 매각)</v>
          </cell>
        </row>
        <row r="33">
          <cell r="A33">
            <v>310</v>
          </cell>
          <cell r="B33" t="str">
            <v/>
          </cell>
          <cell r="C33" t="str">
            <v/>
          </cell>
          <cell r="D33" t="str">
            <v>벽산건설</v>
          </cell>
          <cell r="E33" t="str">
            <v>충청북도</v>
          </cell>
          <cell r="F33" t="str">
            <v>음성군</v>
          </cell>
          <cell r="G33" t="str">
            <v>삼성면 상곡리 145</v>
          </cell>
          <cell r="I33">
            <v>23972.99</v>
          </cell>
          <cell r="K33">
            <v>46000</v>
          </cell>
        </row>
        <row r="34">
          <cell r="A34">
            <v>320</v>
          </cell>
          <cell r="B34" t="str">
            <v/>
          </cell>
          <cell r="C34" t="str">
            <v/>
          </cell>
          <cell r="D34" t="str">
            <v>벽산건설</v>
          </cell>
          <cell r="E34" t="str">
            <v>대구광역시</v>
          </cell>
          <cell r="F34" t="str">
            <v>수성구</v>
          </cell>
          <cell r="G34" t="str">
            <v>범어동(범어타워)</v>
          </cell>
        </row>
        <row r="35">
          <cell r="A35">
            <v>330</v>
          </cell>
          <cell r="B35" t="str">
            <v/>
          </cell>
          <cell r="C35" t="str">
            <v/>
          </cell>
          <cell r="D35" t="str">
            <v>벽산건설</v>
          </cell>
          <cell r="E35" t="str">
            <v>대구광역시</v>
          </cell>
          <cell r="F35" t="str">
            <v>수성구</v>
          </cell>
          <cell r="G35" t="str">
            <v>범어동(킹덤오피스 1세대)</v>
          </cell>
        </row>
        <row r="36">
          <cell r="A36">
            <v>340</v>
          </cell>
          <cell r="B36" t="str">
            <v/>
          </cell>
          <cell r="C36" t="str">
            <v/>
          </cell>
          <cell r="D36" t="str">
            <v>벽산건설</v>
          </cell>
          <cell r="E36" t="str">
            <v>부산광역시</v>
          </cell>
          <cell r="F36" t="str">
            <v>해운대구</v>
          </cell>
          <cell r="G36" t="str">
            <v>중동빌라부지</v>
          </cell>
        </row>
        <row r="37">
          <cell r="A37">
            <v>350</v>
          </cell>
          <cell r="B37" t="str">
            <v/>
          </cell>
          <cell r="C37" t="str">
            <v/>
          </cell>
          <cell r="D37" t="str">
            <v>벽산건설</v>
          </cell>
          <cell r="E37" t="str">
            <v>서울시</v>
          </cell>
          <cell r="F37" t="str">
            <v>용산구</v>
          </cell>
          <cell r="G37" t="str">
            <v>동자동 12 (벽산125빌딩)</v>
          </cell>
          <cell r="I37">
            <v>1068.99</v>
          </cell>
          <cell r="K37">
            <v>12145.98</v>
          </cell>
        </row>
        <row r="38">
          <cell r="A38">
            <v>360</v>
          </cell>
          <cell r="B38" t="str">
            <v/>
          </cell>
          <cell r="C38" t="str">
            <v/>
          </cell>
          <cell r="D38" t="str">
            <v>벽산건설</v>
          </cell>
          <cell r="E38" t="str">
            <v>대전광역시</v>
          </cell>
          <cell r="F38" t="str">
            <v>중구</v>
          </cell>
          <cell r="G38" t="str">
            <v>유천동 10-13 외</v>
          </cell>
          <cell r="I38">
            <v>693.98</v>
          </cell>
          <cell r="K38">
            <v>4702.9799999999996</v>
          </cell>
        </row>
        <row r="39">
          <cell r="A39">
            <v>370</v>
          </cell>
          <cell r="B39" t="str">
            <v/>
          </cell>
          <cell r="C39" t="str">
            <v/>
          </cell>
          <cell r="D39" t="str">
            <v>벽산건설</v>
          </cell>
          <cell r="E39" t="str">
            <v>경기도</v>
          </cell>
          <cell r="F39" t="str">
            <v>평택시</v>
          </cell>
          <cell r="G39" t="str">
            <v>진위면 가곡리 287-1</v>
          </cell>
          <cell r="I39">
            <v>10646.98</v>
          </cell>
          <cell r="K39">
            <v>1688.99</v>
          </cell>
        </row>
        <row r="40">
          <cell r="A40">
            <v>380</v>
          </cell>
          <cell r="B40" t="str">
            <v/>
          </cell>
          <cell r="C40" t="str">
            <v/>
          </cell>
          <cell r="D40" t="str">
            <v>㈜한창</v>
          </cell>
          <cell r="E40" t="str">
            <v>경상남도</v>
          </cell>
          <cell r="F40" t="str">
            <v>양산시</v>
          </cell>
          <cell r="G40" t="str">
            <v>웅상읍 덕계리 611-1</v>
          </cell>
          <cell r="I40">
            <v>7945.98</v>
          </cell>
        </row>
        <row r="41">
          <cell r="A41">
            <v>390</v>
          </cell>
          <cell r="B41" t="str">
            <v/>
          </cell>
          <cell r="C41" t="str">
            <v/>
          </cell>
          <cell r="D41" t="str">
            <v>㈜한창</v>
          </cell>
          <cell r="E41" t="str">
            <v>부산시</v>
          </cell>
          <cell r="F41" t="str">
            <v>해운대구</v>
          </cell>
          <cell r="G41" t="str">
            <v>반여동</v>
          </cell>
          <cell r="I41">
            <v>1572</v>
          </cell>
          <cell r="K41">
            <v>1250.98</v>
          </cell>
        </row>
        <row r="42">
          <cell r="A42">
            <v>400</v>
          </cell>
          <cell r="B42" t="str">
            <v/>
          </cell>
          <cell r="C42" t="str">
            <v/>
          </cell>
          <cell r="D42" t="str">
            <v>㈜한창</v>
          </cell>
          <cell r="E42" t="str">
            <v>부산시</v>
          </cell>
          <cell r="F42" t="str">
            <v>연제구</v>
          </cell>
          <cell r="G42" t="str">
            <v>연산동 1366.1,9,14,15,17</v>
          </cell>
          <cell r="I42">
            <v>2604.9899999999998</v>
          </cell>
          <cell r="K42">
            <v>1452.99</v>
          </cell>
        </row>
        <row r="43">
          <cell r="A43">
            <v>410</v>
          </cell>
          <cell r="D43" t="str">
            <v>㈜한창</v>
          </cell>
          <cell r="E43" t="str">
            <v>부산시</v>
          </cell>
          <cell r="F43" t="str">
            <v>부산진구</v>
          </cell>
          <cell r="G43" t="str">
            <v>양정동 353-38, 39</v>
          </cell>
          <cell r="I43">
            <v>200</v>
          </cell>
        </row>
        <row r="44">
          <cell r="A44">
            <v>420</v>
          </cell>
          <cell r="B44" t="str">
            <v/>
          </cell>
          <cell r="C44" t="str">
            <v/>
          </cell>
          <cell r="D44" t="str">
            <v>㈜한창</v>
          </cell>
          <cell r="E44" t="str">
            <v>부산시</v>
          </cell>
          <cell r="F44" t="str">
            <v>동구</v>
          </cell>
          <cell r="G44" t="str">
            <v>범일동 154, 155-1</v>
          </cell>
          <cell r="I44">
            <v>113.98</v>
          </cell>
          <cell r="K44">
            <v>349.98</v>
          </cell>
        </row>
        <row r="45">
          <cell r="A45">
            <v>430</v>
          </cell>
          <cell r="B45" t="str">
            <v/>
          </cell>
          <cell r="C45" t="str">
            <v/>
          </cell>
          <cell r="D45" t="str">
            <v>㈜한창</v>
          </cell>
          <cell r="E45" t="str">
            <v>경상남도</v>
          </cell>
          <cell r="F45" t="str">
            <v>양산시</v>
          </cell>
          <cell r="G45" t="str">
            <v>하북면 76-1 외</v>
          </cell>
          <cell r="I45">
            <v>5053.8500000000004</v>
          </cell>
        </row>
        <row r="46">
          <cell r="A46">
            <v>440</v>
          </cell>
          <cell r="B46" t="str">
            <v/>
          </cell>
          <cell r="C46" t="str">
            <v/>
          </cell>
          <cell r="D46" t="str">
            <v>삼표산업</v>
          </cell>
          <cell r="E46" t="str">
            <v>서울시</v>
          </cell>
          <cell r="F46" t="str">
            <v>풍납동</v>
          </cell>
          <cell r="K46">
            <v>1350.81</v>
          </cell>
        </row>
        <row r="47">
          <cell r="A47">
            <v>450</v>
          </cell>
          <cell r="B47" t="str">
            <v/>
          </cell>
          <cell r="C47" t="str">
            <v/>
          </cell>
          <cell r="D47" t="str">
            <v>삼표산업</v>
          </cell>
          <cell r="E47" t="str">
            <v>경기도</v>
          </cell>
          <cell r="F47" t="str">
            <v>광주시</v>
          </cell>
          <cell r="G47" t="str">
            <v>삼성리</v>
          </cell>
          <cell r="I47">
            <v>26948.76</v>
          </cell>
        </row>
        <row r="48">
          <cell r="A48">
            <v>460</v>
          </cell>
          <cell r="B48" t="str">
            <v/>
          </cell>
          <cell r="C48" t="str">
            <v/>
          </cell>
          <cell r="D48" t="str">
            <v>삼표산업</v>
          </cell>
          <cell r="E48" t="str">
            <v>충청북도</v>
          </cell>
          <cell r="F48" t="str">
            <v>청원군</v>
          </cell>
          <cell r="K48">
            <v>85844.63</v>
          </cell>
        </row>
        <row r="49">
          <cell r="A49">
            <v>470</v>
          </cell>
          <cell r="B49" t="str">
            <v/>
          </cell>
          <cell r="C49" t="str">
            <v/>
          </cell>
          <cell r="D49" t="str">
            <v>삼표산업</v>
          </cell>
          <cell r="E49" t="str">
            <v>경기도</v>
          </cell>
          <cell r="F49" t="str">
            <v>남양주시</v>
          </cell>
          <cell r="G49" t="str">
            <v>양노리</v>
          </cell>
          <cell r="K49">
            <v>1861.16</v>
          </cell>
        </row>
        <row r="50">
          <cell r="A50">
            <v>480</v>
          </cell>
          <cell r="B50" t="str">
            <v/>
          </cell>
          <cell r="C50" t="str">
            <v/>
          </cell>
          <cell r="D50" t="str">
            <v>삼표산업</v>
          </cell>
          <cell r="E50" t="str">
            <v xml:space="preserve">강원도 </v>
          </cell>
          <cell r="F50" t="str">
            <v>태백시</v>
          </cell>
          <cell r="I50">
            <v>425649.59</v>
          </cell>
        </row>
        <row r="51">
          <cell r="A51">
            <v>490</v>
          </cell>
          <cell r="B51" t="str">
            <v/>
          </cell>
          <cell r="C51" t="str">
            <v/>
          </cell>
          <cell r="D51" t="str">
            <v>삼표산업</v>
          </cell>
          <cell r="E51" t="str">
            <v>경상북도</v>
          </cell>
          <cell r="F51" t="str">
            <v>안동시</v>
          </cell>
          <cell r="I51">
            <v>572161.98</v>
          </cell>
        </row>
        <row r="52">
          <cell r="A52">
            <v>500</v>
          </cell>
          <cell r="B52" t="str">
            <v/>
          </cell>
          <cell r="C52" t="str">
            <v/>
          </cell>
          <cell r="D52" t="str">
            <v>삼표산업</v>
          </cell>
          <cell r="E52" t="str">
            <v>부산시</v>
          </cell>
          <cell r="F52" t="str">
            <v/>
          </cell>
          <cell r="G52" t="str">
            <v>극동오피스텔</v>
          </cell>
        </row>
        <row r="53">
          <cell r="A53">
            <v>510</v>
          </cell>
          <cell r="B53" t="str">
            <v/>
          </cell>
          <cell r="C53" t="str">
            <v/>
          </cell>
          <cell r="D53" t="str">
            <v>삼표산업</v>
          </cell>
          <cell r="E53" t="str">
            <v>부산시</v>
          </cell>
          <cell r="F53" t="str">
            <v/>
          </cell>
          <cell r="G53" t="str">
            <v>극동오피스텔</v>
          </cell>
        </row>
        <row r="54">
          <cell r="A54">
            <v>520</v>
          </cell>
          <cell r="B54" t="str">
            <v/>
          </cell>
          <cell r="C54" t="str">
            <v/>
          </cell>
          <cell r="D54" t="str">
            <v>삼표산업</v>
          </cell>
          <cell r="E54" t="str">
            <v>부산시</v>
          </cell>
          <cell r="F54" t="str">
            <v/>
          </cell>
          <cell r="G54" t="str">
            <v>국제지하상가</v>
          </cell>
          <cell r="K54">
            <v>418.84</v>
          </cell>
        </row>
        <row r="55">
          <cell r="A55">
            <v>530</v>
          </cell>
          <cell r="B55" t="str">
            <v/>
          </cell>
          <cell r="C55" t="str">
            <v/>
          </cell>
          <cell r="D55" t="str">
            <v>삼표산업</v>
          </cell>
          <cell r="E55" t="str">
            <v>경기도</v>
          </cell>
          <cell r="F55" t="str">
            <v>양주시</v>
          </cell>
          <cell r="G55" t="str">
            <v>한주종건아파트</v>
          </cell>
        </row>
        <row r="56">
          <cell r="A56">
            <v>540</v>
          </cell>
          <cell r="B56" t="str">
            <v/>
          </cell>
          <cell r="C56" t="str">
            <v/>
          </cell>
          <cell r="D56" t="str">
            <v>삼표산업</v>
          </cell>
          <cell r="E56" t="str">
            <v>경기도</v>
          </cell>
          <cell r="F56" t="str">
            <v>광주시</v>
          </cell>
          <cell r="G56" t="str">
            <v>시대종건임대아파트</v>
          </cell>
        </row>
        <row r="57">
          <cell r="A57">
            <v>550</v>
          </cell>
          <cell r="B57" t="str">
            <v/>
          </cell>
          <cell r="C57" t="str">
            <v/>
          </cell>
          <cell r="D57" t="str">
            <v>삼표산업</v>
          </cell>
          <cell r="E57" t="str">
            <v>경기도</v>
          </cell>
          <cell r="F57" t="str">
            <v>안양시</v>
          </cell>
          <cell r="G57" t="str">
            <v>석수대림아파트</v>
          </cell>
        </row>
        <row r="58">
          <cell r="A58">
            <v>560</v>
          </cell>
          <cell r="C58" t="str">
            <v/>
          </cell>
          <cell r="D58" t="str">
            <v>세모</v>
          </cell>
          <cell r="E58" t="str">
            <v>전라남도</v>
          </cell>
          <cell r="F58" t="str">
            <v>고흥읍</v>
          </cell>
          <cell r="G58" t="str">
            <v>봉래면 1120-4외 6필지</v>
          </cell>
          <cell r="I58">
            <v>5969.98</v>
          </cell>
          <cell r="K58">
            <v>3048.99</v>
          </cell>
        </row>
        <row r="59">
          <cell r="A59">
            <v>570</v>
          </cell>
          <cell r="B59" t="str">
            <v/>
          </cell>
          <cell r="C59" t="str">
            <v/>
          </cell>
          <cell r="D59" t="str">
            <v>세모</v>
          </cell>
          <cell r="E59" t="str">
            <v>서울시</v>
          </cell>
          <cell r="F59" t="str">
            <v>강남구</v>
          </cell>
          <cell r="G59" t="str">
            <v>삼성동 5-3,55-8</v>
          </cell>
          <cell r="I59">
            <v>924</v>
          </cell>
        </row>
        <row r="60">
          <cell r="A60">
            <v>580</v>
          </cell>
          <cell r="B60" t="str">
            <v/>
          </cell>
          <cell r="C60" t="str">
            <v/>
          </cell>
          <cell r="D60" t="str">
            <v>충남방적</v>
          </cell>
          <cell r="E60" t="str">
            <v>충청남도</v>
          </cell>
          <cell r="F60" t="str">
            <v>예산읍</v>
          </cell>
          <cell r="G60" t="str">
            <v>창소리 77-3외 39필지</v>
          </cell>
          <cell r="I60">
            <v>4496.99</v>
          </cell>
          <cell r="K60">
            <v>3434.98</v>
          </cell>
        </row>
        <row r="61">
          <cell r="A61">
            <v>590</v>
          </cell>
          <cell r="C61" t="str">
            <v/>
          </cell>
          <cell r="D61" t="str">
            <v>삼미금속</v>
          </cell>
          <cell r="E61" t="str">
            <v>부산시</v>
          </cell>
          <cell r="F61" t="str">
            <v>중구</v>
          </cell>
          <cell r="G61" t="str">
            <v>신창동1가5(구 유나백화점)</v>
          </cell>
        </row>
        <row r="62">
          <cell r="A62">
            <v>600</v>
          </cell>
          <cell r="B62" t="str">
            <v/>
          </cell>
          <cell r="C62" t="str">
            <v/>
          </cell>
          <cell r="D62" t="str">
            <v>삼미금속</v>
          </cell>
          <cell r="E62" t="str">
            <v>부산시</v>
          </cell>
          <cell r="F62" t="str">
            <v>사하구</v>
          </cell>
          <cell r="I62">
            <v>832.99</v>
          </cell>
          <cell r="K62">
            <v>6306.98</v>
          </cell>
        </row>
        <row r="63">
          <cell r="A63">
            <v>610</v>
          </cell>
          <cell r="B63" t="str">
            <v/>
          </cell>
          <cell r="C63" t="str">
            <v/>
          </cell>
          <cell r="D63" t="str">
            <v/>
          </cell>
          <cell r="E63" t="str">
            <v/>
          </cell>
          <cell r="F63" t="str">
            <v/>
          </cell>
        </row>
        <row r="64">
          <cell r="A64">
            <v>620</v>
          </cell>
          <cell r="B64" t="str">
            <v/>
          </cell>
          <cell r="C64" t="str">
            <v/>
          </cell>
          <cell r="D64" t="str">
            <v/>
          </cell>
          <cell r="E64" t="str">
            <v/>
          </cell>
          <cell r="F64" t="str">
            <v/>
          </cell>
        </row>
        <row r="65">
          <cell r="A65">
            <v>630</v>
          </cell>
          <cell r="B65" t="str">
            <v/>
          </cell>
          <cell r="C65" t="str">
            <v/>
          </cell>
          <cell r="D65" t="str">
            <v/>
          </cell>
          <cell r="E65" t="str">
            <v/>
          </cell>
          <cell r="F65" t="str">
            <v/>
          </cell>
        </row>
        <row r="66">
          <cell r="A66">
            <v>640</v>
          </cell>
          <cell r="B66" t="str">
            <v/>
          </cell>
          <cell r="C66" t="str">
            <v/>
          </cell>
          <cell r="D66" t="str">
            <v/>
          </cell>
          <cell r="E66" t="str">
            <v/>
          </cell>
          <cell r="F66" t="str">
            <v/>
          </cell>
        </row>
        <row r="67">
          <cell r="A67">
            <v>650</v>
          </cell>
          <cell r="B67" t="str">
            <v/>
          </cell>
          <cell r="C67" t="str">
            <v/>
          </cell>
          <cell r="D67" t="str">
            <v/>
          </cell>
          <cell r="E67" t="str">
            <v/>
          </cell>
          <cell r="F67" t="str">
            <v/>
          </cell>
        </row>
        <row r="68">
          <cell r="A68">
            <v>660</v>
          </cell>
          <cell r="B68" t="str">
            <v/>
          </cell>
          <cell r="C68" t="str">
            <v/>
          </cell>
          <cell r="D68" t="str">
            <v/>
          </cell>
          <cell r="E68" t="str">
            <v/>
          </cell>
          <cell r="F68" t="str">
            <v/>
          </cell>
        </row>
        <row r="69">
          <cell r="A69">
            <v>670</v>
          </cell>
          <cell r="B69" t="str">
            <v/>
          </cell>
          <cell r="C69" t="str">
            <v/>
          </cell>
          <cell r="D69" t="str">
            <v/>
          </cell>
          <cell r="E69" t="str">
            <v/>
          </cell>
          <cell r="F69" t="str">
            <v/>
          </cell>
        </row>
        <row r="70">
          <cell r="A70">
            <v>680</v>
          </cell>
          <cell r="B70" t="str">
            <v/>
          </cell>
          <cell r="C70" t="str">
            <v/>
          </cell>
          <cell r="D70" t="str">
            <v/>
          </cell>
          <cell r="E70" t="str">
            <v/>
          </cell>
          <cell r="F70" t="str">
            <v/>
          </cell>
        </row>
        <row r="71">
          <cell r="A71">
            <v>690</v>
          </cell>
          <cell r="B71" t="str">
            <v/>
          </cell>
          <cell r="C71" t="str">
            <v/>
          </cell>
          <cell r="D71" t="str">
            <v/>
          </cell>
          <cell r="E71" t="str">
            <v/>
          </cell>
          <cell r="F71" t="str">
            <v/>
          </cell>
        </row>
        <row r="72">
          <cell r="A72">
            <v>700</v>
          </cell>
          <cell r="B72" t="str">
            <v/>
          </cell>
          <cell r="C72" t="str">
            <v/>
          </cell>
          <cell r="D72" t="str">
            <v/>
          </cell>
          <cell r="E72" t="str">
            <v/>
          </cell>
          <cell r="F72" t="str">
            <v/>
          </cell>
        </row>
        <row r="73">
          <cell r="A73">
            <v>710</v>
          </cell>
          <cell r="B73" t="str">
            <v/>
          </cell>
          <cell r="C73" t="str">
            <v/>
          </cell>
          <cell r="D73" t="str">
            <v/>
          </cell>
          <cell r="E73" t="str">
            <v/>
          </cell>
          <cell r="F73" t="str">
            <v/>
          </cell>
        </row>
        <row r="74">
          <cell r="A74">
            <v>720</v>
          </cell>
          <cell r="B74" t="str">
            <v/>
          </cell>
          <cell r="C74" t="str">
            <v/>
          </cell>
          <cell r="D74" t="str">
            <v/>
          </cell>
          <cell r="E74" t="str">
            <v/>
          </cell>
          <cell r="F74" t="str">
            <v/>
          </cell>
        </row>
        <row r="75">
          <cell r="A75">
            <v>730</v>
          </cell>
          <cell r="B75" t="str">
            <v/>
          </cell>
          <cell r="C75" t="str">
            <v/>
          </cell>
          <cell r="D75" t="str">
            <v/>
          </cell>
          <cell r="E75" t="str">
            <v/>
          </cell>
          <cell r="F75" t="str">
            <v/>
          </cell>
        </row>
        <row r="76">
          <cell r="A76">
            <v>740</v>
          </cell>
          <cell r="B76" t="str">
            <v/>
          </cell>
          <cell r="C76" t="str">
            <v/>
          </cell>
          <cell r="D76" t="str">
            <v/>
          </cell>
          <cell r="E76" t="str">
            <v/>
          </cell>
          <cell r="F76" t="str">
            <v/>
          </cell>
        </row>
        <row r="77">
          <cell r="A77">
            <v>750</v>
          </cell>
          <cell r="B77" t="str">
            <v/>
          </cell>
          <cell r="C77" t="str">
            <v/>
          </cell>
          <cell r="D77" t="str">
            <v/>
          </cell>
          <cell r="E77" t="str">
            <v/>
          </cell>
          <cell r="F77" t="str">
            <v/>
          </cell>
        </row>
        <row r="78">
          <cell r="A78">
            <v>760</v>
          </cell>
          <cell r="B78" t="str">
            <v/>
          </cell>
          <cell r="C78" t="str">
            <v/>
          </cell>
          <cell r="D78" t="str">
            <v/>
          </cell>
          <cell r="E78" t="str">
            <v/>
          </cell>
          <cell r="F78" t="str">
            <v/>
          </cell>
        </row>
        <row r="79">
          <cell r="A79">
            <v>770</v>
          </cell>
          <cell r="B79" t="str">
            <v/>
          </cell>
          <cell r="C79" t="str">
            <v/>
          </cell>
          <cell r="D79" t="str">
            <v/>
          </cell>
          <cell r="E79" t="str">
            <v/>
          </cell>
          <cell r="F79" t="str">
            <v/>
          </cell>
        </row>
        <row r="80">
          <cell r="A80">
            <v>780</v>
          </cell>
          <cell r="B80" t="str">
            <v/>
          </cell>
          <cell r="C80" t="str">
            <v/>
          </cell>
          <cell r="D80" t="str">
            <v/>
          </cell>
          <cell r="E80" t="str">
            <v/>
          </cell>
          <cell r="F80" t="str">
            <v/>
          </cell>
        </row>
        <row r="81">
          <cell r="A81">
            <v>790</v>
          </cell>
          <cell r="B81" t="str">
            <v/>
          </cell>
          <cell r="C81" t="str">
            <v/>
          </cell>
          <cell r="D81" t="str">
            <v/>
          </cell>
          <cell r="E81" t="str">
            <v/>
          </cell>
          <cell r="F81" t="str">
            <v/>
          </cell>
        </row>
        <row r="82">
          <cell r="A82">
            <v>790</v>
          </cell>
          <cell r="B82" t="str">
            <v/>
          </cell>
          <cell r="C82" t="str">
            <v/>
          </cell>
          <cell r="D82" t="str">
            <v/>
          </cell>
          <cell r="E82" t="str">
            <v/>
          </cell>
          <cell r="F82" t="str">
            <v/>
          </cell>
        </row>
        <row r="83">
          <cell r="A83">
            <v>800</v>
          </cell>
          <cell r="B83" t="str">
            <v/>
          </cell>
          <cell r="C83" t="str">
            <v/>
          </cell>
          <cell r="D83" t="str">
            <v/>
          </cell>
          <cell r="E83" t="str">
            <v/>
          </cell>
          <cell r="F83" t="str">
            <v/>
          </cell>
        </row>
        <row r="84">
          <cell r="A84">
            <v>810</v>
          </cell>
          <cell r="B84" t="str">
            <v/>
          </cell>
          <cell r="C84" t="str">
            <v/>
          </cell>
          <cell r="D84" t="str">
            <v/>
          </cell>
          <cell r="E84" t="str">
            <v/>
          </cell>
          <cell r="F84" t="str">
            <v/>
          </cell>
        </row>
        <row r="85">
          <cell r="A85">
            <v>820</v>
          </cell>
          <cell r="B85" t="str">
            <v/>
          </cell>
          <cell r="C85" t="str">
            <v/>
          </cell>
          <cell r="D85" t="str">
            <v/>
          </cell>
          <cell r="E85" t="str">
            <v/>
          </cell>
          <cell r="F85" t="str">
            <v/>
          </cell>
        </row>
        <row r="86">
          <cell r="A86">
            <v>830</v>
          </cell>
          <cell r="B86" t="str">
            <v/>
          </cell>
          <cell r="C86" t="str">
            <v/>
          </cell>
          <cell r="D86" t="str">
            <v/>
          </cell>
          <cell r="E86" t="str">
            <v/>
          </cell>
          <cell r="F86" t="str">
            <v/>
          </cell>
        </row>
        <row r="87">
          <cell r="A87">
            <v>840</v>
          </cell>
          <cell r="B87" t="str">
            <v/>
          </cell>
          <cell r="C87" t="str">
            <v/>
          </cell>
          <cell r="D87" t="str">
            <v/>
          </cell>
          <cell r="E87" t="str">
            <v/>
          </cell>
          <cell r="F87" t="str">
            <v/>
          </cell>
        </row>
        <row r="88">
          <cell r="A88">
            <v>850</v>
          </cell>
          <cell r="B88" t="str">
            <v/>
          </cell>
          <cell r="C88" t="str">
            <v/>
          </cell>
          <cell r="D88" t="str">
            <v/>
          </cell>
          <cell r="E88" t="str">
            <v/>
          </cell>
          <cell r="F88" t="str">
            <v/>
          </cell>
        </row>
        <row r="89">
          <cell r="A89">
            <v>860</v>
          </cell>
          <cell r="B89" t="str">
            <v/>
          </cell>
          <cell r="C89" t="str">
            <v/>
          </cell>
          <cell r="D89" t="str">
            <v/>
          </cell>
          <cell r="E89" t="str">
            <v/>
          </cell>
          <cell r="F89" t="str">
            <v/>
          </cell>
        </row>
        <row r="90">
          <cell r="A90">
            <v>870</v>
          </cell>
          <cell r="B90" t="str">
            <v/>
          </cell>
          <cell r="C90" t="str">
            <v/>
          </cell>
          <cell r="D90" t="str">
            <v/>
          </cell>
          <cell r="E90" t="str">
            <v/>
          </cell>
          <cell r="F90" t="str">
            <v/>
          </cell>
        </row>
        <row r="91">
          <cell r="A91">
            <v>880</v>
          </cell>
          <cell r="B91" t="str">
            <v/>
          </cell>
          <cell r="C91" t="str">
            <v/>
          </cell>
          <cell r="D91" t="str">
            <v/>
          </cell>
          <cell r="E91" t="str">
            <v/>
          </cell>
          <cell r="F91" t="str">
            <v/>
          </cell>
        </row>
        <row r="92">
          <cell r="A92">
            <v>890</v>
          </cell>
          <cell r="B92" t="str">
            <v/>
          </cell>
          <cell r="C92" t="str">
            <v/>
          </cell>
          <cell r="D92" t="str">
            <v/>
          </cell>
          <cell r="E92" t="str">
            <v/>
          </cell>
          <cell r="F92" t="str">
            <v/>
          </cell>
        </row>
        <row r="93">
          <cell r="A93">
            <v>900</v>
          </cell>
          <cell r="B93" t="str">
            <v/>
          </cell>
          <cell r="C93" t="str">
            <v/>
          </cell>
          <cell r="D93" t="str">
            <v/>
          </cell>
          <cell r="E93" t="str">
            <v/>
          </cell>
          <cell r="F93" t="str">
            <v/>
          </cell>
        </row>
        <row r="94">
          <cell r="A94">
            <v>910</v>
          </cell>
          <cell r="B94" t="str">
            <v/>
          </cell>
          <cell r="C94" t="str">
            <v/>
          </cell>
          <cell r="D94" t="str">
            <v/>
          </cell>
          <cell r="E94" t="str">
            <v/>
          </cell>
          <cell r="F94" t="str">
            <v/>
          </cell>
        </row>
        <row r="95">
          <cell r="A95">
            <v>920</v>
          </cell>
          <cell r="B95" t="str">
            <v/>
          </cell>
          <cell r="C95" t="str">
            <v/>
          </cell>
          <cell r="D95" t="str">
            <v/>
          </cell>
          <cell r="E95" t="str">
            <v/>
          </cell>
          <cell r="F95" t="str">
            <v/>
          </cell>
        </row>
        <row r="96">
          <cell r="A96">
            <v>930</v>
          </cell>
          <cell r="B96" t="str">
            <v/>
          </cell>
          <cell r="C96" t="str">
            <v/>
          </cell>
          <cell r="D96" t="str">
            <v/>
          </cell>
          <cell r="E96" t="str">
            <v/>
          </cell>
          <cell r="F96" t="str">
            <v/>
          </cell>
        </row>
        <row r="97">
          <cell r="A97">
            <v>940</v>
          </cell>
          <cell r="B97" t="str">
            <v/>
          </cell>
          <cell r="C97" t="str">
            <v/>
          </cell>
          <cell r="D97" t="str">
            <v/>
          </cell>
          <cell r="E97" t="str">
            <v/>
          </cell>
          <cell r="F97" t="str">
            <v/>
          </cell>
        </row>
        <row r="98">
          <cell r="A98">
            <v>950</v>
          </cell>
          <cell r="B98" t="str">
            <v/>
          </cell>
          <cell r="C98" t="str">
            <v/>
          </cell>
          <cell r="D98" t="str">
            <v/>
          </cell>
          <cell r="E98" t="str">
            <v/>
          </cell>
          <cell r="F98" t="str">
            <v/>
          </cell>
        </row>
        <row r="99">
          <cell r="A99">
            <v>960</v>
          </cell>
          <cell r="B99" t="str">
            <v/>
          </cell>
          <cell r="C99" t="str">
            <v/>
          </cell>
          <cell r="D99" t="str">
            <v/>
          </cell>
          <cell r="E99" t="str">
            <v/>
          </cell>
          <cell r="F99" t="str">
            <v/>
          </cell>
        </row>
        <row r="100">
          <cell r="A100">
            <v>970</v>
          </cell>
          <cell r="B100" t="str">
            <v/>
          </cell>
          <cell r="C100" t="str">
            <v/>
          </cell>
          <cell r="D100" t="str">
            <v/>
          </cell>
          <cell r="E100" t="str">
            <v/>
          </cell>
          <cell r="F100" t="str">
            <v/>
          </cell>
        </row>
        <row r="101">
          <cell r="A101">
            <v>980</v>
          </cell>
          <cell r="B101" t="str">
            <v/>
          </cell>
          <cell r="C101" t="str">
            <v/>
          </cell>
          <cell r="D101" t="str">
            <v/>
          </cell>
          <cell r="E101" t="str">
            <v/>
          </cell>
          <cell r="F101" t="str">
            <v/>
          </cell>
        </row>
        <row r="102">
          <cell r="A102">
            <v>990</v>
          </cell>
          <cell r="B102" t="str">
            <v/>
          </cell>
          <cell r="C102" t="str">
            <v/>
          </cell>
          <cell r="D102" t="str">
            <v/>
          </cell>
          <cell r="E102" t="str">
            <v/>
          </cell>
          <cell r="F102" t="str">
            <v/>
          </cell>
        </row>
        <row r="103">
          <cell r="A103">
            <v>1000</v>
          </cell>
          <cell r="B103" t="str">
            <v/>
          </cell>
          <cell r="C103" t="str">
            <v/>
          </cell>
          <cell r="D103" t="str">
            <v/>
          </cell>
          <cell r="E103" t="str">
            <v/>
          </cell>
          <cell r="F103" t="str">
            <v/>
          </cell>
        </row>
        <row r="104">
          <cell r="A104">
            <v>1010</v>
          </cell>
          <cell r="B104" t="str">
            <v/>
          </cell>
          <cell r="C104" t="str">
            <v/>
          </cell>
          <cell r="D104" t="str">
            <v/>
          </cell>
          <cell r="E104" t="str">
            <v/>
          </cell>
          <cell r="F104" t="str">
            <v/>
          </cell>
        </row>
        <row r="105">
          <cell r="A105">
            <v>1020</v>
          </cell>
          <cell r="B105" t="str">
            <v/>
          </cell>
          <cell r="C105" t="str">
            <v/>
          </cell>
          <cell r="D105" t="str">
            <v/>
          </cell>
          <cell r="E105" t="str">
            <v/>
          </cell>
          <cell r="F105" t="str">
            <v/>
          </cell>
        </row>
        <row r="106">
          <cell r="A106">
            <v>1030</v>
          </cell>
          <cell r="B106" t="str">
            <v/>
          </cell>
          <cell r="C106" t="str">
            <v/>
          </cell>
          <cell r="D106" t="str">
            <v/>
          </cell>
          <cell r="E106" t="str">
            <v/>
          </cell>
          <cell r="F106" t="str">
            <v/>
          </cell>
        </row>
        <row r="107">
          <cell r="A107">
            <v>1040</v>
          </cell>
          <cell r="B107" t="str">
            <v/>
          </cell>
          <cell r="C107" t="str">
            <v/>
          </cell>
          <cell r="D107" t="str">
            <v/>
          </cell>
          <cell r="E107" t="str">
            <v/>
          </cell>
          <cell r="F107" t="str">
            <v/>
          </cell>
        </row>
        <row r="108">
          <cell r="A108">
            <v>1050</v>
          </cell>
          <cell r="B108" t="str">
            <v/>
          </cell>
          <cell r="C108" t="str">
            <v/>
          </cell>
          <cell r="D108" t="str">
            <v/>
          </cell>
          <cell r="E108" t="str">
            <v/>
          </cell>
          <cell r="F108" t="str">
            <v/>
          </cell>
        </row>
        <row r="109">
          <cell r="A109">
            <v>1060</v>
          </cell>
          <cell r="B109" t="str">
            <v/>
          </cell>
          <cell r="C109" t="str">
            <v/>
          </cell>
          <cell r="D109" t="str">
            <v/>
          </cell>
          <cell r="E109" t="str">
            <v/>
          </cell>
          <cell r="F109" t="str">
            <v/>
          </cell>
        </row>
        <row r="110">
          <cell r="A110">
            <v>1070</v>
          </cell>
          <cell r="B110" t="str">
            <v/>
          </cell>
          <cell r="C110" t="str">
            <v/>
          </cell>
          <cell r="D110" t="str">
            <v/>
          </cell>
          <cell r="E110" t="str">
            <v/>
          </cell>
          <cell r="F110" t="str">
            <v/>
          </cell>
        </row>
        <row r="111">
          <cell r="A111">
            <v>1080</v>
          </cell>
          <cell r="B111" t="str">
            <v/>
          </cell>
          <cell r="C111" t="str">
            <v/>
          </cell>
          <cell r="D111" t="str">
            <v/>
          </cell>
          <cell r="E111" t="str">
            <v/>
          </cell>
          <cell r="F111" t="str">
            <v/>
          </cell>
        </row>
        <row r="112">
          <cell r="A112">
            <v>1090</v>
          </cell>
          <cell r="B112" t="str">
            <v/>
          </cell>
          <cell r="C112" t="str">
            <v/>
          </cell>
          <cell r="D112" t="str">
            <v/>
          </cell>
          <cell r="E112" t="str">
            <v/>
          </cell>
          <cell r="F112" t="str">
            <v/>
          </cell>
        </row>
        <row r="113">
          <cell r="A113">
            <v>1100</v>
          </cell>
          <cell r="B113" t="str">
            <v/>
          </cell>
          <cell r="C113" t="str">
            <v/>
          </cell>
          <cell r="D113" t="str">
            <v/>
          </cell>
          <cell r="E113" t="str">
            <v/>
          </cell>
          <cell r="F113" t="str">
            <v/>
          </cell>
        </row>
        <row r="114">
          <cell r="A114">
            <v>1110</v>
          </cell>
          <cell r="B114" t="str">
            <v/>
          </cell>
          <cell r="C114" t="str">
            <v/>
          </cell>
          <cell r="D114" t="str">
            <v/>
          </cell>
          <cell r="E114" t="str">
            <v/>
          </cell>
          <cell r="F114" t="str">
            <v/>
          </cell>
        </row>
        <row r="115">
          <cell r="A115">
            <v>1120</v>
          </cell>
          <cell r="B115" t="str">
            <v/>
          </cell>
          <cell r="C115" t="str">
            <v/>
          </cell>
          <cell r="D115" t="str">
            <v/>
          </cell>
          <cell r="E115" t="str">
            <v/>
          </cell>
          <cell r="F115" t="str">
            <v/>
          </cell>
        </row>
        <row r="116">
          <cell r="A116">
            <v>1130</v>
          </cell>
          <cell r="B116" t="str">
            <v/>
          </cell>
          <cell r="C116" t="str">
            <v/>
          </cell>
          <cell r="D116" t="str">
            <v/>
          </cell>
          <cell r="E116" t="str">
            <v/>
          </cell>
          <cell r="F116" t="str">
            <v/>
          </cell>
        </row>
        <row r="117">
          <cell r="A117">
            <v>1140</v>
          </cell>
          <cell r="B117" t="str">
            <v/>
          </cell>
          <cell r="C117" t="str">
            <v/>
          </cell>
          <cell r="D117" t="str">
            <v/>
          </cell>
          <cell r="E117" t="str">
            <v/>
          </cell>
          <cell r="F117" t="str">
            <v/>
          </cell>
        </row>
        <row r="118">
          <cell r="A118">
            <v>1150</v>
          </cell>
          <cell r="B118" t="str">
            <v/>
          </cell>
          <cell r="C118" t="str">
            <v/>
          </cell>
          <cell r="D118" t="str">
            <v/>
          </cell>
          <cell r="E118" t="str">
            <v/>
          </cell>
          <cell r="F118" t="str">
            <v/>
          </cell>
        </row>
        <row r="119">
          <cell r="A119">
            <v>1160</v>
          </cell>
          <cell r="B119" t="str">
            <v/>
          </cell>
          <cell r="C119" t="str">
            <v/>
          </cell>
          <cell r="D119" t="str">
            <v/>
          </cell>
          <cell r="E119" t="str">
            <v/>
          </cell>
          <cell r="F119" t="str">
            <v/>
          </cell>
        </row>
        <row r="120">
          <cell r="A120">
            <v>1170</v>
          </cell>
          <cell r="B120" t="str">
            <v/>
          </cell>
          <cell r="C120" t="str">
            <v/>
          </cell>
          <cell r="D120" t="str">
            <v/>
          </cell>
          <cell r="E120" t="str">
            <v/>
          </cell>
          <cell r="F120" t="str">
            <v/>
          </cell>
        </row>
        <row r="121">
          <cell r="A121">
            <v>1180</v>
          </cell>
          <cell r="B121" t="str">
            <v/>
          </cell>
          <cell r="C121" t="str">
            <v/>
          </cell>
          <cell r="D121" t="str">
            <v/>
          </cell>
          <cell r="E121" t="str">
            <v/>
          </cell>
          <cell r="F121" t="str">
            <v/>
          </cell>
        </row>
        <row r="122">
          <cell r="A122">
            <v>1190</v>
          </cell>
          <cell r="B122" t="str">
            <v/>
          </cell>
          <cell r="C122" t="str">
            <v/>
          </cell>
          <cell r="D122" t="str">
            <v/>
          </cell>
          <cell r="E122" t="str">
            <v/>
          </cell>
          <cell r="F122" t="str">
            <v/>
          </cell>
        </row>
        <row r="123">
          <cell r="A123">
            <v>1200</v>
          </cell>
          <cell r="B123" t="str">
            <v/>
          </cell>
          <cell r="C123" t="str">
            <v/>
          </cell>
          <cell r="D123" t="str">
            <v/>
          </cell>
          <cell r="E123" t="str">
            <v/>
          </cell>
          <cell r="F123" t="str">
            <v/>
          </cell>
        </row>
        <row r="124">
          <cell r="A124">
            <v>1210</v>
          </cell>
          <cell r="B124" t="str">
            <v/>
          </cell>
          <cell r="C124" t="str">
            <v/>
          </cell>
          <cell r="D124" t="str">
            <v/>
          </cell>
          <cell r="E124" t="str">
            <v/>
          </cell>
          <cell r="F124" t="str">
            <v/>
          </cell>
        </row>
        <row r="125">
          <cell r="A125">
            <v>1220</v>
          </cell>
          <cell r="B125" t="str">
            <v/>
          </cell>
          <cell r="C125" t="str">
            <v/>
          </cell>
          <cell r="D125" t="str">
            <v/>
          </cell>
          <cell r="E125" t="str">
            <v/>
          </cell>
          <cell r="F125" t="str">
            <v/>
          </cell>
        </row>
        <row r="126">
          <cell r="A126">
            <v>1230</v>
          </cell>
          <cell r="B126" t="str">
            <v/>
          </cell>
          <cell r="C126" t="str">
            <v/>
          </cell>
          <cell r="D126" t="str">
            <v/>
          </cell>
          <cell r="E126" t="str">
            <v/>
          </cell>
          <cell r="F126" t="str">
            <v/>
          </cell>
        </row>
        <row r="127">
          <cell r="A127">
            <v>1240</v>
          </cell>
          <cell r="B127" t="str">
            <v/>
          </cell>
          <cell r="C127" t="str">
            <v/>
          </cell>
          <cell r="D127" t="str">
            <v/>
          </cell>
          <cell r="E127" t="str">
            <v/>
          </cell>
          <cell r="F127" t="str">
            <v/>
          </cell>
        </row>
        <row r="128">
          <cell r="A128">
            <v>1250</v>
          </cell>
          <cell r="B128" t="str">
            <v/>
          </cell>
          <cell r="C128" t="str">
            <v/>
          </cell>
          <cell r="D128" t="str">
            <v/>
          </cell>
          <cell r="E128" t="str">
            <v/>
          </cell>
          <cell r="F128" t="str">
            <v/>
          </cell>
        </row>
        <row r="129">
          <cell r="A129">
            <v>1260</v>
          </cell>
          <cell r="B129" t="str">
            <v/>
          </cell>
          <cell r="C129" t="str">
            <v/>
          </cell>
          <cell r="D129" t="str">
            <v/>
          </cell>
          <cell r="E129" t="str">
            <v/>
          </cell>
          <cell r="F129" t="str">
            <v/>
          </cell>
        </row>
        <row r="130">
          <cell r="A130">
            <v>1270</v>
          </cell>
          <cell r="B130" t="str">
            <v/>
          </cell>
          <cell r="C130" t="str">
            <v/>
          </cell>
          <cell r="D130" t="str">
            <v/>
          </cell>
          <cell r="E130" t="str">
            <v/>
          </cell>
          <cell r="F130" t="str">
            <v/>
          </cell>
        </row>
        <row r="131">
          <cell r="A131">
            <v>1280</v>
          </cell>
          <cell r="B131" t="str">
            <v/>
          </cell>
          <cell r="C131" t="str">
            <v/>
          </cell>
          <cell r="D131" t="str">
            <v/>
          </cell>
          <cell r="E131" t="str">
            <v/>
          </cell>
          <cell r="F131" t="str">
            <v/>
          </cell>
        </row>
        <row r="132">
          <cell r="A132">
            <v>1290</v>
          </cell>
          <cell r="B132" t="str">
            <v/>
          </cell>
          <cell r="C132" t="str">
            <v/>
          </cell>
          <cell r="D132" t="str">
            <v/>
          </cell>
          <cell r="E132" t="str">
            <v/>
          </cell>
          <cell r="F132" t="str">
            <v/>
          </cell>
        </row>
        <row r="133">
          <cell r="A133">
            <v>1300</v>
          </cell>
          <cell r="B133" t="str">
            <v/>
          </cell>
          <cell r="C133" t="str">
            <v/>
          </cell>
          <cell r="D133" t="str">
            <v/>
          </cell>
          <cell r="E133" t="str">
            <v/>
          </cell>
          <cell r="F133" t="str">
            <v/>
          </cell>
        </row>
        <row r="134">
          <cell r="A134">
            <v>1310</v>
          </cell>
          <cell r="B134" t="str">
            <v/>
          </cell>
          <cell r="C134" t="str">
            <v/>
          </cell>
          <cell r="D134" t="str">
            <v/>
          </cell>
          <cell r="E134" t="str">
            <v/>
          </cell>
          <cell r="F134" t="str">
            <v/>
          </cell>
        </row>
        <row r="135">
          <cell r="A135">
            <v>1320</v>
          </cell>
          <cell r="B135" t="str">
            <v/>
          </cell>
          <cell r="C135" t="str">
            <v/>
          </cell>
          <cell r="D135" t="str">
            <v/>
          </cell>
          <cell r="E135" t="str">
            <v/>
          </cell>
          <cell r="F135" t="str">
            <v/>
          </cell>
        </row>
        <row r="136">
          <cell r="A136">
            <v>1330</v>
          </cell>
          <cell r="B136" t="str">
            <v/>
          </cell>
          <cell r="C136" t="str">
            <v/>
          </cell>
          <cell r="D136" t="str">
            <v/>
          </cell>
          <cell r="E136" t="str">
            <v/>
          </cell>
          <cell r="F136" t="str">
            <v/>
          </cell>
        </row>
        <row r="137">
          <cell r="A137">
            <v>1340</v>
          </cell>
          <cell r="B137" t="str">
            <v/>
          </cell>
          <cell r="C137" t="str">
            <v/>
          </cell>
          <cell r="D137" t="str">
            <v/>
          </cell>
          <cell r="E137" t="str">
            <v/>
          </cell>
          <cell r="F137" t="str">
            <v/>
          </cell>
        </row>
        <row r="138">
          <cell r="A138">
            <v>1350</v>
          </cell>
          <cell r="B138" t="str">
            <v/>
          </cell>
          <cell r="C138" t="str">
            <v/>
          </cell>
          <cell r="D138" t="str">
            <v/>
          </cell>
          <cell r="E138" t="str">
            <v/>
          </cell>
          <cell r="F138" t="str">
            <v/>
          </cell>
        </row>
        <row r="139">
          <cell r="A139">
            <v>1360</v>
          </cell>
          <cell r="B139" t="str">
            <v/>
          </cell>
          <cell r="C139" t="str">
            <v/>
          </cell>
          <cell r="D139" t="str">
            <v/>
          </cell>
          <cell r="E139" t="str">
            <v/>
          </cell>
          <cell r="F139" t="str">
            <v/>
          </cell>
        </row>
        <row r="140">
          <cell r="A140">
            <v>1370</v>
          </cell>
          <cell r="B140" t="str">
            <v/>
          </cell>
          <cell r="C140" t="str">
            <v/>
          </cell>
          <cell r="D140" t="str">
            <v/>
          </cell>
          <cell r="E140" t="str">
            <v/>
          </cell>
          <cell r="F140" t="str">
            <v/>
          </cell>
        </row>
        <row r="141">
          <cell r="A141">
            <v>1380</v>
          </cell>
          <cell r="B141" t="str">
            <v/>
          </cell>
          <cell r="C141" t="str">
            <v/>
          </cell>
          <cell r="D141" t="str">
            <v/>
          </cell>
          <cell r="E141" t="str">
            <v/>
          </cell>
          <cell r="F141" t="str">
            <v/>
          </cell>
        </row>
        <row r="142">
          <cell r="A142">
            <v>1390</v>
          </cell>
          <cell r="B142" t="str">
            <v/>
          </cell>
          <cell r="C142" t="str">
            <v/>
          </cell>
          <cell r="D142" t="str">
            <v/>
          </cell>
          <cell r="E142" t="str">
            <v/>
          </cell>
          <cell r="F142" t="str">
            <v/>
          </cell>
        </row>
        <row r="143">
          <cell r="A143">
            <v>1400</v>
          </cell>
          <cell r="B143" t="str">
            <v/>
          </cell>
          <cell r="C143" t="str">
            <v/>
          </cell>
          <cell r="D143" t="str">
            <v/>
          </cell>
          <cell r="E143" t="str">
            <v/>
          </cell>
          <cell r="F143" t="str">
            <v/>
          </cell>
        </row>
        <row r="144">
          <cell r="A144">
            <v>1410</v>
          </cell>
          <cell r="B144" t="str">
            <v/>
          </cell>
          <cell r="C144" t="str">
            <v/>
          </cell>
          <cell r="D144" t="str">
            <v/>
          </cell>
          <cell r="E144" t="str">
            <v/>
          </cell>
          <cell r="F144" t="str">
            <v/>
          </cell>
        </row>
        <row r="145">
          <cell r="A145">
            <v>1420</v>
          </cell>
          <cell r="B145" t="str">
            <v/>
          </cell>
          <cell r="C145" t="str">
            <v/>
          </cell>
          <cell r="D145" t="str">
            <v/>
          </cell>
          <cell r="E145" t="str">
            <v/>
          </cell>
          <cell r="F145" t="str">
            <v/>
          </cell>
        </row>
        <row r="146">
          <cell r="A146">
            <v>1430</v>
          </cell>
          <cell r="B146" t="str">
            <v/>
          </cell>
          <cell r="C146" t="str">
            <v/>
          </cell>
          <cell r="D146" t="str">
            <v/>
          </cell>
          <cell r="E146" t="str">
            <v/>
          </cell>
          <cell r="F146" t="str">
            <v/>
          </cell>
        </row>
        <row r="147">
          <cell r="A147">
            <v>1440</v>
          </cell>
          <cell r="B147" t="str">
            <v/>
          </cell>
          <cell r="C147" t="str">
            <v/>
          </cell>
          <cell r="D147" t="str">
            <v/>
          </cell>
          <cell r="E147" t="str">
            <v/>
          </cell>
          <cell r="F147" t="str">
            <v/>
          </cell>
        </row>
        <row r="148">
          <cell r="A148">
            <v>1450</v>
          </cell>
          <cell r="B148" t="str">
            <v/>
          </cell>
          <cell r="C148" t="str">
            <v/>
          </cell>
          <cell r="D148" t="str">
            <v/>
          </cell>
          <cell r="E148" t="str">
            <v/>
          </cell>
          <cell r="F148" t="str">
            <v/>
          </cell>
        </row>
        <row r="149">
          <cell r="A149">
            <v>1460</v>
          </cell>
          <cell r="B149" t="str">
            <v/>
          </cell>
          <cell r="C149" t="str">
            <v/>
          </cell>
          <cell r="D149" t="str">
            <v/>
          </cell>
          <cell r="E149" t="str">
            <v/>
          </cell>
          <cell r="F149" t="str">
            <v/>
          </cell>
        </row>
        <row r="150">
          <cell r="A150">
            <v>1470</v>
          </cell>
          <cell r="B150" t="str">
            <v/>
          </cell>
          <cell r="C150" t="str">
            <v/>
          </cell>
          <cell r="D150" t="str">
            <v/>
          </cell>
          <cell r="E150" t="str">
            <v/>
          </cell>
          <cell r="F150" t="str">
            <v/>
          </cell>
        </row>
        <row r="151">
          <cell r="A151">
            <v>1480</v>
          </cell>
          <cell r="B151" t="str">
            <v/>
          </cell>
          <cell r="C151" t="str">
            <v/>
          </cell>
          <cell r="D151" t="str">
            <v/>
          </cell>
          <cell r="E151" t="str">
            <v/>
          </cell>
          <cell r="F151" t="str">
            <v/>
          </cell>
        </row>
        <row r="152">
          <cell r="A152">
            <v>1490</v>
          </cell>
          <cell r="B152" t="str">
            <v/>
          </cell>
          <cell r="C152" t="str">
            <v/>
          </cell>
          <cell r="D152" t="str">
            <v/>
          </cell>
          <cell r="E152" t="str">
            <v/>
          </cell>
          <cell r="F152" t="str">
            <v/>
          </cell>
        </row>
        <row r="153">
          <cell r="A153">
            <v>1500</v>
          </cell>
          <cell r="B153" t="str">
            <v/>
          </cell>
          <cell r="C153" t="str">
            <v/>
          </cell>
          <cell r="D153" t="str">
            <v/>
          </cell>
          <cell r="E153" t="str">
            <v/>
          </cell>
          <cell r="F153" t="str">
            <v/>
          </cell>
        </row>
        <row r="154">
          <cell r="A154">
            <v>1510</v>
          </cell>
          <cell r="B154" t="str">
            <v/>
          </cell>
          <cell r="C154" t="str">
            <v/>
          </cell>
          <cell r="D154" t="str">
            <v/>
          </cell>
          <cell r="E154" t="str">
            <v/>
          </cell>
          <cell r="F154" t="str">
            <v/>
          </cell>
        </row>
        <row r="155">
          <cell r="A155">
            <v>1520</v>
          </cell>
          <cell r="B155" t="str">
            <v/>
          </cell>
          <cell r="C155" t="str">
            <v/>
          </cell>
          <cell r="D155" t="str">
            <v/>
          </cell>
          <cell r="E155" t="str">
            <v/>
          </cell>
          <cell r="F155" t="str">
            <v/>
          </cell>
        </row>
        <row r="156">
          <cell r="A156">
            <v>1530</v>
          </cell>
          <cell r="B156" t="str">
            <v/>
          </cell>
          <cell r="C156" t="str">
            <v/>
          </cell>
          <cell r="D156" t="str">
            <v/>
          </cell>
          <cell r="E156" t="str">
            <v/>
          </cell>
          <cell r="F156" t="str">
            <v/>
          </cell>
        </row>
        <row r="157">
          <cell r="A157">
            <v>1540</v>
          </cell>
          <cell r="B157" t="str">
            <v/>
          </cell>
          <cell r="C157" t="str">
            <v/>
          </cell>
          <cell r="D157" t="str">
            <v/>
          </cell>
          <cell r="E157" t="str">
            <v/>
          </cell>
          <cell r="F157" t="str">
            <v/>
          </cell>
        </row>
        <row r="158">
          <cell r="A158">
            <v>1550</v>
          </cell>
          <cell r="B158" t="str">
            <v/>
          </cell>
          <cell r="C158" t="str">
            <v/>
          </cell>
          <cell r="D158" t="str">
            <v/>
          </cell>
          <cell r="E158" t="str">
            <v/>
          </cell>
          <cell r="F158" t="str">
            <v/>
          </cell>
        </row>
        <row r="159">
          <cell r="A159">
            <v>1560</v>
          </cell>
          <cell r="B159" t="str">
            <v/>
          </cell>
          <cell r="C159" t="str">
            <v/>
          </cell>
          <cell r="D159" t="str">
            <v/>
          </cell>
          <cell r="E159" t="str">
            <v/>
          </cell>
          <cell r="F159" t="str">
            <v/>
          </cell>
        </row>
        <row r="160">
          <cell r="A160">
            <v>1570</v>
          </cell>
          <cell r="B160" t="str">
            <v/>
          </cell>
          <cell r="C160" t="str">
            <v/>
          </cell>
          <cell r="D160" t="str">
            <v/>
          </cell>
          <cell r="E160" t="str">
            <v/>
          </cell>
          <cell r="F160" t="str">
            <v/>
          </cell>
        </row>
        <row r="161">
          <cell r="A161">
            <v>1580</v>
          </cell>
          <cell r="B161" t="str">
            <v/>
          </cell>
          <cell r="C161" t="str">
            <v/>
          </cell>
          <cell r="D161" t="str">
            <v/>
          </cell>
          <cell r="E161" t="str">
            <v/>
          </cell>
          <cell r="F161" t="str">
            <v/>
          </cell>
        </row>
        <row r="162">
          <cell r="A162">
            <v>1590</v>
          </cell>
          <cell r="B162" t="str">
            <v/>
          </cell>
          <cell r="C162" t="str">
            <v/>
          </cell>
          <cell r="D162" t="str">
            <v/>
          </cell>
          <cell r="E162" t="str">
            <v/>
          </cell>
          <cell r="F162" t="str">
            <v/>
          </cell>
        </row>
        <row r="163">
          <cell r="A163">
            <v>1600</v>
          </cell>
          <cell r="B163" t="str">
            <v/>
          </cell>
          <cell r="C163" t="str">
            <v/>
          </cell>
          <cell r="D163" t="str">
            <v/>
          </cell>
          <cell r="E163" t="str">
            <v/>
          </cell>
          <cell r="F163" t="str">
            <v/>
          </cell>
        </row>
        <row r="164">
          <cell r="A164">
            <v>1610</v>
          </cell>
          <cell r="B164" t="str">
            <v/>
          </cell>
          <cell r="C164" t="str">
            <v/>
          </cell>
          <cell r="D164" t="str">
            <v/>
          </cell>
          <cell r="E164" t="str">
            <v/>
          </cell>
          <cell r="F164" t="str">
            <v/>
          </cell>
        </row>
        <row r="165">
          <cell r="A165">
            <v>1620</v>
          </cell>
          <cell r="B165" t="str">
            <v/>
          </cell>
          <cell r="C165" t="str">
            <v/>
          </cell>
          <cell r="D165" t="str">
            <v/>
          </cell>
          <cell r="E165" t="str">
            <v/>
          </cell>
          <cell r="F165" t="str">
            <v/>
          </cell>
        </row>
        <row r="166">
          <cell r="A166">
            <v>1630</v>
          </cell>
          <cell r="B166" t="str">
            <v/>
          </cell>
          <cell r="C166" t="str">
            <v/>
          </cell>
          <cell r="D166" t="str">
            <v/>
          </cell>
          <cell r="E166" t="str">
            <v/>
          </cell>
          <cell r="F166" t="str">
            <v/>
          </cell>
        </row>
        <row r="167">
          <cell r="A167">
            <v>1640</v>
          </cell>
          <cell r="B167" t="str">
            <v/>
          </cell>
          <cell r="C167" t="str">
            <v/>
          </cell>
          <cell r="D167" t="str">
            <v/>
          </cell>
          <cell r="E167" t="str">
            <v/>
          </cell>
          <cell r="F167" t="str">
            <v/>
          </cell>
        </row>
        <row r="168">
          <cell r="A168">
            <v>1650</v>
          </cell>
          <cell r="B168" t="str">
            <v/>
          </cell>
          <cell r="C168" t="str">
            <v/>
          </cell>
          <cell r="D168" t="str">
            <v/>
          </cell>
          <cell r="E168" t="str">
            <v/>
          </cell>
          <cell r="F168" t="str">
            <v/>
          </cell>
        </row>
        <row r="169">
          <cell r="A169">
            <v>1660</v>
          </cell>
          <cell r="B169" t="str">
            <v/>
          </cell>
          <cell r="C169" t="str">
            <v/>
          </cell>
          <cell r="D169" t="str">
            <v/>
          </cell>
          <cell r="E169" t="str">
            <v/>
          </cell>
          <cell r="F169" t="str">
            <v/>
          </cell>
        </row>
        <row r="170">
          <cell r="A170">
            <v>1670</v>
          </cell>
          <cell r="B170" t="str">
            <v/>
          </cell>
          <cell r="C170" t="str">
            <v/>
          </cell>
          <cell r="D170" t="str">
            <v/>
          </cell>
          <cell r="E170" t="str">
            <v/>
          </cell>
          <cell r="F170" t="str">
            <v/>
          </cell>
        </row>
        <row r="171">
          <cell r="A171">
            <v>1680</v>
          </cell>
          <cell r="B171" t="str">
            <v/>
          </cell>
          <cell r="C171" t="str">
            <v/>
          </cell>
          <cell r="D171" t="str">
            <v/>
          </cell>
          <cell r="E171" t="str">
            <v/>
          </cell>
          <cell r="F171" t="str">
            <v/>
          </cell>
        </row>
        <row r="172">
          <cell r="A172">
            <v>1690</v>
          </cell>
          <cell r="B172" t="str">
            <v/>
          </cell>
          <cell r="C172" t="str">
            <v/>
          </cell>
          <cell r="D172" t="str">
            <v/>
          </cell>
          <cell r="E172" t="str">
            <v/>
          </cell>
          <cell r="F172" t="str">
            <v/>
          </cell>
        </row>
        <row r="173">
          <cell r="A173">
            <v>1700</v>
          </cell>
          <cell r="B173" t="str">
            <v/>
          </cell>
          <cell r="C173" t="str">
            <v/>
          </cell>
          <cell r="D173" t="str">
            <v/>
          </cell>
          <cell r="E173" t="str">
            <v/>
          </cell>
          <cell r="F173" t="str">
            <v/>
          </cell>
        </row>
        <row r="174">
          <cell r="A174">
            <v>1710</v>
          </cell>
          <cell r="B174" t="str">
            <v/>
          </cell>
          <cell r="C174" t="str">
            <v/>
          </cell>
          <cell r="D174" t="str">
            <v/>
          </cell>
          <cell r="E174" t="str">
            <v/>
          </cell>
          <cell r="F174" t="str">
            <v/>
          </cell>
        </row>
        <row r="175">
          <cell r="A175">
            <v>1720</v>
          </cell>
          <cell r="B175" t="str">
            <v/>
          </cell>
          <cell r="C175" t="str">
            <v/>
          </cell>
          <cell r="D175" t="str">
            <v/>
          </cell>
          <cell r="E175" t="str">
            <v/>
          </cell>
          <cell r="F175" t="str">
            <v/>
          </cell>
        </row>
        <row r="176">
          <cell r="A176">
            <v>1730</v>
          </cell>
          <cell r="B176" t="str">
            <v/>
          </cell>
          <cell r="C176" t="str">
            <v/>
          </cell>
          <cell r="D176" t="str">
            <v/>
          </cell>
          <cell r="E176" t="str">
            <v/>
          </cell>
          <cell r="F176" t="str">
            <v/>
          </cell>
        </row>
        <row r="177">
          <cell r="A177">
            <v>1740</v>
          </cell>
          <cell r="B177" t="str">
            <v/>
          </cell>
          <cell r="C177" t="str">
            <v/>
          </cell>
          <cell r="D177" t="str">
            <v/>
          </cell>
          <cell r="E177" t="str">
            <v/>
          </cell>
          <cell r="F177" t="str">
            <v/>
          </cell>
        </row>
        <row r="178">
          <cell r="A178">
            <v>1750</v>
          </cell>
          <cell r="B178" t="str">
            <v/>
          </cell>
          <cell r="C178" t="str">
            <v/>
          </cell>
          <cell r="D178" t="str">
            <v/>
          </cell>
          <cell r="E178" t="str">
            <v/>
          </cell>
          <cell r="F178" t="str">
            <v/>
          </cell>
        </row>
        <row r="179">
          <cell r="A179">
            <v>1760</v>
          </cell>
          <cell r="B179" t="str">
            <v/>
          </cell>
          <cell r="C179" t="str">
            <v/>
          </cell>
          <cell r="D179" t="str">
            <v/>
          </cell>
          <cell r="E179" t="str">
            <v/>
          </cell>
          <cell r="F179" t="str">
            <v/>
          </cell>
        </row>
        <row r="180">
          <cell r="A180">
            <v>1770</v>
          </cell>
          <cell r="B180" t="str">
            <v/>
          </cell>
          <cell r="C180" t="str">
            <v/>
          </cell>
          <cell r="D180" t="str">
            <v/>
          </cell>
          <cell r="E180" t="str">
            <v/>
          </cell>
          <cell r="F180" t="str">
            <v/>
          </cell>
        </row>
        <row r="181">
          <cell r="A181">
            <v>1780</v>
          </cell>
          <cell r="B181" t="str">
            <v/>
          </cell>
          <cell r="C181" t="str">
            <v/>
          </cell>
          <cell r="D181" t="str">
            <v/>
          </cell>
          <cell r="E181" t="str">
            <v/>
          </cell>
          <cell r="F181" t="str">
            <v/>
          </cell>
        </row>
        <row r="182">
          <cell r="A182">
            <v>1790</v>
          </cell>
          <cell r="B182" t="str">
            <v/>
          </cell>
          <cell r="C182" t="str">
            <v/>
          </cell>
          <cell r="D182" t="str">
            <v/>
          </cell>
          <cell r="E182" t="str">
            <v/>
          </cell>
          <cell r="F182" t="str">
            <v/>
          </cell>
        </row>
        <row r="183">
          <cell r="A183">
            <v>1800</v>
          </cell>
          <cell r="B183" t="str">
            <v/>
          </cell>
          <cell r="C183" t="str">
            <v/>
          </cell>
          <cell r="D183" t="str">
            <v/>
          </cell>
          <cell r="E183" t="str">
            <v/>
          </cell>
          <cell r="F183" t="str">
            <v/>
          </cell>
        </row>
        <row r="184">
          <cell r="A184">
            <v>1810</v>
          </cell>
          <cell r="B184" t="str">
            <v/>
          </cell>
          <cell r="C184" t="str">
            <v/>
          </cell>
          <cell r="D184" t="str">
            <v/>
          </cell>
          <cell r="E184" t="str">
            <v/>
          </cell>
          <cell r="F184" t="str">
            <v/>
          </cell>
        </row>
        <row r="185">
          <cell r="A185">
            <v>1820</v>
          </cell>
          <cell r="B185" t="str">
            <v/>
          </cell>
          <cell r="C185" t="str">
            <v/>
          </cell>
          <cell r="D185" t="str">
            <v/>
          </cell>
          <cell r="E185" t="str">
            <v/>
          </cell>
          <cell r="F185" t="str">
            <v/>
          </cell>
        </row>
        <row r="186">
          <cell r="A186">
            <v>1830</v>
          </cell>
          <cell r="B186" t="str">
            <v/>
          </cell>
          <cell r="C186" t="str">
            <v/>
          </cell>
          <cell r="D186" t="str">
            <v/>
          </cell>
          <cell r="E186" t="str">
            <v/>
          </cell>
          <cell r="F186" t="str">
            <v/>
          </cell>
        </row>
        <row r="187">
          <cell r="A187">
            <v>1840</v>
          </cell>
          <cell r="B187" t="str">
            <v/>
          </cell>
          <cell r="C187" t="str">
            <v/>
          </cell>
          <cell r="D187" t="str">
            <v/>
          </cell>
          <cell r="E187" t="str">
            <v/>
          </cell>
          <cell r="F187" t="str">
            <v/>
          </cell>
        </row>
        <row r="188">
          <cell r="A188">
            <v>1850</v>
          </cell>
          <cell r="B188" t="str">
            <v/>
          </cell>
          <cell r="C188" t="str">
            <v/>
          </cell>
          <cell r="D188" t="str">
            <v/>
          </cell>
          <cell r="E188" t="str">
            <v/>
          </cell>
          <cell r="F188" t="str">
            <v/>
          </cell>
        </row>
        <row r="189">
          <cell r="A189">
            <v>1860</v>
          </cell>
          <cell r="B189" t="str">
            <v/>
          </cell>
          <cell r="C189" t="str">
            <v/>
          </cell>
          <cell r="D189" t="str">
            <v/>
          </cell>
          <cell r="E189" t="str">
            <v/>
          </cell>
          <cell r="F189" t="str">
            <v/>
          </cell>
        </row>
        <row r="190">
          <cell r="A190">
            <v>1870</v>
          </cell>
          <cell r="B190" t="str">
            <v/>
          </cell>
          <cell r="C190" t="str">
            <v/>
          </cell>
          <cell r="D190" t="str">
            <v/>
          </cell>
          <cell r="E190" t="str">
            <v/>
          </cell>
          <cell r="F190" t="str">
            <v/>
          </cell>
        </row>
        <row r="191">
          <cell r="A191">
            <v>1880</v>
          </cell>
          <cell r="B191" t="str">
            <v/>
          </cell>
          <cell r="C191" t="str">
            <v/>
          </cell>
          <cell r="D191" t="str">
            <v/>
          </cell>
          <cell r="E191" t="str">
            <v/>
          </cell>
          <cell r="F191" t="str">
            <v/>
          </cell>
        </row>
        <row r="192">
          <cell r="A192">
            <v>1890</v>
          </cell>
          <cell r="B192" t="str">
            <v/>
          </cell>
          <cell r="C192" t="str">
            <v/>
          </cell>
          <cell r="D192" t="str">
            <v/>
          </cell>
          <cell r="E192" t="str">
            <v/>
          </cell>
          <cell r="F192" t="str">
            <v/>
          </cell>
        </row>
        <row r="193">
          <cell r="A193">
            <v>1900</v>
          </cell>
          <cell r="B193" t="str">
            <v/>
          </cell>
          <cell r="C193" t="str">
            <v/>
          </cell>
          <cell r="D193" t="str">
            <v/>
          </cell>
          <cell r="E193" t="str">
            <v/>
          </cell>
          <cell r="F193" t="str">
            <v/>
          </cell>
        </row>
        <row r="194">
          <cell r="A194">
            <v>1910</v>
          </cell>
          <cell r="B194" t="str">
            <v/>
          </cell>
          <cell r="C194" t="str">
            <v/>
          </cell>
          <cell r="D194" t="str">
            <v/>
          </cell>
          <cell r="E194" t="str">
            <v/>
          </cell>
          <cell r="F194" t="str">
            <v/>
          </cell>
        </row>
        <row r="195">
          <cell r="A195">
            <v>1920</v>
          </cell>
          <cell r="B195" t="str">
            <v/>
          </cell>
          <cell r="C195" t="str">
            <v/>
          </cell>
          <cell r="D195" t="str">
            <v/>
          </cell>
          <cell r="E195" t="str">
            <v/>
          </cell>
          <cell r="F195" t="str">
            <v/>
          </cell>
        </row>
        <row r="196">
          <cell r="A196">
            <v>1930</v>
          </cell>
          <cell r="B196" t="str">
            <v/>
          </cell>
          <cell r="C196" t="str">
            <v/>
          </cell>
          <cell r="D196" t="str">
            <v/>
          </cell>
          <cell r="E196" t="str">
            <v/>
          </cell>
          <cell r="F196" t="str">
            <v/>
          </cell>
        </row>
        <row r="197">
          <cell r="A197">
            <v>1940</v>
          </cell>
          <cell r="B197" t="str">
            <v/>
          </cell>
          <cell r="C197" t="str">
            <v/>
          </cell>
          <cell r="D197" t="str">
            <v/>
          </cell>
          <cell r="E197" t="str">
            <v/>
          </cell>
          <cell r="F197" t="str">
            <v/>
          </cell>
        </row>
        <row r="198">
          <cell r="A198">
            <v>1950</v>
          </cell>
          <cell r="B198" t="str">
            <v/>
          </cell>
          <cell r="C198" t="str">
            <v/>
          </cell>
          <cell r="D198" t="str">
            <v/>
          </cell>
          <cell r="E198" t="str">
            <v/>
          </cell>
          <cell r="F198" t="str">
            <v/>
          </cell>
        </row>
        <row r="199">
          <cell r="A199">
            <v>1960</v>
          </cell>
          <cell r="B199" t="str">
            <v/>
          </cell>
          <cell r="C199" t="str">
            <v/>
          </cell>
          <cell r="D199" t="str">
            <v/>
          </cell>
          <cell r="E199" t="str">
            <v/>
          </cell>
          <cell r="F199" t="str">
            <v/>
          </cell>
        </row>
        <row r="200">
          <cell r="A200">
            <v>1970</v>
          </cell>
          <cell r="B200" t="str">
            <v/>
          </cell>
          <cell r="C200" t="str">
            <v/>
          </cell>
          <cell r="D200" t="str">
            <v/>
          </cell>
          <cell r="E200" t="str">
            <v/>
          </cell>
          <cell r="F200" t="str">
            <v/>
          </cell>
        </row>
        <row r="201">
          <cell r="A201">
            <v>1980</v>
          </cell>
          <cell r="B201" t="str">
            <v/>
          </cell>
          <cell r="C201" t="str">
            <v/>
          </cell>
          <cell r="D201" t="str">
            <v/>
          </cell>
          <cell r="E201" t="str">
            <v/>
          </cell>
          <cell r="F201" t="str">
            <v/>
          </cell>
        </row>
        <row r="202">
          <cell r="A202">
            <v>1990</v>
          </cell>
          <cell r="B202" t="str">
            <v/>
          </cell>
          <cell r="C202" t="str">
            <v/>
          </cell>
          <cell r="D202" t="str">
            <v/>
          </cell>
          <cell r="E202" t="str">
            <v/>
          </cell>
          <cell r="F202" t="str">
            <v/>
          </cell>
        </row>
        <row r="203">
          <cell r="A203">
            <v>2000</v>
          </cell>
          <cell r="B203" t="str">
            <v/>
          </cell>
          <cell r="C203" t="str">
            <v/>
          </cell>
          <cell r="D203" t="str">
            <v/>
          </cell>
          <cell r="E203" t="str">
            <v/>
          </cell>
          <cell r="F203" t="str">
            <v/>
          </cell>
        </row>
        <row r="204">
          <cell r="A204">
            <v>2010</v>
          </cell>
          <cell r="B204" t="str">
            <v/>
          </cell>
          <cell r="C204" t="str">
            <v/>
          </cell>
          <cell r="D204" t="str">
            <v/>
          </cell>
          <cell r="E204" t="str">
            <v/>
          </cell>
          <cell r="F204" t="str">
            <v/>
          </cell>
        </row>
        <row r="205">
          <cell r="A205">
            <v>2020</v>
          </cell>
          <cell r="B205" t="str">
            <v/>
          </cell>
          <cell r="C205" t="str">
            <v/>
          </cell>
          <cell r="D205" t="str">
            <v/>
          </cell>
          <cell r="E205" t="str">
            <v/>
          </cell>
          <cell r="F205" t="str">
            <v/>
          </cell>
        </row>
        <row r="206">
          <cell r="A206">
            <v>2030</v>
          </cell>
          <cell r="B206" t="str">
            <v/>
          </cell>
          <cell r="C206" t="str">
            <v/>
          </cell>
          <cell r="D206" t="str">
            <v/>
          </cell>
          <cell r="E206" t="str">
            <v/>
          </cell>
          <cell r="F206" t="str">
            <v/>
          </cell>
        </row>
        <row r="207">
          <cell r="A207">
            <v>2040</v>
          </cell>
          <cell r="B207" t="str">
            <v/>
          </cell>
          <cell r="C207" t="str">
            <v/>
          </cell>
          <cell r="D207" t="str">
            <v/>
          </cell>
          <cell r="E207" t="str">
            <v/>
          </cell>
          <cell r="F207" t="str">
            <v/>
          </cell>
        </row>
        <row r="208">
          <cell r="A208">
            <v>2050</v>
          </cell>
          <cell r="B208" t="str">
            <v/>
          </cell>
          <cell r="C208" t="str">
            <v/>
          </cell>
          <cell r="D208" t="str">
            <v/>
          </cell>
          <cell r="E208" t="str">
            <v/>
          </cell>
          <cell r="F208" t="str">
            <v/>
          </cell>
        </row>
        <row r="209">
          <cell r="A209">
            <v>2060</v>
          </cell>
          <cell r="B209" t="str">
            <v/>
          </cell>
          <cell r="C209" t="str">
            <v/>
          </cell>
          <cell r="D209" t="str">
            <v/>
          </cell>
          <cell r="E209" t="str">
            <v/>
          </cell>
          <cell r="F209" t="str">
            <v/>
          </cell>
        </row>
        <row r="210">
          <cell r="A210">
            <v>2070</v>
          </cell>
          <cell r="B210" t="str">
            <v/>
          </cell>
          <cell r="C210" t="str">
            <v/>
          </cell>
          <cell r="D210" t="str">
            <v/>
          </cell>
          <cell r="E210" t="str">
            <v/>
          </cell>
          <cell r="F210" t="str">
            <v/>
          </cell>
        </row>
        <row r="211">
          <cell r="A211">
            <v>2080</v>
          </cell>
          <cell r="B211" t="str">
            <v/>
          </cell>
          <cell r="C211" t="str">
            <v/>
          </cell>
          <cell r="D211" t="str">
            <v/>
          </cell>
          <cell r="E211" t="str">
            <v/>
          </cell>
          <cell r="F211" t="str">
            <v/>
          </cell>
        </row>
        <row r="212">
          <cell r="A212">
            <v>2090</v>
          </cell>
          <cell r="B212" t="str">
            <v/>
          </cell>
          <cell r="C212" t="str">
            <v/>
          </cell>
          <cell r="D212" t="str">
            <v/>
          </cell>
          <cell r="E212" t="str">
            <v/>
          </cell>
          <cell r="F212" t="str">
            <v/>
          </cell>
        </row>
        <row r="213">
          <cell r="A213">
            <v>2100</v>
          </cell>
          <cell r="B213" t="str">
            <v/>
          </cell>
          <cell r="C213" t="str">
            <v/>
          </cell>
          <cell r="D213" t="str">
            <v/>
          </cell>
          <cell r="E213" t="str">
            <v/>
          </cell>
          <cell r="F213" t="str">
            <v/>
          </cell>
        </row>
        <row r="214">
          <cell r="A214">
            <v>2110</v>
          </cell>
          <cell r="B214" t="str">
            <v/>
          </cell>
          <cell r="C214" t="str">
            <v/>
          </cell>
          <cell r="D214" t="str">
            <v/>
          </cell>
          <cell r="E214" t="str">
            <v/>
          </cell>
          <cell r="F214" t="str">
            <v/>
          </cell>
        </row>
        <row r="215">
          <cell r="A215">
            <v>2120</v>
          </cell>
          <cell r="B215" t="str">
            <v/>
          </cell>
          <cell r="C215" t="str">
            <v/>
          </cell>
          <cell r="D215" t="str">
            <v/>
          </cell>
          <cell r="E215" t="str">
            <v/>
          </cell>
          <cell r="F215" t="str">
            <v/>
          </cell>
        </row>
        <row r="216">
          <cell r="A216">
            <v>2130</v>
          </cell>
          <cell r="B216" t="str">
            <v/>
          </cell>
          <cell r="C216" t="str">
            <v/>
          </cell>
          <cell r="D216" t="str">
            <v/>
          </cell>
          <cell r="E216" t="str">
            <v/>
          </cell>
          <cell r="F216" t="str">
            <v/>
          </cell>
        </row>
        <row r="217">
          <cell r="A217">
            <v>2140</v>
          </cell>
          <cell r="B217" t="str">
            <v/>
          </cell>
          <cell r="C217" t="str">
            <v/>
          </cell>
          <cell r="D217" t="str">
            <v/>
          </cell>
          <cell r="E217" t="str">
            <v/>
          </cell>
          <cell r="F217" t="str">
            <v/>
          </cell>
        </row>
        <row r="218">
          <cell r="A218">
            <v>2150</v>
          </cell>
          <cell r="B218" t="str">
            <v/>
          </cell>
          <cell r="C218" t="str">
            <v/>
          </cell>
          <cell r="D218" t="str">
            <v/>
          </cell>
          <cell r="E218" t="str">
            <v/>
          </cell>
          <cell r="F218" t="str">
            <v/>
          </cell>
        </row>
        <row r="219">
          <cell r="A219">
            <v>2160</v>
          </cell>
          <cell r="B219" t="str">
            <v/>
          </cell>
          <cell r="C219" t="str">
            <v/>
          </cell>
          <cell r="D219" t="str">
            <v/>
          </cell>
          <cell r="E219" t="str">
            <v/>
          </cell>
          <cell r="F219" t="str">
            <v/>
          </cell>
        </row>
        <row r="220">
          <cell r="A220">
            <v>2170</v>
          </cell>
          <cell r="B220" t="str">
            <v/>
          </cell>
          <cell r="C220" t="str">
            <v/>
          </cell>
          <cell r="D220" t="str">
            <v/>
          </cell>
          <cell r="E220" t="str">
            <v/>
          </cell>
          <cell r="F220" t="str">
            <v/>
          </cell>
        </row>
        <row r="221">
          <cell r="A221">
            <v>2180</v>
          </cell>
          <cell r="B221" t="str">
            <v/>
          </cell>
          <cell r="C221" t="str">
            <v/>
          </cell>
          <cell r="D221" t="str">
            <v/>
          </cell>
          <cell r="E221" t="str">
            <v/>
          </cell>
          <cell r="F221" t="str">
            <v/>
          </cell>
        </row>
        <row r="222">
          <cell r="A222">
            <v>2190</v>
          </cell>
          <cell r="B222" t="str">
            <v/>
          </cell>
          <cell r="C222" t="str">
            <v/>
          </cell>
          <cell r="D222" t="str">
            <v/>
          </cell>
          <cell r="E222" t="str">
            <v/>
          </cell>
          <cell r="F222" t="str">
            <v/>
          </cell>
        </row>
        <row r="223">
          <cell r="A223">
            <v>2200</v>
          </cell>
          <cell r="B223" t="str">
            <v/>
          </cell>
          <cell r="C223" t="str">
            <v/>
          </cell>
          <cell r="D223" t="str">
            <v/>
          </cell>
          <cell r="E223" t="str">
            <v/>
          </cell>
          <cell r="F223" t="str">
            <v/>
          </cell>
        </row>
        <row r="224">
          <cell r="A224">
            <v>2210</v>
          </cell>
          <cell r="B224" t="str">
            <v/>
          </cell>
          <cell r="C224" t="str">
            <v/>
          </cell>
          <cell r="D224" t="str">
            <v/>
          </cell>
          <cell r="E224" t="str">
            <v/>
          </cell>
          <cell r="F224" t="str">
            <v/>
          </cell>
        </row>
        <row r="225">
          <cell r="A225">
            <v>2220</v>
          </cell>
          <cell r="B225" t="str">
            <v/>
          </cell>
          <cell r="C225" t="str">
            <v/>
          </cell>
          <cell r="D225" t="str">
            <v/>
          </cell>
          <cell r="E225" t="str">
            <v/>
          </cell>
          <cell r="F225" t="str">
            <v/>
          </cell>
        </row>
        <row r="226">
          <cell r="A226">
            <v>2230</v>
          </cell>
          <cell r="B226" t="str">
            <v/>
          </cell>
          <cell r="C226" t="str">
            <v/>
          </cell>
          <cell r="D226" t="str">
            <v/>
          </cell>
          <cell r="E226" t="str">
            <v/>
          </cell>
          <cell r="F226" t="str">
            <v/>
          </cell>
        </row>
        <row r="227">
          <cell r="A227">
            <v>2240</v>
          </cell>
          <cell r="B227" t="str">
            <v/>
          </cell>
          <cell r="C227" t="str">
            <v/>
          </cell>
          <cell r="D227" t="str">
            <v/>
          </cell>
          <cell r="E227" t="str">
            <v/>
          </cell>
          <cell r="F227" t="str">
            <v/>
          </cell>
        </row>
        <row r="228">
          <cell r="A228">
            <v>2250</v>
          </cell>
          <cell r="B228" t="str">
            <v/>
          </cell>
          <cell r="C228" t="str">
            <v/>
          </cell>
          <cell r="D228" t="str">
            <v/>
          </cell>
          <cell r="E228" t="str">
            <v/>
          </cell>
          <cell r="F228" t="str">
            <v/>
          </cell>
        </row>
        <row r="229">
          <cell r="A229">
            <v>2260</v>
          </cell>
          <cell r="B229" t="str">
            <v/>
          </cell>
          <cell r="C229" t="str">
            <v/>
          </cell>
          <cell r="D229" t="str">
            <v/>
          </cell>
          <cell r="E229" t="str">
            <v/>
          </cell>
          <cell r="F229" t="str">
            <v/>
          </cell>
        </row>
        <row r="230">
          <cell r="A230">
            <v>2270</v>
          </cell>
          <cell r="B230" t="str">
            <v/>
          </cell>
          <cell r="C230" t="str">
            <v/>
          </cell>
          <cell r="D230" t="str">
            <v/>
          </cell>
          <cell r="E230" t="str">
            <v/>
          </cell>
          <cell r="F230" t="str">
            <v/>
          </cell>
        </row>
        <row r="231">
          <cell r="A231">
            <v>2280</v>
          </cell>
          <cell r="B231" t="str">
            <v/>
          </cell>
          <cell r="C231" t="str">
            <v/>
          </cell>
          <cell r="D231" t="str">
            <v/>
          </cell>
          <cell r="E231" t="str">
            <v/>
          </cell>
          <cell r="F231" t="str">
            <v/>
          </cell>
        </row>
        <row r="232">
          <cell r="A232">
            <v>2290</v>
          </cell>
          <cell r="B232" t="str">
            <v/>
          </cell>
          <cell r="C232" t="str">
            <v/>
          </cell>
          <cell r="D232" t="str">
            <v/>
          </cell>
          <cell r="E232" t="str">
            <v/>
          </cell>
          <cell r="F232" t="str">
            <v/>
          </cell>
        </row>
        <row r="233">
          <cell r="A233">
            <v>2300</v>
          </cell>
          <cell r="B233" t="str">
            <v/>
          </cell>
          <cell r="C233" t="str">
            <v/>
          </cell>
          <cell r="D233" t="str">
            <v/>
          </cell>
          <cell r="E233" t="str">
            <v/>
          </cell>
          <cell r="F233" t="str">
            <v/>
          </cell>
        </row>
        <row r="234">
          <cell r="A234">
            <v>2310</v>
          </cell>
          <cell r="B234" t="str">
            <v/>
          </cell>
          <cell r="C234" t="str">
            <v/>
          </cell>
          <cell r="D234" t="str">
            <v/>
          </cell>
          <cell r="E234" t="str">
            <v/>
          </cell>
          <cell r="F234" t="str">
            <v/>
          </cell>
        </row>
        <row r="235">
          <cell r="A235">
            <v>2320</v>
          </cell>
          <cell r="B235" t="str">
            <v/>
          </cell>
          <cell r="C235" t="str">
            <v/>
          </cell>
          <cell r="D235" t="str">
            <v/>
          </cell>
          <cell r="E235" t="str">
            <v/>
          </cell>
          <cell r="F235" t="str">
            <v/>
          </cell>
        </row>
        <row r="236">
          <cell r="A236">
            <v>2330</v>
          </cell>
          <cell r="B236" t="str">
            <v/>
          </cell>
          <cell r="C236" t="str">
            <v/>
          </cell>
          <cell r="D236" t="str">
            <v/>
          </cell>
          <cell r="E236" t="str">
            <v/>
          </cell>
          <cell r="F236" t="str">
            <v/>
          </cell>
        </row>
        <row r="237">
          <cell r="A237">
            <v>2340</v>
          </cell>
          <cell r="B237" t="str">
            <v/>
          </cell>
          <cell r="C237" t="str">
            <v/>
          </cell>
          <cell r="D237" t="str">
            <v/>
          </cell>
          <cell r="E237" t="str">
            <v/>
          </cell>
          <cell r="F237" t="str">
            <v/>
          </cell>
        </row>
        <row r="238">
          <cell r="A238">
            <v>2350</v>
          </cell>
          <cell r="B238" t="str">
            <v/>
          </cell>
          <cell r="C238" t="str">
            <v/>
          </cell>
          <cell r="D238" t="str">
            <v/>
          </cell>
          <cell r="E238" t="str">
            <v/>
          </cell>
          <cell r="F238" t="str">
            <v/>
          </cell>
        </row>
        <row r="239">
          <cell r="A239">
            <v>2360</v>
          </cell>
          <cell r="B239" t="str">
            <v/>
          </cell>
          <cell r="C239" t="str">
            <v/>
          </cell>
          <cell r="D239" t="str">
            <v/>
          </cell>
          <cell r="E239" t="str">
            <v/>
          </cell>
          <cell r="F239" t="str">
            <v/>
          </cell>
        </row>
        <row r="240">
          <cell r="A240">
            <v>2370</v>
          </cell>
          <cell r="B240" t="str">
            <v/>
          </cell>
          <cell r="C240" t="str">
            <v/>
          </cell>
          <cell r="D240" t="str">
            <v/>
          </cell>
          <cell r="E240" t="str">
            <v/>
          </cell>
          <cell r="F240" t="str">
            <v/>
          </cell>
        </row>
        <row r="241">
          <cell r="A241">
            <v>2380</v>
          </cell>
          <cell r="B241" t="str">
            <v/>
          </cell>
          <cell r="C241" t="str">
            <v/>
          </cell>
          <cell r="D241" t="str">
            <v/>
          </cell>
          <cell r="E241" t="str">
            <v/>
          </cell>
          <cell r="F241" t="str">
            <v/>
          </cell>
        </row>
        <row r="242">
          <cell r="A242">
            <v>2390</v>
          </cell>
          <cell r="B242" t="str">
            <v/>
          </cell>
          <cell r="C242" t="str">
            <v/>
          </cell>
          <cell r="D242" t="str">
            <v/>
          </cell>
          <cell r="E242" t="str">
            <v/>
          </cell>
          <cell r="F242" t="str">
            <v/>
          </cell>
        </row>
        <row r="243">
          <cell r="A243">
            <v>2400</v>
          </cell>
          <cell r="B243" t="str">
            <v/>
          </cell>
          <cell r="C243" t="str">
            <v/>
          </cell>
          <cell r="D243" t="str">
            <v/>
          </cell>
          <cell r="E243" t="str">
            <v/>
          </cell>
          <cell r="F243" t="str">
            <v/>
          </cell>
        </row>
        <row r="244">
          <cell r="A244">
            <v>2410</v>
          </cell>
          <cell r="B244" t="str">
            <v/>
          </cell>
          <cell r="C244" t="str">
            <v/>
          </cell>
          <cell r="D244" t="str">
            <v/>
          </cell>
          <cell r="E244" t="str">
            <v/>
          </cell>
          <cell r="F244" t="str">
            <v/>
          </cell>
        </row>
        <row r="245">
          <cell r="A245">
            <v>2420</v>
          </cell>
          <cell r="B245" t="str">
            <v/>
          </cell>
          <cell r="C245" t="str">
            <v/>
          </cell>
          <cell r="D245" t="str">
            <v/>
          </cell>
          <cell r="E245" t="str">
            <v/>
          </cell>
          <cell r="F245" t="str">
            <v/>
          </cell>
        </row>
        <row r="246">
          <cell r="A246">
            <v>2430</v>
          </cell>
          <cell r="B246" t="str">
            <v/>
          </cell>
          <cell r="C246" t="str">
            <v/>
          </cell>
          <cell r="D246" t="str">
            <v/>
          </cell>
          <cell r="E246" t="str">
            <v/>
          </cell>
          <cell r="F246" t="str">
            <v/>
          </cell>
        </row>
        <row r="247">
          <cell r="A247">
            <v>2440</v>
          </cell>
          <cell r="B247" t="str">
            <v/>
          </cell>
          <cell r="C247" t="str">
            <v/>
          </cell>
          <cell r="D247" t="str">
            <v/>
          </cell>
          <cell r="E247" t="str">
            <v/>
          </cell>
          <cell r="F247" t="str">
            <v/>
          </cell>
        </row>
        <row r="248">
          <cell r="A248">
            <v>2450</v>
          </cell>
          <cell r="B248" t="str">
            <v/>
          </cell>
          <cell r="C248" t="str">
            <v/>
          </cell>
          <cell r="D248" t="str">
            <v/>
          </cell>
          <cell r="E248" t="str">
            <v/>
          </cell>
          <cell r="F248" t="str">
            <v/>
          </cell>
        </row>
        <row r="249">
          <cell r="A249">
            <v>2460</v>
          </cell>
          <cell r="B249" t="str">
            <v/>
          </cell>
          <cell r="C249" t="str">
            <v/>
          </cell>
          <cell r="D249" t="str">
            <v/>
          </cell>
          <cell r="E249" t="str">
            <v/>
          </cell>
          <cell r="F249" t="str">
            <v/>
          </cell>
        </row>
        <row r="250">
          <cell r="A250">
            <v>2470</v>
          </cell>
          <cell r="B250" t="str">
            <v/>
          </cell>
          <cell r="C250" t="str">
            <v/>
          </cell>
          <cell r="D250" t="str">
            <v/>
          </cell>
          <cell r="E250" t="str">
            <v/>
          </cell>
          <cell r="F250" t="str">
            <v/>
          </cell>
        </row>
      </sheetData>
      <sheetData sheetId="3">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B37" t="str">
            <v/>
          </cell>
          <cell r="C37" t="str">
            <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4">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B61" t="str">
            <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820</v>
          </cell>
          <cell r="B85" t="str">
            <v/>
          </cell>
          <cell r="C85" t="str">
            <v/>
          </cell>
          <cell r="D85" t="str">
            <v/>
          </cell>
        </row>
        <row r="86">
          <cell r="A86">
            <v>830</v>
          </cell>
          <cell r="B86" t="str">
            <v/>
          </cell>
          <cell r="C86" t="str">
            <v/>
          </cell>
          <cell r="D86" t="str">
            <v/>
          </cell>
        </row>
        <row r="87">
          <cell r="A87">
            <v>840</v>
          </cell>
          <cell r="B87" t="str">
            <v/>
          </cell>
          <cell r="C87" t="str">
            <v/>
          </cell>
          <cell r="D87" t="str">
            <v/>
          </cell>
        </row>
        <row r="88">
          <cell r="A88">
            <v>850</v>
          </cell>
          <cell r="B88" t="str">
            <v/>
          </cell>
          <cell r="C88" t="str">
            <v/>
          </cell>
          <cell r="D88" t="str">
            <v/>
          </cell>
        </row>
        <row r="89">
          <cell r="A89">
            <v>860</v>
          </cell>
          <cell r="B89" t="str">
            <v/>
          </cell>
          <cell r="C89" t="str">
            <v/>
          </cell>
          <cell r="D89" t="str">
            <v/>
          </cell>
        </row>
        <row r="90">
          <cell r="A90">
            <v>870</v>
          </cell>
          <cell r="B90" t="str">
            <v/>
          </cell>
          <cell r="C90" t="str">
            <v/>
          </cell>
          <cell r="D90" t="str">
            <v/>
          </cell>
        </row>
        <row r="91">
          <cell r="A91">
            <v>880</v>
          </cell>
          <cell r="B91" t="str">
            <v/>
          </cell>
          <cell r="C91" t="str">
            <v/>
          </cell>
          <cell r="D91" t="str">
            <v/>
          </cell>
        </row>
        <row r="92">
          <cell r="A92">
            <v>890</v>
          </cell>
          <cell r="B92" t="str">
            <v/>
          </cell>
          <cell r="C92" t="str">
            <v/>
          </cell>
          <cell r="D92" t="str">
            <v/>
          </cell>
        </row>
        <row r="93">
          <cell r="A93">
            <v>900</v>
          </cell>
          <cell r="B93" t="str">
            <v/>
          </cell>
          <cell r="C93" t="str">
            <v/>
          </cell>
          <cell r="D93" t="str">
            <v/>
          </cell>
        </row>
        <row r="94">
          <cell r="A94">
            <v>910</v>
          </cell>
          <cell r="B94" t="str">
            <v/>
          </cell>
          <cell r="C94" t="str">
            <v/>
          </cell>
          <cell r="D94" t="str">
            <v/>
          </cell>
        </row>
        <row r="95">
          <cell r="A95">
            <v>920</v>
          </cell>
          <cell r="B95" t="str">
            <v/>
          </cell>
          <cell r="C95" t="str">
            <v/>
          </cell>
          <cell r="D95" t="str">
            <v/>
          </cell>
        </row>
        <row r="96">
          <cell r="A96">
            <v>930</v>
          </cell>
          <cell r="B96" t="str">
            <v/>
          </cell>
          <cell r="C96" t="str">
            <v/>
          </cell>
          <cell r="D96" t="str">
            <v/>
          </cell>
        </row>
        <row r="97">
          <cell r="A97">
            <v>940</v>
          </cell>
          <cell r="B97" t="str">
            <v/>
          </cell>
          <cell r="C97" t="str">
            <v/>
          </cell>
          <cell r="D97" t="str">
            <v/>
          </cell>
        </row>
        <row r="98">
          <cell r="A98">
            <v>950</v>
          </cell>
          <cell r="B98" t="str">
            <v/>
          </cell>
          <cell r="C98" t="str">
            <v/>
          </cell>
          <cell r="D98" t="str">
            <v/>
          </cell>
        </row>
        <row r="99">
          <cell r="A99">
            <v>960</v>
          </cell>
          <cell r="B99" t="str">
            <v/>
          </cell>
          <cell r="C99" t="str">
            <v/>
          </cell>
          <cell r="D99" t="str">
            <v/>
          </cell>
        </row>
        <row r="100">
          <cell r="A100">
            <v>970</v>
          </cell>
          <cell r="B100" t="str">
            <v/>
          </cell>
          <cell r="C100" t="str">
            <v/>
          </cell>
          <cell r="D100" t="str">
            <v/>
          </cell>
        </row>
        <row r="101">
          <cell r="A101">
            <v>980</v>
          </cell>
          <cell r="B101" t="str">
            <v/>
          </cell>
          <cell r="C101" t="str">
            <v/>
          </cell>
          <cell r="D101" t="str">
            <v/>
          </cell>
        </row>
        <row r="102">
          <cell r="A102">
            <v>990</v>
          </cell>
          <cell r="B102" t="str">
            <v/>
          </cell>
          <cell r="C102" t="str">
            <v/>
          </cell>
          <cell r="D102" t="str">
            <v/>
          </cell>
        </row>
        <row r="103">
          <cell r="A103">
            <v>1000</v>
          </cell>
          <cell r="B103" t="str">
            <v/>
          </cell>
          <cell r="C103" t="str">
            <v/>
          </cell>
          <cell r="D103" t="str">
            <v/>
          </cell>
        </row>
        <row r="104">
          <cell r="A104">
            <v>1010</v>
          </cell>
          <cell r="B104" t="str">
            <v/>
          </cell>
          <cell r="C104" t="str">
            <v/>
          </cell>
          <cell r="D104" t="str">
            <v/>
          </cell>
        </row>
        <row r="105">
          <cell r="A105">
            <v>1020</v>
          </cell>
          <cell r="B105" t="str">
            <v/>
          </cell>
          <cell r="C105" t="str">
            <v/>
          </cell>
          <cell r="D105" t="str">
            <v/>
          </cell>
        </row>
        <row r="106">
          <cell r="A106">
            <v>1030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5" refreshError="1"/>
      <sheetData sheetId="6" refreshError="1"/>
      <sheetData sheetId="7" refreshError="1"/>
      <sheetData sheetId="8" refreshError="1"/>
      <sheetData sheetId="9">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B42" t="str">
            <v/>
          </cell>
          <cell r="C42" t="str">
            <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930</v>
          </cell>
          <cell r="B94" t="str">
            <v/>
          </cell>
          <cell r="C94" t="str">
            <v/>
          </cell>
          <cell r="D94" t="str">
            <v/>
          </cell>
        </row>
        <row r="95">
          <cell r="A95">
            <v>940</v>
          </cell>
          <cell r="B95" t="str">
            <v/>
          </cell>
          <cell r="C95" t="str">
            <v/>
          </cell>
          <cell r="D95" t="str">
            <v/>
          </cell>
        </row>
        <row r="96">
          <cell r="A96">
            <v>950</v>
          </cell>
          <cell r="B96" t="str">
            <v/>
          </cell>
          <cell r="C96" t="str">
            <v/>
          </cell>
          <cell r="D96" t="str">
            <v/>
          </cell>
        </row>
        <row r="97">
          <cell r="A97">
            <v>960</v>
          </cell>
          <cell r="B97" t="str">
            <v/>
          </cell>
          <cell r="C97" t="str">
            <v/>
          </cell>
          <cell r="D97" t="str">
            <v/>
          </cell>
        </row>
        <row r="98">
          <cell r="A98">
            <v>970</v>
          </cell>
          <cell r="B98" t="str">
            <v/>
          </cell>
          <cell r="C98" t="str">
            <v/>
          </cell>
          <cell r="D98" t="str">
            <v/>
          </cell>
        </row>
        <row r="99">
          <cell r="A99">
            <v>980</v>
          </cell>
          <cell r="B99" t="str">
            <v/>
          </cell>
          <cell r="C99" t="str">
            <v/>
          </cell>
          <cell r="D99" t="str">
            <v/>
          </cell>
        </row>
        <row r="100">
          <cell r="A100">
            <v>990</v>
          </cell>
          <cell r="B100" t="str">
            <v/>
          </cell>
          <cell r="C100" t="str">
            <v/>
          </cell>
          <cell r="D100" t="str">
            <v/>
          </cell>
        </row>
        <row r="101">
          <cell r="A101">
            <v>1000</v>
          </cell>
          <cell r="B101" t="str">
            <v/>
          </cell>
          <cell r="C101" t="str">
            <v/>
          </cell>
          <cell r="D101" t="str">
            <v/>
          </cell>
        </row>
        <row r="102">
          <cell r="A102">
            <v>1010</v>
          </cell>
          <cell r="B102" t="str">
            <v/>
          </cell>
          <cell r="C102" t="str">
            <v/>
          </cell>
          <cell r="D102" t="str">
            <v/>
          </cell>
        </row>
        <row r="103">
          <cell r="A103">
            <v>1020</v>
          </cell>
          <cell r="B103" t="str">
            <v/>
          </cell>
          <cell r="C103" t="str">
            <v/>
          </cell>
          <cell r="D103" t="str">
            <v/>
          </cell>
        </row>
        <row r="104">
          <cell r="A104">
            <v>1030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10">
        <row r="3">
          <cell r="A3">
            <v>10</v>
          </cell>
          <cell r="B3" t="str">
            <v/>
          </cell>
          <cell r="C3" t="str">
            <v/>
          </cell>
          <cell r="D3" t="str">
            <v>㈜대현</v>
          </cell>
          <cell r="E3" t="str">
            <v>Industrial</v>
          </cell>
          <cell r="F3" t="str">
            <v>창고</v>
          </cell>
          <cell r="G3" t="str">
            <v>경기도</v>
          </cell>
          <cell r="H3" t="str">
            <v>용인시</v>
          </cell>
          <cell r="I3" t="str">
            <v>역북동 370-3, 541-6</v>
          </cell>
          <cell r="J3">
            <v>9900</v>
          </cell>
          <cell r="K3">
            <v>12900.52</v>
          </cell>
          <cell r="L3" t="str">
            <v/>
          </cell>
          <cell r="M3" t="str">
            <v/>
          </cell>
          <cell r="N3" t="str">
            <v/>
          </cell>
          <cell r="O3" t="str">
            <v/>
          </cell>
          <cell r="P3" t="str">
            <v/>
          </cell>
          <cell r="Q3" t="str">
            <v/>
          </cell>
          <cell r="R3" t="str">
            <v/>
          </cell>
          <cell r="S3" t="str">
            <v/>
          </cell>
          <cell r="T3" t="str">
            <v/>
          </cell>
          <cell r="U3" t="e">
            <v>#VALUE!</v>
          </cell>
          <cell r="V3" t="str">
            <v/>
          </cell>
          <cell r="W3" t="e">
            <v>#VALUE!</v>
          </cell>
          <cell r="X3" t="str">
            <v/>
          </cell>
          <cell r="Y3" t="str">
            <v/>
          </cell>
          <cell r="Z3" t="str">
            <v/>
          </cell>
          <cell r="AB3" t="str">
            <v/>
          </cell>
          <cell r="AC3" t="str">
            <v/>
          </cell>
          <cell r="AD3" t="str">
            <v/>
          </cell>
          <cell r="AJ3" t="str">
            <v/>
          </cell>
          <cell r="AO3" t="str">
            <v/>
          </cell>
        </row>
        <row r="4">
          <cell r="A4">
            <v>20</v>
          </cell>
          <cell r="B4" t="str">
            <v/>
          </cell>
          <cell r="C4" t="str">
            <v/>
          </cell>
          <cell r="D4" t="str">
            <v>㈜대현</v>
          </cell>
          <cell r="E4" t="str">
            <v>Land</v>
          </cell>
          <cell r="F4" t="str">
            <v>임야</v>
          </cell>
          <cell r="G4" t="str">
            <v>경기도</v>
          </cell>
          <cell r="H4" t="str">
            <v>포천군</v>
          </cell>
          <cell r="I4" t="str">
            <v>내리 산64, 66외</v>
          </cell>
          <cell r="J4">
            <v>180297.52</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B4" t="str">
            <v/>
          </cell>
          <cell r="AC4" t="str">
            <v/>
          </cell>
          <cell r="AD4" t="str">
            <v/>
          </cell>
          <cell r="AJ4" t="str">
            <v/>
          </cell>
          <cell r="AO4" t="str">
            <v/>
          </cell>
        </row>
        <row r="5">
          <cell r="A5">
            <v>30</v>
          </cell>
          <cell r="B5" t="str">
            <v/>
          </cell>
          <cell r="C5" t="str">
            <v/>
          </cell>
          <cell r="D5" t="str">
            <v>㈜대현</v>
          </cell>
          <cell r="E5" t="str">
            <v>Commercial</v>
          </cell>
          <cell r="F5" t="str">
            <v>백확점</v>
          </cell>
          <cell r="G5" t="str">
            <v>대전광역시</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B5" t="str">
            <v/>
          </cell>
          <cell r="AC5" t="str">
            <v/>
          </cell>
          <cell r="AD5" t="str">
            <v/>
          </cell>
          <cell r="AJ5" t="str">
            <v/>
          </cell>
          <cell r="AO5" t="str">
            <v/>
          </cell>
        </row>
        <row r="6">
          <cell r="A6">
            <v>40</v>
          </cell>
          <cell r="B6" t="str">
            <v/>
          </cell>
          <cell r="C6" t="str">
            <v/>
          </cell>
          <cell r="D6" t="str">
            <v>㈜고합</v>
          </cell>
          <cell r="E6" t="str">
            <v>Commercial</v>
          </cell>
          <cell r="F6" t="str">
            <v>오피스빌딩</v>
          </cell>
          <cell r="G6" t="str">
            <v>서울시</v>
          </cell>
          <cell r="H6" t="str">
            <v>종로구</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B6" t="str">
            <v/>
          </cell>
          <cell r="AC6" t="str">
            <v/>
          </cell>
          <cell r="AD6" t="str">
            <v/>
          </cell>
          <cell r="AJ6" t="str">
            <v/>
          </cell>
          <cell r="AO6" t="str">
            <v/>
          </cell>
        </row>
        <row r="7">
          <cell r="A7">
            <v>50</v>
          </cell>
          <cell r="B7" t="str">
            <v/>
          </cell>
          <cell r="C7" t="str">
            <v/>
          </cell>
          <cell r="D7" t="str">
            <v>㈜고합</v>
          </cell>
          <cell r="E7" t="str">
            <v>Industrial</v>
          </cell>
          <cell r="F7" t="str">
            <v>공장</v>
          </cell>
          <cell r="G7" t="str">
            <v>경기도</v>
          </cell>
          <cell r="H7" t="str">
            <v>의왕시</v>
          </cell>
          <cell r="I7" t="str">
            <v>경운동 89-4 외</v>
          </cell>
          <cell r="J7">
            <v>6242.6</v>
          </cell>
          <cell r="K7">
            <v>16811.5</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B7" t="str">
            <v/>
          </cell>
          <cell r="AC7" t="str">
            <v/>
          </cell>
          <cell r="AD7" t="str">
            <v/>
          </cell>
          <cell r="AJ7" t="str">
            <v/>
          </cell>
          <cell r="AO7" t="str">
            <v/>
          </cell>
        </row>
        <row r="8">
          <cell r="A8">
            <v>60</v>
          </cell>
          <cell r="B8" t="str">
            <v/>
          </cell>
          <cell r="C8" t="str">
            <v/>
          </cell>
          <cell r="D8" t="str">
            <v>㈜고합</v>
          </cell>
          <cell r="E8" t="str">
            <v>Industrial</v>
          </cell>
          <cell r="F8" t="str">
            <v>공장</v>
          </cell>
          <cell r="G8" t="str">
            <v>충청남도</v>
          </cell>
          <cell r="H8" t="str">
            <v>당진군</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B8" t="str">
            <v/>
          </cell>
          <cell r="AC8" t="str">
            <v/>
          </cell>
          <cell r="AD8" t="str">
            <v/>
          </cell>
          <cell r="AJ8" t="str">
            <v/>
          </cell>
          <cell r="AO8" t="str">
            <v/>
          </cell>
        </row>
        <row r="9">
          <cell r="A9">
            <v>70</v>
          </cell>
          <cell r="B9" t="str">
            <v/>
          </cell>
          <cell r="C9" t="str">
            <v/>
          </cell>
          <cell r="D9" t="str">
            <v>㈜고합</v>
          </cell>
          <cell r="E9" t="str">
            <v>Industrial</v>
          </cell>
          <cell r="F9" t="str">
            <v>공장</v>
          </cell>
          <cell r="G9" t="str">
            <v>멕시코</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B9" t="str">
            <v/>
          </cell>
          <cell r="AC9" t="str">
            <v/>
          </cell>
          <cell r="AD9" t="str">
            <v/>
          </cell>
          <cell r="AJ9" t="str">
            <v/>
          </cell>
          <cell r="AO9" t="str">
            <v/>
          </cell>
        </row>
        <row r="10">
          <cell r="A10">
            <v>80</v>
          </cell>
          <cell r="B10" t="str">
            <v/>
          </cell>
          <cell r="C10" t="str">
            <v/>
          </cell>
          <cell r="D10" t="str">
            <v>대우종합기계</v>
          </cell>
          <cell r="E10" t="str">
            <v>Commercial</v>
          </cell>
          <cell r="F10" t="str">
            <v>오피스빌딩</v>
          </cell>
          <cell r="G10" t="str">
            <v>대전광역시</v>
          </cell>
          <cell r="H10" t="str">
            <v>대덕구</v>
          </cell>
          <cell r="I10" t="str">
            <v>송촌동 292-3</v>
          </cell>
          <cell r="J10">
            <v>3824.79</v>
          </cell>
          <cell r="K10">
            <v>22952.07</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B10" t="str">
            <v/>
          </cell>
          <cell r="AC10" t="str">
            <v/>
          </cell>
          <cell r="AD10" t="str">
            <v/>
          </cell>
          <cell r="AJ10" t="str">
            <v/>
          </cell>
          <cell r="AO10" t="str">
            <v/>
          </cell>
        </row>
        <row r="11">
          <cell r="A11">
            <v>90</v>
          </cell>
          <cell r="B11" t="str">
            <v/>
          </cell>
          <cell r="C11" t="str">
            <v/>
          </cell>
          <cell r="D11" t="str">
            <v>신원</v>
          </cell>
          <cell r="E11" t="str">
            <v>Commercial</v>
          </cell>
          <cell r="F11" t="str">
            <v>상업용시설</v>
          </cell>
          <cell r="G11" t="str">
            <v>서울시</v>
          </cell>
          <cell r="H11" t="str">
            <v>중구</v>
          </cell>
          <cell r="I11" t="str">
            <v>명동2가 31-1,12</v>
          </cell>
          <cell r="J11">
            <v>3014.55</v>
          </cell>
          <cell r="K11">
            <v>27822.74</v>
          </cell>
          <cell r="L11" t="str">
            <v/>
          </cell>
          <cell r="M11" t="str">
            <v/>
          </cell>
          <cell r="N11" t="str">
            <v/>
          </cell>
          <cell r="O11" t="str">
            <v/>
          </cell>
          <cell r="P11" t="str">
            <v/>
          </cell>
          <cell r="Q11" t="str">
            <v/>
          </cell>
          <cell r="R11" t="str">
            <v/>
          </cell>
          <cell r="S11" t="str">
            <v/>
          </cell>
          <cell r="T11" t="str">
            <v/>
          </cell>
          <cell r="U11" t="str">
            <v/>
          </cell>
          <cell r="V11" t="str">
            <v/>
          </cell>
          <cell r="W11" t="str">
            <v/>
          </cell>
          <cell r="X11" t="str">
            <v/>
          </cell>
          <cell r="Y11" t="str">
            <v/>
          </cell>
          <cell r="Z11" t="str">
            <v/>
          </cell>
          <cell r="AB11" t="str">
            <v/>
          </cell>
          <cell r="AC11" t="str">
            <v/>
          </cell>
          <cell r="AD11" t="str">
            <v/>
          </cell>
          <cell r="AJ11" t="str">
            <v/>
          </cell>
          <cell r="AO11" t="str">
            <v/>
          </cell>
        </row>
        <row r="12">
          <cell r="A12">
            <v>100</v>
          </cell>
          <cell r="B12" t="str">
            <v/>
          </cell>
          <cell r="C12" t="str">
            <v/>
          </cell>
          <cell r="D12" t="str">
            <v>남선 알미늄</v>
          </cell>
          <cell r="E12" t="str">
            <v>Industrial</v>
          </cell>
          <cell r="F12" t="str">
            <v>판재공장</v>
          </cell>
          <cell r="G12" t="str">
            <v>경상북도</v>
          </cell>
          <cell r="H12" t="str">
            <v>달성군</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B12" t="str">
            <v/>
          </cell>
          <cell r="AC12" t="str">
            <v/>
          </cell>
          <cell r="AD12" t="str">
            <v/>
          </cell>
          <cell r="AJ12" t="str">
            <v/>
          </cell>
          <cell r="AO12" t="str">
            <v/>
          </cell>
        </row>
        <row r="13">
          <cell r="A13">
            <v>110</v>
          </cell>
          <cell r="B13" t="str">
            <v/>
          </cell>
          <cell r="C13" t="str">
            <v/>
          </cell>
          <cell r="D13" t="str">
            <v>미주제강</v>
          </cell>
          <cell r="E13" t="str">
            <v>Industrial</v>
          </cell>
          <cell r="F13" t="str">
            <v>공장</v>
          </cell>
          <cell r="G13" t="str">
            <v>전라남도</v>
          </cell>
          <cell r="H13" t="str">
            <v>순천시</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B13" t="str">
            <v/>
          </cell>
          <cell r="AC13" t="str">
            <v/>
          </cell>
          <cell r="AD13" t="str">
            <v/>
          </cell>
          <cell r="AJ13" t="str">
            <v/>
          </cell>
          <cell r="AO13" t="str">
            <v/>
          </cell>
        </row>
        <row r="14">
          <cell r="A14">
            <v>120</v>
          </cell>
          <cell r="B14" t="str">
            <v/>
          </cell>
          <cell r="C14" t="str">
            <v/>
          </cell>
          <cell r="D14" t="str">
            <v>개발리스</v>
          </cell>
          <cell r="E14" t="str">
            <v>Commercial</v>
          </cell>
          <cell r="F14" t="str">
            <v>오피스빌딩</v>
          </cell>
          <cell r="G14" t="str">
            <v>서울시</v>
          </cell>
          <cell r="H14" t="str">
            <v>종로구</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B14" t="str">
            <v/>
          </cell>
          <cell r="AC14" t="str">
            <v/>
          </cell>
          <cell r="AD14" t="str">
            <v/>
          </cell>
          <cell r="AJ14" t="str">
            <v/>
          </cell>
          <cell r="AO14" t="str">
            <v/>
          </cell>
        </row>
        <row r="15">
          <cell r="A15">
            <v>130</v>
          </cell>
          <cell r="B15" t="str">
            <v/>
          </cell>
          <cell r="C15" t="str">
            <v/>
          </cell>
          <cell r="D15" t="str">
            <v>개발리스</v>
          </cell>
          <cell r="E15" t="str">
            <v>Commercial</v>
          </cell>
          <cell r="F15" t="str">
            <v>사옥</v>
          </cell>
          <cell r="G15" t="str">
            <v>부산시</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B15" t="str">
            <v/>
          </cell>
          <cell r="AC15" t="str">
            <v/>
          </cell>
          <cell r="AD15" t="str">
            <v/>
          </cell>
          <cell r="AJ15" t="str">
            <v/>
          </cell>
          <cell r="AO15" t="str">
            <v/>
          </cell>
        </row>
        <row r="16">
          <cell r="A16">
            <v>140</v>
          </cell>
          <cell r="B16" t="str">
            <v/>
          </cell>
          <cell r="C16" t="str">
            <v/>
          </cell>
          <cell r="D16" t="str">
            <v>신호제지</v>
          </cell>
          <cell r="E16" t="str">
            <v>Industrial</v>
          </cell>
          <cell r="F16" t="str">
            <v>공장</v>
          </cell>
          <cell r="G16" t="str">
            <v>대전광역시</v>
          </cell>
          <cell r="H16" t="str">
            <v>대덕구</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B16" t="str">
            <v/>
          </cell>
          <cell r="AC16" t="str">
            <v/>
          </cell>
          <cell r="AD16" t="str">
            <v/>
          </cell>
          <cell r="AJ16" t="str">
            <v/>
          </cell>
          <cell r="AO16" t="str">
            <v/>
          </cell>
        </row>
        <row r="17">
          <cell r="A17">
            <v>150</v>
          </cell>
          <cell r="B17" t="str">
            <v/>
          </cell>
          <cell r="C17" t="str">
            <v/>
          </cell>
          <cell r="D17" t="str">
            <v>신호제지</v>
          </cell>
          <cell r="E17" t="str">
            <v>Industrial</v>
          </cell>
          <cell r="F17" t="str">
            <v>공장</v>
          </cell>
          <cell r="G17" t="str">
            <v>경기도</v>
          </cell>
          <cell r="H17" t="str">
            <v>평택시</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B17" t="str">
            <v/>
          </cell>
          <cell r="AC17" t="str">
            <v/>
          </cell>
          <cell r="AD17" t="str">
            <v/>
          </cell>
          <cell r="AJ17" t="str">
            <v/>
          </cell>
          <cell r="AO17" t="str">
            <v/>
          </cell>
        </row>
        <row r="18">
          <cell r="A18">
            <v>160</v>
          </cell>
          <cell r="B18" t="str">
            <v/>
          </cell>
          <cell r="C18" t="str">
            <v/>
          </cell>
          <cell r="D18" t="str">
            <v>㈜새한</v>
          </cell>
          <cell r="E18" t="str">
            <v>Land</v>
          </cell>
          <cell r="F18" t="str">
            <v>공장부지</v>
          </cell>
          <cell r="G18" t="str">
            <v>경상북도</v>
          </cell>
          <cell r="H18" t="str">
            <v>경산시</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B18" t="str">
            <v/>
          </cell>
          <cell r="AC18" t="str">
            <v/>
          </cell>
          <cell r="AD18" t="str">
            <v/>
          </cell>
          <cell r="AJ18" t="str">
            <v/>
          </cell>
          <cell r="AO18" t="str">
            <v/>
          </cell>
        </row>
        <row r="19">
          <cell r="A19">
            <v>170</v>
          </cell>
          <cell r="B19" t="str">
            <v/>
          </cell>
          <cell r="C19" t="str">
            <v/>
          </cell>
          <cell r="D19" t="str">
            <v>㈜새한</v>
          </cell>
          <cell r="E19" t="str">
            <v>Commercial</v>
          </cell>
          <cell r="F19" t="str">
            <v>새한기술원</v>
          </cell>
          <cell r="G19" t="str">
            <v xml:space="preserve">경기도 </v>
          </cell>
          <cell r="H19" t="str">
            <v>기흥시</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B19" t="str">
            <v/>
          </cell>
          <cell r="AC19" t="str">
            <v/>
          </cell>
          <cell r="AD19" t="str">
            <v/>
          </cell>
          <cell r="AJ19" t="str">
            <v/>
          </cell>
          <cell r="AO19" t="str">
            <v/>
          </cell>
        </row>
        <row r="20">
          <cell r="A20">
            <v>180</v>
          </cell>
          <cell r="B20" t="str">
            <v/>
          </cell>
          <cell r="C20" t="str">
            <v/>
          </cell>
          <cell r="D20" t="str">
            <v>㈜새한</v>
          </cell>
          <cell r="E20" t="str">
            <v>Land</v>
          </cell>
          <cell r="F20" t="str">
            <v>기흥부지</v>
          </cell>
          <cell r="G20" t="str">
            <v>경기도</v>
          </cell>
          <cell r="H20" t="str">
            <v>기흥시</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cell r="X20" t="str">
            <v/>
          </cell>
          <cell r="Y20" t="str">
            <v/>
          </cell>
          <cell r="Z20" t="str">
            <v/>
          </cell>
          <cell r="AB20" t="str">
            <v/>
          </cell>
          <cell r="AC20" t="str">
            <v/>
          </cell>
          <cell r="AD20" t="str">
            <v/>
          </cell>
          <cell r="AJ20" t="str">
            <v/>
          </cell>
          <cell r="AO20" t="str">
            <v/>
          </cell>
        </row>
        <row r="21">
          <cell r="A21">
            <v>190</v>
          </cell>
          <cell r="B21" t="str">
            <v/>
          </cell>
          <cell r="C21" t="str">
            <v/>
          </cell>
          <cell r="D21" t="str">
            <v>㈜새한</v>
          </cell>
          <cell r="E21" t="str">
            <v>Land</v>
          </cell>
          <cell r="F21" t="str">
            <v>부지</v>
          </cell>
          <cell r="G21" t="str">
            <v>경기도</v>
          </cell>
          <cell r="H21" t="str">
            <v>용인시</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B21" t="str">
            <v/>
          </cell>
          <cell r="AC21" t="str">
            <v/>
          </cell>
          <cell r="AD21" t="str">
            <v/>
          </cell>
          <cell r="AJ21" t="str">
            <v/>
          </cell>
          <cell r="AO21" t="str">
            <v/>
          </cell>
        </row>
        <row r="22">
          <cell r="A22">
            <v>200</v>
          </cell>
          <cell r="B22" t="str">
            <v/>
          </cell>
          <cell r="C22" t="str">
            <v/>
          </cell>
          <cell r="D22" t="str">
            <v>삼일공사</v>
          </cell>
          <cell r="E22" t="str">
            <v>Commercial</v>
          </cell>
          <cell r="F22" t="str">
            <v>사옥</v>
          </cell>
          <cell r="G22" t="str">
            <v xml:space="preserve">서울시 </v>
          </cell>
          <cell r="H22" t="str">
            <v>광진구</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B22" t="str">
            <v/>
          </cell>
          <cell r="AC22" t="str">
            <v/>
          </cell>
          <cell r="AD22" t="str">
            <v/>
          </cell>
          <cell r="AJ22" t="str">
            <v/>
          </cell>
          <cell r="AO22" t="str">
            <v/>
          </cell>
        </row>
        <row r="23">
          <cell r="A23">
            <v>210</v>
          </cell>
          <cell r="B23" t="str">
            <v/>
          </cell>
          <cell r="C23" t="str">
            <v/>
          </cell>
          <cell r="D23" t="str">
            <v>일동제약</v>
          </cell>
          <cell r="E23" t="str">
            <v>Commercial</v>
          </cell>
          <cell r="F23" t="str">
            <v>사옥</v>
          </cell>
          <cell r="G23" t="str">
            <v xml:space="preserve">서울시 </v>
          </cell>
          <cell r="H23" t="str">
            <v>동대문구</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B23" t="str">
            <v/>
          </cell>
          <cell r="AC23" t="str">
            <v/>
          </cell>
          <cell r="AD23" t="str">
            <v/>
          </cell>
          <cell r="AJ23" t="str">
            <v/>
          </cell>
          <cell r="AO23" t="str">
            <v/>
          </cell>
        </row>
        <row r="24">
          <cell r="A24">
            <v>220</v>
          </cell>
          <cell r="B24" t="str">
            <v/>
          </cell>
          <cell r="C24" t="str">
            <v/>
          </cell>
          <cell r="D24" t="str">
            <v>갑을</v>
          </cell>
          <cell r="E24" t="str">
            <v>Residential</v>
          </cell>
          <cell r="F24" t="str">
            <v>주택</v>
          </cell>
          <cell r="G24" t="str">
            <v>서울시</v>
          </cell>
          <cell r="H24" t="str">
            <v>서초구</v>
          </cell>
          <cell r="I24" t="str">
            <v>방배동</v>
          </cell>
          <cell r="J24">
            <v>414.98</v>
          </cell>
          <cell r="K24">
            <v>320</v>
          </cell>
          <cell r="L24" t="str">
            <v/>
          </cell>
          <cell r="M24" t="str">
            <v/>
          </cell>
          <cell r="N24" t="str">
            <v/>
          </cell>
          <cell r="O24" t="str">
            <v/>
          </cell>
          <cell r="P24" t="str">
            <v/>
          </cell>
          <cell r="Q24" t="str">
            <v/>
          </cell>
          <cell r="R24" t="str">
            <v/>
          </cell>
          <cell r="S24" t="str">
            <v/>
          </cell>
          <cell r="T24" t="str">
            <v/>
          </cell>
          <cell r="U24" t="str">
            <v/>
          </cell>
          <cell r="V24" t="str">
            <v/>
          </cell>
          <cell r="W24" t="str">
            <v/>
          </cell>
          <cell r="X24" t="str">
            <v/>
          </cell>
          <cell r="Y24" t="str">
            <v/>
          </cell>
          <cell r="Z24" t="str">
            <v/>
          </cell>
          <cell r="AB24" t="str">
            <v/>
          </cell>
          <cell r="AC24" t="str">
            <v/>
          </cell>
          <cell r="AD24" t="str">
            <v/>
          </cell>
          <cell r="AJ24" t="str">
            <v/>
          </cell>
          <cell r="AO24" t="str">
            <v/>
          </cell>
        </row>
        <row r="25">
          <cell r="A25">
            <v>230</v>
          </cell>
          <cell r="B25" t="str">
            <v/>
          </cell>
          <cell r="C25" t="str">
            <v/>
          </cell>
          <cell r="D25" t="str">
            <v>영창악기</v>
          </cell>
          <cell r="E25" t="str">
            <v>Industrial</v>
          </cell>
          <cell r="F25" t="str">
            <v>공장</v>
          </cell>
          <cell r="G25" t="str">
            <v>인천광역시</v>
          </cell>
          <cell r="H25" t="str">
            <v>서구</v>
          </cell>
          <cell r="I25" t="str">
            <v>가좌동 564-1</v>
          </cell>
          <cell r="J25">
            <v>92119</v>
          </cell>
          <cell r="K25">
            <v>63322.31</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B25" t="str">
            <v/>
          </cell>
          <cell r="AC25" t="str">
            <v/>
          </cell>
          <cell r="AD25" t="str">
            <v/>
          </cell>
          <cell r="AJ25" t="str">
            <v/>
          </cell>
          <cell r="AO25" t="str">
            <v/>
          </cell>
        </row>
        <row r="26">
          <cell r="A26">
            <v>240</v>
          </cell>
          <cell r="B26" t="str">
            <v/>
          </cell>
          <cell r="C26" t="str">
            <v/>
          </cell>
          <cell r="D26" t="str">
            <v>벽산건설</v>
          </cell>
          <cell r="E26" t="str">
            <v>Commercial</v>
          </cell>
          <cell r="F26" t="str">
            <v>백화점</v>
          </cell>
          <cell r="G26" t="str">
            <v>전라북도</v>
          </cell>
          <cell r="H26" t="str">
            <v>전주시</v>
          </cell>
          <cell r="I26" t="str">
            <v>중앙동 2가 26-1 (전주백화점)</v>
          </cell>
          <cell r="J26">
            <v>966.98</v>
          </cell>
          <cell r="K26">
            <v>6456</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B26" t="str">
            <v/>
          </cell>
          <cell r="AC26" t="str">
            <v/>
          </cell>
          <cell r="AD26" t="str">
            <v/>
          </cell>
          <cell r="AJ26" t="str">
            <v/>
          </cell>
          <cell r="AO26" t="str">
            <v/>
          </cell>
        </row>
        <row r="27">
          <cell r="A27">
            <v>250</v>
          </cell>
          <cell r="B27" t="str">
            <v/>
          </cell>
          <cell r="C27" t="str">
            <v/>
          </cell>
          <cell r="D27" t="str">
            <v>벽산건설</v>
          </cell>
          <cell r="E27" t="str">
            <v>Commercial</v>
          </cell>
          <cell r="F27" t="str">
            <v>오피스빌딩</v>
          </cell>
          <cell r="G27" t="str">
            <v>경기도</v>
          </cell>
          <cell r="H27" t="str">
            <v>안양시</v>
          </cell>
          <cell r="I27" t="str">
            <v>안양동 627-287(7층중5층일부매각)</v>
          </cell>
          <cell r="J27" t="str">
            <v/>
          </cell>
          <cell r="K27" t="str">
            <v/>
          </cell>
          <cell r="L27" t="str">
            <v/>
          </cell>
          <cell r="M27" t="str">
            <v/>
          </cell>
          <cell r="N27" t="str">
            <v/>
          </cell>
          <cell r="O27" t="str">
            <v/>
          </cell>
          <cell r="P27" t="str">
            <v/>
          </cell>
          <cell r="Q27" t="str">
            <v/>
          </cell>
          <cell r="R27" t="str">
            <v/>
          </cell>
          <cell r="S27" t="str">
            <v/>
          </cell>
          <cell r="T27" t="str">
            <v/>
          </cell>
          <cell r="U27" t="str">
            <v/>
          </cell>
          <cell r="V27" t="str">
            <v/>
          </cell>
          <cell r="W27" t="str">
            <v/>
          </cell>
          <cell r="X27" t="str">
            <v/>
          </cell>
          <cell r="Y27" t="str">
            <v/>
          </cell>
          <cell r="Z27" t="str">
            <v/>
          </cell>
          <cell r="AB27" t="str">
            <v/>
          </cell>
          <cell r="AC27" t="str">
            <v/>
          </cell>
          <cell r="AD27" t="str">
            <v/>
          </cell>
          <cell r="AJ27" t="str">
            <v/>
          </cell>
          <cell r="AO27" t="str">
            <v/>
          </cell>
        </row>
        <row r="28">
          <cell r="A28">
            <v>260</v>
          </cell>
          <cell r="B28" t="str">
            <v/>
          </cell>
          <cell r="C28" t="str">
            <v/>
          </cell>
          <cell r="D28" t="str">
            <v>벽산건설</v>
          </cell>
          <cell r="E28" t="str">
            <v>Residential</v>
          </cell>
          <cell r="F28" t="str">
            <v>아파트</v>
          </cell>
          <cell r="G28" t="str">
            <v>대전광역시</v>
          </cell>
          <cell r="H28" t="str">
            <v>서구</v>
          </cell>
          <cell r="I28" t="str">
            <v>정림동(임대아파트720세대)</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cell r="W28" t="str">
            <v/>
          </cell>
          <cell r="X28" t="str">
            <v/>
          </cell>
          <cell r="Y28" t="str">
            <v/>
          </cell>
          <cell r="Z28" t="str">
            <v/>
          </cell>
          <cell r="AB28" t="str">
            <v/>
          </cell>
          <cell r="AC28" t="str">
            <v/>
          </cell>
          <cell r="AD28" t="str">
            <v/>
          </cell>
          <cell r="AJ28" t="str">
            <v/>
          </cell>
          <cell r="AO28" t="str">
            <v/>
          </cell>
        </row>
        <row r="29">
          <cell r="A29">
            <v>270</v>
          </cell>
          <cell r="B29" t="str">
            <v/>
          </cell>
          <cell r="C29" t="str">
            <v/>
          </cell>
          <cell r="D29" t="str">
            <v>벽산건설</v>
          </cell>
          <cell r="E29" t="str">
            <v>Industrial</v>
          </cell>
          <cell r="F29" t="str">
            <v>창고</v>
          </cell>
          <cell r="G29" t="str">
            <v>서울시</v>
          </cell>
          <cell r="H29" t="str">
            <v>용산구</v>
          </cell>
          <cell r="I29" t="str">
            <v>한강로2가</v>
          </cell>
          <cell r="J29">
            <v>2353.65</v>
          </cell>
          <cell r="K29">
            <v>2410.7399999999998</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B29" t="str">
            <v/>
          </cell>
          <cell r="AC29" t="str">
            <v/>
          </cell>
          <cell r="AD29" t="str">
            <v/>
          </cell>
          <cell r="AJ29" t="str">
            <v/>
          </cell>
          <cell r="AO29" t="str">
            <v/>
          </cell>
        </row>
        <row r="30">
          <cell r="A30">
            <v>280</v>
          </cell>
          <cell r="B30" t="str">
            <v/>
          </cell>
          <cell r="C30" t="str">
            <v/>
          </cell>
          <cell r="D30" t="str">
            <v>벽산건설</v>
          </cell>
          <cell r="E30" t="str">
            <v>Commercial</v>
          </cell>
          <cell r="F30" t="str">
            <v>오피스빌딩</v>
          </cell>
          <cell r="G30" t="str">
            <v>서울시</v>
          </cell>
          <cell r="H30" t="str">
            <v>중구</v>
          </cell>
          <cell r="I30" t="str">
            <v>저동1가(명동재개발부지)</v>
          </cell>
          <cell r="J30">
            <v>88.99</v>
          </cell>
          <cell r="K30">
            <v>141.97999999999999</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B30" t="str">
            <v/>
          </cell>
          <cell r="AC30" t="str">
            <v/>
          </cell>
          <cell r="AD30" t="str">
            <v/>
          </cell>
          <cell r="AJ30" t="str">
            <v/>
          </cell>
          <cell r="AO30" t="str">
            <v/>
          </cell>
        </row>
        <row r="31">
          <cell r="A31">
            <v>290</v>
          </cell>
          <cell r="B31" t="str">
            <v/>
          </cell>
          <cell r="C31" t="str">
            <v/>
          </cell>
          <cell r="D31" t="str">
            <v>벽산건설</v>
          </cell>
          <cell r="E31" t="str">
            <v>Industrial</v>
          </cell>
          <cell r="F31" t="str">
            <v>창고</v>
          </cell>
          <cell r="G31" t="str">
            <v>경기도</v>
          </cell>
          <cell r="H31" t="str">
            <v>평택시</v>
          </cell>
          <cell r="I31" t="str">
            <v>용이동</v>
          </cell>
          <cell r="J31">
            <v>6005.98</v>
          </cell>
          <cell r="K31">
            <v>421.98</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B31" t="str">
            <v/>
          </cell>
          <cell r="AC31" t="str">
            <v/>
          </cell>
          <cell r="AD31" t="str">
            <v/>
          </cell>
          <cell r="AJ31" t="str">
            <v/>
          </cell>
          <cell r="AO31" t="str">
            <v/>
          </cell>
        </row>
        <row r="32">
          <cell r="A32">
            <v>300</v>
          </cell>
          <cell r="B32" t="str">
            <v/>
          </cell>
          <cell r="C32" t="str">
            <v/>
          </cell>
          <cell r="D32" t="str">
            <v>벽산건설</v>
          </cell>
          <cell r="E32" t="str">
            <v>Commercial</v>
          </cell>
          <cell r="F32" t="str">
            <v>오피스빌딩</v>
          </cell>
          <cell r="G32" t="str">
            <v>서울시</v>
          </cell>
          <cell r="H32" t="str">
            <v>영등포구</v>
          </cell>
          <cell r="I32" t="str">
            <v>여의도동 13-25(정우빌딩 사무실5개 매각)</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B32" t="str">
            <v/>
          </cell>
          <cell r="AC32" t="str">
            <v/>
          </cell>
          <cell r="AD32" t="str">
            <v/>
          </cell>
          <cell r="AJ32" t="str">
            <v/>
          </cell>
          <cell r="AO32" t="str">
            <v/>
          </cell>
        </row>
        <row r="33">
          <cell r="A33">
            <v>310</v>
          </cell>
          <cell r="B33" t="str">
            <v/>
          </cell>
          <cell r="C33" t="str">
            <v/>
          </cell>
          <cell r="D33" t="str">
            <v>벽산건설</v>
          </cell>
          <cell r="E33" t="str">
            <v>Industrial</v>
          </cell>
          <cell r="F33" t="str">
            <v>공장</v>
          </cell>
          <cell r="G33" t="str">
            <v>충청북도</v>
          </cell>
          <cell r="H33" t="str">
            <v>음성군</v>
          </cell>
          <cell r="I33" t="str">
            <v>삼성면 상곡리 145</v>
          </cell>
          <cell r="J33">
            <v>23972.99</v>
          </cell>
          <cell r="K33">
            <v>46000</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B33" t="str">
            <v/>
          </cell>
          <cell r="AC33" t="str">
            <v/>
          </cell>
          <cell r="AD33" t="str">
            <v/>
          </cell>
          <cell r="AJ33" t="str">
            <v/>
          </cell>
          <cell r="AO33" t="str">
            <v/>
          </cell>
        </row>
        <row r="34">
          <cell r="A34">
            <v>320</v>
          </cell>
          <cell r="B34" t="str">
            <v/>
          </cell>
          <cell r="C34" t="str">
            <v/>
          </cell>
          <cell r="D34" t="str">
            <v>벽산건설</v>
          </cell>
          <cell r="E34" t="str">
            <v>Commercial</v>
          </cell>
          <cell r="F34" t="str">
            <v>오피스빌딩</v>
          </cell>
          <cell r="G34" t="str">
            <v>대구광역시</v>
          </cell>
          <cell r="H34" t="str">
            <v>수성구</v>
          </cell>
          <cell r="I34" t="str">
            <v>범어동(범어타워)</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B34" t="str">
            <v/>
          </cell>
          <cell r="AC34" t="str">
            <v/>
          </cell>
          <cell r="AD34" t="str">
            <v/>
          </cell>
          <cell r="AJ34" t="str">
            <v/>
          </cell>
          <cell r="AO34" t="str">
            <v/>
          </cell>
        </row>
        <row r="35">
          <cell r="A35">
            <v>330</v>
          </cell>
          <cell r="B35" t="str">
            <v/>
          </cell>
          <cell r="C35" t="str">
            <v/>
          </cell>
          <cell r="D35" t="str">
            <v>벽산건설</v>
          </cell>
          <cell r="E35" t="str">
            <v>Commercial</v>
          </cell>
          <cell r="F35" t="str">
            <v>오피스빌딩</v>
          </cell>
          <cell r="G35" t="str">
            <v>대구광역시</v>
          </cell>
          <cell r="H35" t="str">
            <v>수성구</v>
          </cell>
          <cell r="I35" t="str">
            <v>범어동(킹덤오피스 1세대)</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cell r="W35" t="str">
            <v/>
          </cell>
          <cell r="X35" t="str">
            <v/>
          </cell>
          <cell r="Y35" t="str">
            <v/>
          </cell>
          <cell r="Z35" t="str">
            <v/>
          </cell>
          <cell r="AB35" t="str">
            <v/>
          </cell>
          <cell r="AC35" t="str">
            <v/>
          </cell>
          <cell r="AD35" t="str">
            <v/>
          </cell>
          <cell r="AJ35" t="str">
            <v/>
          </cell>
          <cell r="AO35" t="str">
            <v/>
          </cell>
        </row>
        <row r="36">
          <cell r="A36">
            <v>340</v>
          </cell>
          <cell r="B36" t="str">
            <v/>
          </cell>
          <cell r="C36" t="str">
            <v/>
          </cell>
          <cell r="D36" t="str">
            <v>벽산건설</v>
          </cell>
          <cell r="E36" t="str">
            <v>Residential</v>
          </cell>
          <cell r="F36" t="str">
            <v>빌라</v>
          </cell>
          <cell r="G36" t="str">
            <v>부산광역시</v>
          </cell>
          <cell r="H36" t="str">
            <v>해운대구</v>
          </cell>
          <cell r="I36" t="str">
            <v>중동빌라부지</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B36" t="str">
            <v/>
          </cell>
          <cell r="AC36" t="str">
            <v/>
          </cell>
          <cell r="AD36" t="str">
            <v/>
          </cell>
          <cell r="AJ36" t="str">
            <v/>
          </cell>
          <cell r="AO36" t="str">
            <v/>
          </cell>
        </row>
        <row r="37">
          <cell r="A37">
            <v>350</v>
          </cell>
          <cell r="B37" t="str">
            <v/>
          </cell>
          <cell r="C37" t="str">
            <v/>
          </cell>
          <cell r="D37" t="str">
            <v>벽산건설</v>
          </cell>
          <cell r="E37" t="str">
            <v>Commercial</v>
          </cell>
          <cell r="F37" t="str">
            <v>오피스빌딩</v>
          </cell>
          <cell r="G37" t="str">
            <v>서울시</v>
          </cell>
          <cell r="H37" t="str">
            <v>용산구</v>
          </cell>
          <cell r="I37" t="str">
            <v>동자동 12 (벽산125빌딩)</v>
          </cell>
          <cell r="J37">
            <v>1068.99</v>
          </cell>
          <cell r="K37">
            <v>12145.98</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B37" t="str">
            <v/>
          </cell>
          <cell r="AC37" t="str">
            <v/>
          </cell>
          <cell r="AD37" t="str">
            <v/>
          </cell>
          <cell r="AJ37" t="str">
            <v/>
          </cell>
          <cell r="AO37" t="str">
            <v/>
          </cell>
        </row>
        <row r="38">
          <cell r="A38">
            <v>360</v>
          </cell>
          <cell r="B38" t="str">
            <v/>
          </cell>
          <cell r="C38" t="str">
            <v/>
          </cell>
          <cell r="D38" t="str">
            <v>벽산건설</v>
          </cell>
          <cell r="E38" t="str">
            <v>Commercial</v>
          </cell>
          <cell r="F38" t="str">
            <v>오피스빌딩</v>
          </cell>
          <cell r="G38" t="str">
            <v>대전광역시</v>
          </cell>
          <cell r="H38" t="str">
            <v>중구</v>
          </cell>
          <cell r="I38" t="str">
            <v>유천동 10-13 외</v>
          </cell>
          <cell r="J38">
            <v>693.98</v>
          </cell>
          <cell r="K38">
            <v>4702.9799999999996</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B38" t="str">
            <v/>
          </cell>
          <cell r="AC38" t="str">
            <v/>
          </cell>
          <cell r="AD38" t="str">
            <v/>
          </cell>
          <cell r="AJ38" t="str">
            <v/>
          </cell>
          <cell r="AO38" t="str">
            <v/>
          </cell>
        </row>
        <row r="39">
          <cell r="A39">
            <v>370</v>
          </cell>
          <cell r="B39" t="str">
            <v/>
          </cell>
          <cell r="C39" t="str">
            <v/>
          </cell>
          <cell r="D39" t="str">
            <v>벽산건설</v>
          </cell>
          <cell r="E39" t="str">
            <v>Commercial</v>
          </cell>
          <cell r="F39" t="str">
            <v>오피스빌딩</v>
          </cell>
          <cell r="G39" t="str">
            <v>경기도</v>
          </cell>
          <cell r="H39" t="str">
            <v>평택시</v>
          </cell>
          <cell r="I39" t="str">
            <v>진위면 가곡리 287-1</v>
          </cell>
          <cell r="J39">
            <v>10646.98</v>
          </cell>
          <cell r="K39">
            <v>1688.99</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B39" t="str">
            <v/>
          </cell>
          <cell r="AC39" t="str">
            <v/>
          </cell>
          <cell r="AD39" t="str">
            <v/>
          </cell>
          <cell r="AJ39" t="str">
            <v/>
          </cell>
          <cell r="AO39" t="str">
            <v/>
          </cell>
        </row>
        <row r="40">
          <cell r="A40">
            <v>380</v>
          </cell>
          <cell r="B40" t="str">
            <v/>
          </cell>
          <cell r="C40" t="str">
            <v/>
          </cell>
          <cell r="D40" t="str">
            <v>㈜한창</v>
          </cell>
          <cell r="E40" t="str">
            <v>Land</v>
          </cell>
          <cell r="F40" t="str">
            <v>대지</v>
          </cell>
          <cell r="G40" t="str">
            <v>경상남도</v>
          </cell>
          <cell r="H40" t="str">
            <v>양산시</v>
          </cell>
          <cell r="I40" t="str">
            <v>웅상읍 덕계리 611-1</v>
          </cell>
          <cell r="J40">
            <v>7945.98</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B40" t="str">
            <v/>
          </cell>
          <cell r="AC40" t="str">
            <v/>
          </cell>
          <cell r="AD40" t="str">
            <v/>
          </cell>
          <cell r="AJ40" t="str">
            <v/>
          </cell>
          <cell r="AO40" t="str">
            <v/>
          </cell>
        </row>
        <row r="41">
          <cell r="A41">
            <v>390</v>
          </cell>
          <cell r="B41" t="str">
            <v/>
          </cell>
          <cell r="C41" t="str">
            <v/>
          </cell>
          <cell r="D41" t="str">
            <v>㈜한창</v>
          </cell>
          <cell r="E41" t="str">
            <v>Industrial</v>
          </cell>
          <cell r="F41" t="str">
            <v>공장</v>
          </cell>
          <cell r="G41" t="str">
            <v>부산시</v>
          </cell>
          <cell r="H41" t="str">
            <v>해운대구</v>
          </cell>
          <cell r="I41" t="str">
            <v>반여동</v>
          </cell>
          <cell r="J41">
            <v>1572</v>
          </cell>
          <cell r="K41">
            <v>1250.98</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B41" t="str">
            <v/>
          </cell>
          <cell r="AC41" t="str">
            <v/>
          </cell>
          <cell r="AD41" t="str">
            <v/>
          </cell>
          <cell r="AJ41" t="str">
            <v/>
          </cell>
          <cell r="AO41" t="str">
            <v/>
          </cell>
        </row>
        <row r="42">
          <cell r="A42">
            <v>400</v>
          </cell>
          <cell r="B42" t="str">
            <v/>
          </cell>
          <cell r="C42" t="str">
            <v/>
          </cell>
          <cell r="D42" t="str">
            <v>㈜한창</v>
          </cell>
          <cell r="E42" t="str">
            <v>Commercial</v>
          </cell>
          <cell r="F42" t="str">
            <v>오피스빌딩</v>
          </cell>
          <cell r="G42" t="str">
            <v>부산시</v>
          </cell>
          <cell r="H42" t="str">
            <v>연제구</v>
          </cell>
          <cell r="I42" t="str">
            <v>연산동 1366.1,9,14,15,17</v>
          </cell>
          <cell r="J42">
            <v>2604.9899999999998</v>
          </cell>
          <cell r="K42">
            <v>1452.99</v>
          </cell>
          <cell r="L42" t="str">
            <v/>
          </cell>
          <cell r="M42" t="str">
            <v/>
          </cell>
          <cell r="N42" t="str">
            <v/>
          </cell>
          <cell r="O42" t="str">
            <v/>
          </cell>
          <cell r="P42" t="str">
            <v/>
          </cell>
          <cell r="Q42" t="str">
            <v/>
          </cell>
          <cell r="R42" t="str">
            <v/>
          </cell>
          <cell r="S42" t="str">
            <v/>
          </cell>
          <cell r="T42" t="str">
            <v/>
          </cell>
          <cell r="U42" t="str">
            <v/>
          </cell>
          <cell r="V42" t="str">
            <v/>
          </cell>
          <cell r="W42" t="str">
            <v/>
          </cell>
          <cell r="X42" t="str">
            <v/>
          </cell>
          <cell r="Y42" t="str">
            <v/>
          </cell>
          <cell r="Z42" t="str">
            <v/>
          </cell>
          <cell r="AB42" t="str">
            <v/>
          </cell>
          <cell r="AC42" t="str">
            <v/>
          </cell>
          <cell r="AD42" t="str">
            <v/>
          </cell>
          <cell r="AJ42" t="str">
            <v/>
          </cell>
          <cell r="AO42" t="str">
            <v/>
          </cell>
        </row>
        <row r="43">
          <cell r="A43">
            <v>410</v>
          </cell>
          <cell r="D43" t="str">
            <v>㈜한창</v>
          </cell>
          <cell r="E43" t="str">
            <v>Land</v>
          </cell>
          <cell r="F43" t="str">
            <v>대지</v>
          </cell>
          <cell r="G43" t="str">
            <v>부산시</v>
          </cell>
          <cell r="H43" t="str">
            <v>부산진구</v>
          </cell>
          <cell r="I43" t="str">
            <v>양정동 353-38, 39</v>
          </cell>
          <cell r="J43">
            <v>200</v>
          </cell>
          <cell r="K43" t="str">
            <v/>
          </cell>
          <cell r="L43" t="str">
            <v/>
          </cell>
          <cell r="M43" t="str">
            <v/>
          </cell>
          <cell r="N43" t="str">
            <v/>
          </cell>
          <cell r="O43" t="str">
            <v/>
          </cell>
          <cell r="P43" t="str">
            <v/>
          </cell>
          <cell r="Q43" t="str">
            <v/>
          </cell>
          <cell r="R43" t="str">
            <v/>
          </cell>
          <cell r="S43" t="str">
            <v/>
          </cell>
          <cell r="T43" t="str">
            <v/>
          </cell>
          <cell r="U43" t="str">
            <v/>
          </cell>
          <cell r="V43" t="str">
            <v/>
          </cell>
          <cell r="W43" t="str">
            <v/>
          </cell>
          <cell r="X43" t="str">
            <v/>
          </cell>
          <cell r="Y43" t="str">
            <v/>
          </cell>
          <cell r="Z43" t="str">
            <v/>
          </cell>
          <cell r="AB43" t="str">
            <v/>
          </cell>
          <cell r="AC43" t="str">
            <v/>
          </cell>
          <cell r="AD43" t="str">
            <v/>
          </cell>
          <cell r="AJ43" t="str">
            <v/>
          </cell>
          <cell r="AO43" t="str">
            <v/>
          </cell>
        </row>
        <row r="44">
          <cell r="A44">
            <v>420</v>
          </cell>
          <cell r="B44" t="str">
            <v/>
          </cell>
          <cell r="C44" t="str">
            <v/>
          </cell>
          <cell r="D44" t="str">
            <v>㈜한창</v>
          </cell>
          <cell r="E44" t="str">
            <v>Commercial</v>
          </cell>
          <cell r="F44" t="str">
            <v>근린생활</v>
          </cell>
          <cell r="G44" t="str">
            <v>부산시</v>
          </cell>
          <cell r="H44" t="str">
            <v>동구</v>
          </cell>
          <cell r="I44" t="str">
            <v>범일동 154, 155-1</v>
          </cell>
          <cell r="J44">
            <v>113.98</v>
          </cell>
          <cell r="K44">
            <v>349.98</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B44" t="str">
            <v/>
          </cell>
          <cell r="AC44" t="str">
            <v/>
          </cell>
          <cell r="AD44" t="str">
            <v/>
          </cell>
          <cell r="AJ44" t="str">
            <v/>
          </cell>
          <cell r="AO44" t="str">
            <v/>
          </cell>
        </row>
        <row r="45">
          <cell r="A45">
            <v>430</v>
          </cell>
          <cell r="B45" t="str">
            <v/>
          </cell>
          <cell r="C45" t="str">
            <v/>
          </cell>
          <cell r="D45" t="str">
            <v>㈜한창</v>
          </cell>
          <cell r="E45" t="str">
            <v>Land</v>
          </cell>
          <cell r="F45" t="str">
            <v>전</v>
          </cell>
          <cell r="G45" t="str">
            <v>경상남도</v>
          </cell>
          <cell r="H45" t="str">
            <v>양산시</v>
          </cell>
          <cell r="I45" t="str">
            <v>하북면 76-1 외</v>
          </cell>
          <cell r="J45">
            <v>5053.8500000000004</v>
          </cell>
          <cell r="K45" t="str">
            <v/>
          </cell>
          <cell r="L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B45" t="str">
            <v/>
          </cell>
          <cell r="AC45" t="str">
            <v/>
          </cell>
          <cell r="AD45" t="str">
            <v/>
          </cell>
          <cell r="AJ45" t="str">
            <v/>
          </cell>
          <cell r="AO45" t="str">
            <v/>
          </cell>
        </row>
        <row r="46">
          <cell r="A46">
            <v>440</v>
          </cell>
          <cell r="B46" t="str">
            <v/>
          </cell>
          <cell r="C46" t="str">
            <v/>
          </cell>
          <cell r="D46" t="str">
            <v>삼표산업</v>
          </cell>
          <cell r="E46" t="str">
            <v>Commercial</v>
          </cell>
          <cell r="F46" t="str">
            <v>오피스빌딩</v>
          </cell>
          <cell r="G46" t="str">
            <v>서울시</v>
          </cell>
          <cell r="H46" t="str">
            <v>풍납동</v>
          </cell>
          <cell r="I46" t="str">
            <v/>
          </cell>
          <cell r="J46" t="str">
            <v/>
          </cell>
          <cell r="K46">
            <v>1350.81</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B46" t="str">
            <v/>
          </cell>
          <cell r="AC46" t="str">
            <v/>
          </cell>
          <cell r="AD46" t="str">
            <v/>
          </cell>
          <cell r="AJ46" t="str">
            <v/>
          </cell>
          <cell r="AO46" t="str">
            <v/>
          </cell>
        </row>
        <row r="47">
          <cell r="A47">
            <v>450</v>
          </cell>
          <cell r="B47" t="str">
            <v/>
          </cell>
          <cell r="C47" t="str">
            <v/>
          </cell>
          <cell r="D47" t="str">
            <v>삼표산업</v>
          </cell>
          <cell r="E47" t="str">
            <v>Land</v>
          </cell>
          <cell r="F47" t="str">
            <v>나대지(개발제한구역)</v>
          </cell>
          <cell r="G47" t="str">
            <v>경기도</v>
          </cell>
          <cell r="H47" t="str">
            <v>광주시</v>
          </cell>
          <cell r="I47" t="str">
            <v>삼성리</v>
          </cell>
          <cell r="J47">
            <v>26948.76</v>
          </cell>
          <cell r="K47" t="str">
            <v/>
          </cell>
          <cell r="L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B47" t="str">
            <v/>
          </cell>
          <cell r="AC47" t="str">
            <v/>
          </cell>
          <cell r="AD47" t="str">
            <v/>
          </cell>
          <cell r="AJ47" t="str">
            <v/>
          </cell>
          <cell r="AO47" t="str">
            <v/>
          </cell>
        </row>
        <row r="48">
          <cell r="A48">
            <v>460</v>
          </cell>
          <cell r="B48" t="str">
            <v/>
          </cell>
          <cell r="C48" t="str">
            <v/>
          </cell>
          <cell r="D48" t="str">
            <v>삼표산업</v>
          </cell>
          <cell r="E48" t="str">
            <v>Industrial</v>
          </cell>
          <cell r="F48" t="str">
            <v>공장</v>
          </cell>
          <cell r="G48" t="str">
            <v>충청북도</v>
          </cell>
          <cell r="H48" t="str">
            <v>청원군</v>
          </cell>
          <cell r="I48" t="str">
            <v/>
          </cell>
          <cell r="J48" t="str">
            <v/>
          </cell>
          <cell r="K48">
            <v>85844.63</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B48" t="str">
            <v/>
          </cell>
          <cell r="AC48" t="str">
            <v/>
          </cell>
          <cell r="AD48" t="str">
            <v/>
          </cell>
          <cell r="AJ48" t="str">
            <v/>
          </cell>
          <cell r="AO48" t="str">
            <v/>
          </cell>
        </row>
        <row r="49">
          <cell r="A49">
            <v>470</v>
          </cell>
          <cell r="B49" t="str">
            <v/>
          </cell>
          <cell r="C49" t="str">
            <v/>
          </cell>
          <cell r="D49" t="str">
            <v>삼표산업</v>
          </cell>
          <cell r="E49" t="str">
            <v>Industrial</v>
          </cell>
          <cell r="F49" t="str">
            <v>공장</v>
          </cell>
          <cell r="G49" t="str">
            <v>경기도</v>
          </cell>
          <cell r="H49" t="str">
            <v>남양주시</v>
          </cell>
          <cell r="I49" t="str">
            <v>양노리</v>
          </cell>
          <cell r="J49" t="str">
            <v/>
          </cell>
          <cell r="K49">
            <v>1861.16</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B49" t="str">
            <v/>
          </cell>
          <cell r="AC49" t="str">
            <v/>
          </cell>
          <cell r="AD49" t="str">
            <v/>
          </cell>
          <cell r="AJ49" t="str">
            <v/>
          </cell>
          <cell r="AO49" t="str">
            <v/>
          </cell>
        </row>
        <row r="50">
          <cell r="A50">
            <v>480</v>
          </cell>
          <cell r="B50" t="str">
            <v/>
          </cell>
          <cell r="C50" t="str">
            <v/>
          </cell>
          <cell r="D50" t="str">
            <v>삼표산업</v>
          </cell>
          <cell r="E50" t="str">
            <v>Land</v>
          </cell>
          <cell r="F50" t="str">
            <v/>
          </cell>
          <cell r="G50" t="str">
            <v xml:space="preserve">강원도 </v>
          </cell>
          <cell r="H50" t="str">
            <v>태백시</v>
          </cell>
          <cell r="I50" t="str">
            <v/>
          </cell>
          <cell r="J50">
            <v>425649.59</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B50" t="str">
            <v/>
          </cell>
          <cell r="AC50" t="str">
            <v/>
          </cell>
          <cell r="AD50" t="str">
            <v/>
          </cell>
          <cell r="AJ50" t="str">
            <v/>
          </cell>
          <cell r="AO50" t="str">
            <v/>
          </cell>
        </row>
        <row r="51">
          <cell r="A51">
            <v>490</v>
          </cell>
          <cell r="B51" t="str">
            <v/>
          </cell>
          <cell r="C51" t="str">
            <v/>
          </cell>
          <cell r="D51" t="str">
            <v>삼표산업</v>
          </cell>
          <cell r="E51" t="str">
            <v>Land</v>
          </cell>
          <cell r="F51" t="str">
            <v>임야</v>
          </cell>
          <cell r="G51" t="str">
            <v>경상북도</v>
          </cell>
          <cell r="H51" t="str">
            <v>안동시</v>
          </cell>
          <cell r="I51" t="str">
            <v/>
          </cell>
          <cell r="J51">
            <v>572161.98</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B51" t="str">
            <v/>
          </cell>
          <cell r="AC51" t="str">
            <v/>
          </cell>
          <cell r="AD51" t="str">
            <v/>
          </cell>
          <cell r="AJ51" t="str">
            <v/>
          </cell>
          <cell r="AO51" t="str">
            <v/>
          </cell>
        </row>
        <row r="52">
          <cell r="A52">
            <v>500</v>
          </cell>
          <cell r="B52" t="str">
            <v/>
          </cell>
          <cell r="C52" t="str">
            <v/>
          </cell>
          <cell r="D52" t="str">
            <v>삼표산업</v>
          </cell>
          <cell r="E52" t="str">
            <v>Residential</v>
          </cell>
          <cell r="F52" t="str">
            <v>오피스텔</v>
          </cell>
          <cell r="G52" t="str">
            <v>부산시</v>
          </cell>
          <cell r="H52" t="str">
            <v/>
          </cell>
          <cell r="I52" t="str">
            <v>극동오피스텔</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B52" t="str">
            <v/>
          </cell>
          <cell r="AC52" t="str">
            <v/>
          </cell>
          <cell r="AD52" t="str">
            <v/>
          </cell>
          <cell r="AJ52" t="str">
            <v/>
          </cell>
          <cell r="AO52" t="str">
            <v/>
          </cell>
        </row>
        <row r="53">
          <cell r="A53">
            <v>510</v>
          </cell>
          <cell r="B53" t="str">
            <v/>
          </cell>
          <cell r="C53" t="str">
            <v/>
          </cell>
          <cell r="D53" t="str">
            <v>삼표산업</v>
          </cell>
          <cell r="E53" t="str">
            <v>Residential</v>
          </cell>
          <cell r="F53" t="str">
            <v>오피스텔</v>
          </cell>
          <cell r="G53" t="str">
            <v>부산시</v>
          </cell>
          <cell r="H53" t="str">
            <v/>
          </cell>
          <cell r="I53" t="str">
            <v>극동오피스텔</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B53" t="str">
            <v/>
          </cell>
          <cell r="AC53" t="str">
            <v/>
          </cell>
          <cell r="AD53" t="str">
            <v/>
          </cell>
          <cell r="AJ53" t="str">
            <v/>
          </cell>
          <cell r="AO53" t="str">
            <v/>
          </cell>
        </row>
        <row r="54">
          <cell r="A54">
            <v>520</v>
          </cell>
          <cell r="B54" t="str">
            <v/>
          </cell>
          <cell r="C54" t="str">
            <v/>
          </cell>
          <cell r="D54" t="str">
            <v>삼표산업</v>
          </cell>
          <cell r="E54" t="str">
            <v>Commercial</v>
          </cell>
          <cell r="F54" t="str">
            <v>상가</v>
          </cell>
          <cell r="G54" t="str">
            <v>부산시</v>
          </cell>
          <cell r="H54" t="str">
            <v/>
          </cell>
          <cell r="I54" t="str">
            <v>국제지하상가</v>
          </cell>
          <cell r="J54" t="str">
            <v/>
          </cell>
          <cell r="K54">
            <v>418.84</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B54" t="str">
            <v/>
          </cell>
          <cell r="AC54" t="str">
            <v/>
          </cell>
          <cell r="AD54" t="str">
            <v/>
          </cell>
          <cell r="AJ54" t="str">
            <v/>
          </cell>
          <cell r="AO54" t="str">
            <v/>
          </cell>
        </row>
        <row r="55">
          <cell r="A55">
            <v>530</v>
          </cell>
          <cell r="B55" t="str">
            <v/>
          </cell>
          <cell r="C55" t="str">
            <v/>
          </cell>
          <cell r="D55" t="str">
            <v>삼표산업</v>
          </cell>
          <cell r="E55" t="str">
            <v>Residential</v>
          </cell>
          <cell r="F55" t="str">
            <v>아파트</v>
          </cell>
          <cell r="G55" t="str">
            <v>경기도</v>
          </cell>
          <cell r="H55" t="str">
            <v>양주시</v>
          </cell>
          <cell r="I55" t="str">
            <v>한주종건아파트</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B55" t="str">
            <v/>
          </cell>
          <cell r="AC55" t="str">
            <v/>
          </cell>
          <cell r="AD55" t="str">
            <v/>
          </cell>
          <cell r="AJ55" t="str">
            <v/>
          </cell>
          <cell r="AO55" t="str">
            <v/>
          </cell>
        </row>
        <row r="56">
          <cell r="A56">
            <v>540</v>
          </cell>
          <cell r="B56" t="str">
            <v/>
          </cell>
          <cell r="C56" t="str">
            <v/>
          </cell>
          <cell r="D56" t="str">
            <v>삼표산업</v>
          </cell>
          <cell r="E56" t="str">
            <v>Residential</v>
          </cell>
          <cell r="F56" t="str">
            <v>아파트</v>
          </cell>
          <cell r="G56" t="str">
            <v>경기도</v>
          </cell>
          <cell r="H56" t="str">
            <v>광주시</v>
          </cell>
          <cell r="I56" t="str">
            <v>시대종건임대아파트</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B56" t="str">
            <v/>
          </cell>
          <cell r="AC56" t="str">
            <v/>
          </cell>
          <cell r="AD56" t="str">
            <v/>
          </cell>
          <cell r="AJ56" t="str">
            <v/>
          </cell>
          <cell r="AO56" t="str">
            <v/>
          </cell>
        </row>
        <row r="57">
          <cell r="A57">
            <v>550</v>
          </cell>
          <cell r="B57" t="str">
            <v/>
          </cell>
          <cell r="C57" t="str">
            <v/>
          </cell>
          <cell r="D57" t="str">
            <v>삼표산업</v>
          </cell>
          <cell r="E57" t="str">
            <v>Residential</v>
          </cell>
          <cell r="F57" t="str">
            <v>아파트</v>
          </cell>
          <cell r="G57" t="str">
            <v>경기도</v>
          </cell>
          <cell r="H57" t="str">
            <v>안양시</v>
          </cell>
          <cell r="I57" t="str">
            <v>석수대림아파트</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B57" t="str">
            <v/>
          </cell>
          <cell r="AC57" t="str">
            <v/>
          </cell>
          <cell r="AD57" t="str">
            <v/>
          </cell>
          <cell r="AJ57" t="str">
            <v/>
          </cell>
          <cell r="AO57" t="str">
            <v/>
          </cell>
        </row>
        <row r="58">
          <cell r="A58">
            <v>560</v>
          </cell>
          <cell r="B58" t="str">
            <v/>
          </cell>
          <cell r="C58" t="str">
            <v/>
          </cell>
          <cell r="D58" t="str">
            <v>세모</v>
          </cell>
          <cell r="E58" t="str">
            <v>Commercial</v>
          </cell>
          <cell r="F58" t="str">
            <v>상업시설</v>
          </cell>
          <cell r="G58" t="str">
            <v>전라남도</v>
          </cell>
          <cell r="H58" t="str">
            <v>고흥읍</v>
          </cell>
          <cell r="I58" t="str">
            <v>봉래면 1120-4외 6필지</v>
          </cell>
          <cell r="J58">
            <v>5969.98</v>
          </cell>
          <cell r="K58">
            <v>3048.99</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B58" t="str">
            <v/>
          </cell>
          <cell r="AC58" t="str">
            <v/>
          </cell>
          <cell r="AD58" t="str">
            <v/>
          </cell>
          <cell r="AJ58" t="str">
            <v/>
          </cell>
          <cell r="AO58" t="str">
            <v/>
          </cell>
        </row>
        <row r="59">
          <cell r="A59">
            <v>570</v>
          </cell>
          <cell r="B59" t="str">
            <v/>
          </cell>
          <cell r="C59" t="str">
            <v/>
          </cell>
          <cell r="D59" t="str">
            <v>세모</v>
          </cell>
          <cell r="E59" t="str">
            <v>Land</v>
          </cell>
          <cell r="F59" t="str">
            <v>나대지</v>
          </cell>
          <cell r="G59" t="str">
            <v>서울시</v>
          </cell>
          <cell r="H59" t="str">
            <v>강남구</v>
          </cell>
          <cell r="I59" t="str">
            <v>삼성동 5-3,55-8</v>
          </cell>
          <cell r="J59">
            <v>924</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B59" t="str">
            <v/>
          </cell>
          <cell r="AC59" t="str">
            <v/>
          </cell>
          <cell r="AD59" t="str">
            <v/>
          </cell>
          <cell r="AJ59" t="str">
            <v/>
          </cell>
          <cell r="AO59" t="str">
            <v/>
          </cell>
        </row>
        <row r="60">
          <cell r="A60">
            <v>580</v>
          </cell>
          <cell r="B60" t="str">
            <v/>
          </cell>
          <cell r="C60" t="str">
            <v/>
          </cell>
          <cell r="D60" t="str">
            <v>충남방적</v>
          </cell>
          <cell r="E60" t="str">
            <v>Industrial</v>
          </cell>
          <cell r="F60" t="str">
            <v>공장</v>
          </cell>
          <cell r="G60" t="str">
            <v>충청남도</v>
          </cell>
          <cell r="H60" t="str">
            <v>예산읍</v>
          </cell>
          <cell r="I60" t="str">
            <v>창소리 77-3외 39필지</v>
          </cell>
          <cell r="J60">
            <v>4496.99</v>
          </cell>
          <cell r="K60">
            <v>3434.98</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B60" t="str">
            <v/>
          </cell>
          <cell r="AC60" t="str">
            <v/>
          </cell>
          <cell r="AD60" t="str">
            <v/>
          </cell>
          <cell r="AJ60" t="str">
            <v/>
          </cell>
          <cell r="AO60" t="str">
            <v/>
          </cell>
        </row>
        <row r="61">
          <cell r="A61">
            <v>590</v>
          </cell>
          <cell r="B61" t="str">
            <v/>
          </cell>
          <cell r="C61" t="str">
            <v/>
          </cell>
          <cell r="D61" t="str">
            <v>삼미금속</v>
          </cell>
          <cell r="E61" t="str">
            <v>Commercial</v>
          </cell>
          <cell r="F61" t="str">
            <v>백화점</v>
          </cell>
          <cell r="G61" t="str">
            <v>부산시</v>
          </cell>
          <cell r="H61" t="str">
            <v>중구</v>
          </cell>
          <cell r="I61" t="str">
            <v>신창동1가5(구 유나백화점)</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B61" t="str">
            <v/>
          </cell>
          <cell r="AC61" t="str">
            <v/>
          </cell>
          <cell r="AD61" t="str">
            <v/>
          </cell>
          <cell r="AJ61" t="str">
            <v/>
          </cell>
          <cell r="AO61" t="str">
            <v/>
          </cell>
        </row>
        <row r="62">
          <cell r="A62">
            <v>600</v>
          </cell>
          <cell r="B62" t="str">
            <v/>
          </cell>
          <cell r="C62" t="str">
            <v/>
          </cell>
          <cell r="D62" t="str">
            <v>삼미금속</v>
          </cell>
          <cell r="E62" t="str">
            <v>Land</v>
          </cell>
          <cell r="F62" t="str">
            <v>나대지</v>
          </cell>
          <cell r="G62" t="str">
            <v>부산시</v>
          </cell>
          <cell r="H62" t="str">
            <v>사하구</v>
          </cell>
          <cell r="I62" t="str">
            <v/>
          </cell>
          <cell r="J62">
            <v>832.99</v>
          </cell>
          <cell r="K62">
            <v>6306.98</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B62" t="str">
            <v/>
          </cell>
          <cell r="AC62" t="str">
            <v/>
          </cell>
          <cell r="AD62" t="str">
            <v/>
          </cell>
          <cell r="AJ62" t="str">
            <v/>
          </cell>
          <cell r="AO62" t="str">
            <v/>
          </cell>
        </row>
        <row r="63">
          <cell r="A63">
            <v>610</v>
          </cell>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B63" t="str">
            <v/>
          </cell>
          <cell r="AC63" t="str">
            <v/>
          </cell>
          <cell r="AD63" t="str">
            <v/>
          </cell>
          <cell r="AJ63" t="str">
            <v/>
          </cell>
          <cell r="AO63" t="str">
            <v/>
          </cell>
        </row>
        <row r="64">
          <cell r="A64">
            <v>620</v>
          </cell>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B64" t="str">
            <v/>
          </cell>
          <cell r="AC64" t="str">
            <v/>
          </cell>
          <cell r="AD64" t="str">
            <v/>
          </cell>
          <cell r="AJ64" t="str">
            <v/>
          </cell>
          <cell r="AO64" t="str">
            <v/>
          </cell>
        </row>
        <row r="65">
          <cell r="A65">
            <v>630</v>
          </cell>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B65" t="str">
            <v/>
          </cell>
          <cell r="AC65" t="str">
            <v/>
          </cell>
          <cell r="AD65" t="str">
            <v/>
          </cell>
          <cell r="AJ65" t="str">
            <v/>
          </cell>
          <cell r="AO65" t="str">
            <v/>
          </cell>
        </row>
        <row r="66">
          <cell r="A66">
            <v>640</v>
          </cell>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B66" t="str">
            <v/>
          </cell>
          <cell r="AC66" t="str">
            <v/>
          </cell>
          <cell r="AD66" t="str">
            <v/>
          </cell>
          <cell r="AJ66" t="str">
            <v/>
          </cell>
          <cell r="AO66" t="str">
            <v/>
          </cell>
        </row>
        <row r="67">
          <cell r="A67">
            <v>650</v>
          </cell>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B67" t="str">
            <v/>
          </cell>
          <cell r="AC67" t="str">
            <v/>
          </cell>
          <cell r="AD67" t="str">
            <v/>
          </cell>
          <cell r="AJ67" t="str">
            <v/>
          </cell>
          <cell r="AO67" t="str">
            <v/>
          </cell>
        </row>
        <row r="68">
          <cell r="A68">
            <v>660</v>
          </cell>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B68" t="str">
            <v/>
          </cell>
          <cell r="AC68" t="str">
            <v/>
          </cell>
          <cell r="AD68" t="str">
            <v/>
          </cell>
          <cell r="AJ68" t="str">
            <v/>
          </cell>
          <cell r="AO68" t="str">
            <v/>
          </cell>
        </row>
        <row r="69">
          <cell r="A69">
            <v>670</v>
          </cell>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B69" t="str">
            <v/>
          </cell>
          <cell r="AC69" t="str">
            <v/>
          </cell>
          <cell r="AD69" t="str">
            <v/>
          </cell>
          <cell r="AJ69" t="str">
            <v/>
          </cell>
          <cell r="AO69" t="str">
            <v/>
          </cell>
        </row>
        <row r="70">
          <cell r="A70">
            <v>680</v>
          </cell>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B70" t="str">
            <v/>
          </cell>
          <cell r="AC70" t="str">
            <v/>
          </cell>
          <cell r="AD70" t="str">
            <v/>
          </cell>
          <cell r="AJ70" t="str">
            <v/>
          </cell>
          <cell r="AO70" t="str">
            <v/>
          </cell>
        </row>
        <row r="71">
          <cell r="A71">
            <v>690</v>
          </cell>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B71" t="str">
            <v/>
          </cell>
          <cell r="AC71" t="str">
            <v/>
          </cell>
          <cell r="AD71" t="str">
            <v/>
          </cell>
          <cell r="AJ71" t="str">
            <v/>
          </cell>
          <cell r="AO71" t="str">
            <v/>
          </cell>
        </row>
        <row r="72">
          <cell r="A72">
            <v>700</v>
          </cell>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B72" t="str">
            <v/>
          </cell>
          <cell r="AC72" t="str">
            <v/>
          </cell>
          <cell r="AD72" t="str">
            <v/>
          </cell>
          <cell r="AJ72" t="str">
            <v/>
          </cell>
          <cell r="AO72" t="str">
            <v/>
          </cell>
        </row>
        <row r="73">
          <cell r="A73">
            <v>710</v>
          </cell>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B73" t="str">
            <v/>
          </cell>
          <cell r="AC73" t="str">
            <v/>
          </cell>
          <cell r="AD73" t="str">
            <v/>
          </cell>
          <cell r="AJ73" t="str">
            <v/>
          </cell>
          <cell r="AO73" t="str">
            <v/>
          </cell>
        </row>
        <row r="74">
          <cell r="A74">
            <v>720</v>
          </cell>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B74" t="str">
            <v/>
          </cell>
          <cell r="AC74" t="str">
            <v/>
          </cell>
          <cell r="AD74" t="str">
            <v/>
          </cell>
          <cell r="AJ74" t="str">
            <v/>
          </cell>
          <cell r="AO74" t="str">
            <v/>
          </cell>
        </row>
        <row r="75">
          <cell r="A75">
            <v>730</v>
          </cell>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B75" t="str">
            <v/>
          </cell>
          <cell r="AC75" t="str">
            <v/>
          </cell>
          <cell r="AD75" t="str">
            <v/>
          </cell>
          <cell r="AJ75" t="str">
            <v/>
          </cell>
          <cell r="AO75" t="str">
            <v/>
          </cell>
        </row>
        <row r="76">
          <cell r="A76">
            <v>740</v>
          </cell>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B76" t="str">
            <v/>
          </cell>
          <cell r="AC76" t="str">
            <v/>
          </cell>
          <cell r="AD76" t="str">
            <v/>
          </cell>
          <cell r="AJ76" t="str">
            <v/>
          </cell>
          <cell r="AO76" t="str">
            <v/>
          </cell>
        </row>
        <row r="77">
          <cell r="A77">
            <v>750</v>
          </cell>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B77" t="str">
            <v/>
          </cell>
          <cell r="AC77" t="str">
            <v/>
          </cell>
          <cell r="AD77" t="str">
            <v/>
          </cell>
          <cell r="AJ77" t="str">
            <v/>
          </cell>
          <cell r="AO77" t="str">
            <v/>
          </cell>
        </row>
        <row r="78">
          <cell r="A78">
            <v>760</v>
          </cell>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B78" t="str">
            <v/>
          </cell>
          <cell r="AC78" t="str">
            <v/>
          </cell>
          <cell r="AD78" t="str">
            <v/>
          </cell>
          <cell r="AJ78" t="str">
            <v/>
          </cell>
          <cell r="AO78" t="str">
            <v/>
          </cell>
        </row>
        <row r="79">
          <cell r="A79">
            <v>770</v>
          </cell>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B79" t="str">
            <v/>
          </cell>
          <cell r="AC79" t="str">
            <v/>
          </cell>
          <cell r="AD79" t="str">
            <v/>
          </cell>
          <cell r="AJ79" t="str">
            <v/>
          </cell>
          <cell r="AO79" t="str">
            <v/>
          </cell>
        </row>
        <row r="80">
          <cell r="A80">
            <v>780</v>
          </cell>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B80" t="str">
            <v/>
          </cell>
          <cell r="AC80" t="str">
            <v/>
          </cell>
          <cell r="AD80" t="str">
            <v/>
          </cell>
          <cell r="AJ80" t="str">
            <v/>
          </cell>
          <cell r="AO80" t="str">
            <v/>
          </cell>
        </row>
        <row r="81">
          <cell r="A81">
            <v>790</v>
          </cell>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B81" t="str">
            <v/>
          </cell>
          <cell r="AC81" t="str">
            <v/>
          </cell>
          <cell r="AD81" t="str">
            <v/>
          </cell>
          <cell r="AJ81" t="str">
            <v/>
          </cell>
          <cell r="AO81" t="str">
            <v/>
          </cell>
        </row>
        <row r="82">
          <cell r="A82">
            <v>800</v>
          </cell>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B82" t="str">
            <v/>
          </cell>
          <cell r="AC82" t="str">
            <v/>
          </cell>
          <cell r="AD82" t="str">
            <v/>
          </cell>
          <cell r="AJ82" t="str">
            <v/>
          </cell>
          <cell r="AO82" t="str">
            <v/>
          </cell>
        </row>
        <row r="83">
          <cell r="A83">
            <v>810</v>
          </cell>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B83" t="str">
            <v/>
          </cell>
          <cell r="AC83" t="str">
            <v/>
          </cell>
          <cell r="AD83" t="str">
            <v/>
          </cell>
          <cell r="AJ83" t="str">
            <v/>
          </cell>
          <cell r="AO83" t="str">
            <v/>
          </cell>
        </row>
        <row r="84">
          <cell r="A84">
            <v>820</v>
          </cell>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B84" t="str">
            <v/>
          </cell>
          <cell r="AC84" t="str">
            <v/>
          </cell>
          <cell r="AD84" t="str">
            <v/>
          </cell>
          <cell r="AJ84" t="str">
            <v/>
          </cell>
          <cell r="AO84" t="str">
            <v/>
          </cell>
        </row>
        <row r="85">
          <cell r="A85">
            <v>830</v>
          </cell>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B85" t="str">
            <v/>
          </cell>
          <cell r="AC85" t="str">
            <v/>
          </cell>
          <cell r="AD85" t="str">
            <v/>
          </cell>
          <cell r="AJ85" t="str">
            <v/>
          </cell>
          <cell r="AO85" t="str">
            <v/>
          </cell>
        </row>
        <row r="86">
          <cell r="A86">
            <v>840</v>
          </cell>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B86" t="str">
            <v/>
          </cell>
          <cell r="AC86" t="str">
            <v/>
          </cell>
          <cell r="AD86" t="str">
            <v/>
          </cell>
          <cell r="AJ86" t="str">
            <v/>
          </cell>
          <cell r="AO86" t="str">
            <v/>
          </cell>
        </row>
        <row r="87">
          <cell r="A87">
            <v>850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B87" t="str">
            <v/>
          </cell>
          <cell r="AC87" t="str">
            <v/>
          </cell>
          <cell r="AD87" t="str">
            <v/>
          </cell>
          <cell r="AJ87" t="str">
            <v/>
          </cell>
          <cell r="AO87" t="str">
            <v/>
          </cell>
        </row>
        <row r="88">
          <cell r="A88">
            <v>860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B88" t="str">
            <v/>
          </cell>
          <cell r="AC88" t="str">
            <v/>
          </cell>
          <cell r="AD88" t="str">
            <v/>
          </cell>
          <cell r="AJ88" t="str">
            <v/>
          </cell>
          <cell r="AO88" t="str">
            <v/>
          </cell>
        </row>
        <row r="89">
          <cell r="A89">
            <v>870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B89" t="str">
            <v/>
          </cell>
          <cell r="AC89" t="str">
            <v/>
          </cell>
          <cell r="AD89" t="str">
            <v/>
          </cell>
          <cell r="AJ89" t="str">
            <v/>
          </cell>
          <cell r="AO89" t="str">
            <v/>
          </cell>
        </row>
        <row r="90">
          <cell r="A90">
            <v>880</v>
          </cell>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B90" t="str">
            <v/>
          </cell>
          <cell r="AC90" t="str">
            <v/>
          </cell>
          <cell r="AD90" t="str">
            <v/>
          </cell>
          <cell r="AJ90" t="str">
            <v/>
          </cell>
          <cell r="AO90" t="str">
            <v/>
          </cell>
        </row>
        <row r="91">
          <cell r="A91">
            <v>890</v>
          </cell>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cell r="X91" t="str">
            <v/>
          </cell>
          <cell r="Y91" t="str">
            <v/>
          </cell>
          <cell r="Z91" t="str">
            <v/>
          </cell>
          <cell r="AB91" t="str">
            <v/>
          </cell>
          <cell r="AC91" t="str">
            <v/>
          </cell>
          <cell r="AD91" t="str">
            <v/>
          </cell>
          <cell r="AJ91" t="str">
            <v/>
          </cell>
          <cell r="AO91" t="str">
            <v/>
          </cell>
        </row>
        <row r="92">
          <cell r="A92">
            <v>900</v>
          </cell>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B92" t="str">
            <v/>
          </cell>
          <cell r="AC92" t="str">
            <v/>
          </cell>
          <cell r="AD92" t="str">
            <v/>
          </cell>
          <cell r="AJ92" t="str">
            <v/>
          </cell>
          <cell r="AO92" t="str">
            <v/>
          </cell>
        </row>
        <row r="93">
          <cell r="A93">
            <v>910</v>
          </cell>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B93" t="str">
            <v/>
          </cell>
          <cell r="AC93" t="str">
            <v/>
          </cell>
          <cell r="AD93" t="str">
            <v/>
          </cell>
          <cell r="AJ93" t="str">
            <v/>
          </cell>
          <cell r="AO93" t="str">
            <v/>
          </cell>
        </row>
        <row r="94">
          <cell r="A94">
            <v>920</v>
          </cell>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B94" t="str">
            <v/>
          </cell>
          <cell r="AC94" t="str">
            <v/>
          </cell>
          <cell r="AD94" t="str">
            <v/>
          </cell>
          <cell r="AJ94" t="str">
            <v/>
          </cell>
          <cell r="AO94" t="str">
            <v/>
          </cell>
        </row>
        <row r="95">
          <cell r="A95">
            <v>930</v>
          </cell>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B95" t="str">
            <v/>
          </cell>
          <cell r="AC95" t="str">
            <v/>
          </cell>
          <cell r="AD95" t="str">
            <v/>
          </cell>
          <cell r="AJ95" t="str">
            <v/>
          </cell>
          <cell r="AO95" t="str">
            <v/>
          </cell>
        </row>
        <row r="96">
          <cell r="A96">
            <v>940</v>
          </cell>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B96" t="str">
            <v/>
          </cell>
          <cell r="AC96" t="str">
            <v/>
          </cell>
          <cell r="AD96" t="str">
            <v/>
          </cell>
          <cell r="AJ96" t="str">
            <v/>
          </cell>
          <cell r="AO96" t="str">
            <v/>
          </cell>
        </row>
        <row r="97">
          <cell r="A97">
            <v>950</v>
          </cell>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B97" t="str">
            <v/>
          </cell>
          <cell r="AC97" t="str">
            <v/>
          </cell>
          <cell r="AD97" t="str">
            <v/>
          </cell>
          <cell r="AJ97" t="str">
            <v/>
          </cell>
          <cell r="AO97" t="str">
            <v/>
          </cell>
        </row>
        <row r="98">
          <cell r="A98">
            <v>960</v>
          </cell>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B98" t="str">
            <v/>
          </cell>
          <cell r="AC98" t="str">
            <v/>
          </cell>
          <cell r="AD98" t="str">
            <v/>
          </cell>
          <cell r="AJ98" t="str">
            <v/>
          </cell>
          <cell r="AO98" t="str">
            <v/>
          </cell>
        </row>
        <row r="99">
          <cell r="A99">
            <v>970</v>
          </cell>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B99" t="str">
            <v/>
          </cell>
          <cell r="AC99" t="str">
            <v/>
          </cell>
          <cell r="AD99" t="str">
            <v/>
          </cell>
          <cell r="AJ99" t="str">
            <v/>
          </cell>
          <cell r="AO99" t="str">
            <v/>
          </cell>
        </row>
        <row r="100">
          <cell r="A100">
            <v>980</v>
          </cell>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B100" t="str">
            <v/>
          </cell>
          <cell r="AC100" t="str">
            <v/>
          </cell>
          <cell r="AD100" t="str">
            <v/>
          </cell>
          <cell r="AJ100" t="str">
            <v/>
          </cell>
          <cell r="AO100" t="str">
            <v/>
          </cell>
        </row>
        <row r="101">
          <cell r="A101">
            <v>990</v>
          </cell>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B101" t="str">
            <v/>
          </cell>
          <cell r="AC101" t="str">
            <v/>
          </cell>
          <cell r="AD101" t="str">
            <v/>
          </cell>
          <cell r="AJ101" t="str">
            <v/>
          </cell>
          <cell r="AO101" t="str">
            <v/>
          </cell>
        </row>
        <row r="102">
          <cell r="A102">
            <v>1000</v>
          </cell>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B102" t="str">
            <v/>
          </cell>
          <cell r="AC102" t="str">
            <v/>
          </cell>
          <cell r="AD102" t="str">
            <v/>
          </cell>
          <cell r="AJ102" t="str">
            <v/>
          </cell>
          <cell r="AO102" t="str">
            <v/>
          </cell>
        </row>
        <row r="103">
          <cell r="A103">
            <v>1010</v>
          </cell>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B103" t="str">
            <v/>
          </cell>
          <cell r="AC103" t="str">
            <v/>
          </cell>
          <cell r="AD103" t="str">
            <v/>
          </cell>
          <cell r="AJ103" t="str">
            <v/>
          </cell>
          <cell r="AO103" t="str">
            <v/>
          </cell>
        </row>
        <row r="104">
          <cell r="A104">
            <v>1020</v>
          </cell>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B104" t="str">
            <v/>
          </cell>
          <cell r="AC104" t="str">
            <v/>
          </cell>
          <cell r="AD104" t="str">
            <v/>
          </cell>
          <cell r="AJ104" t="str">
            <v/>
          </cell>
          <cell r="AO104" t="str">
            <v/>
          </cell>
        </row>
        <row r="105">
          <cell r="A105">
            <v>1030</v>
          </cell>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B105" t="str">
            <v/>
          </cell>
          <cell r="AC105" t="str">
            <v/>
          </cell>
          <cell r="AD105" t="str">
            <v/>
          </cell>
          <cell r="AJ105" t="str">
            <v/>
          </cell>
          <cell r="AO105" t="str">
            <v/>
          </cell>
        </row>
        <row r="106">
          <cell r="A106">
            <v>1040</v>
          </cell>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B106" t="str">
            <v/>
          </cell>
          <cell r="AC106" t="str">
            <v/>
          </cell>
          <cell r="AD106" t="str">
            <v/>
          </cell>
          <cell r="AJ106" t="str">
            <v/>
          </cell>
          <cell r="AO106" t="str">
            <v/>
          </cell>
        </row>
        <row r="107">
          <cell r="A107">
            <v>1050</v>
          </cell>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B107" t="str">
            <v/>
          </cell>
          <cell r="AC107" t="str">
            <v/>
          </cell>
          <cell r="AD107" t="str">
            <v/>
          </cell>
          <cell r="AJ107" t="str">
            <v/>
          </cell>
          <cell r="AO107" t="str">
            <v/>
          </cell>
        </row>
        <row r="108">
          <cell r="A108">
            <v>1060</v>
          </cell>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B108" t="str">
            <v/>
          </cell>
          <cell r="AC108" t="str">
            <v/>
          </cell>
          <cell r="AD108" t="str">
            <v/>
          </cell>
          <cell r="AJ108" t="str">
            <v/>
          </cell>
          <cell r="AO108" t="str">
            <v/>
          </cell>
        </row>
        <row r="109">
          <cell r="A109">
            <v>1070</v>
          </cell>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B109" t="str">
            <v/>
          </cell>
          <cell r="AC109" t="str">
            <v/>
          </cell>
          <cell r="AD109" t="str">
            <v/>
          </cell>
          <cell r="AJ109" t="str">
            <v/>
          </cell>
          <cell r="AO109" t="str">
            <v/>
          </cell>
        </row>
        <row r="110">
          <cell r="A110">
            <v>1070</v>
          </cell>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B110" t="str">
            <v/>
          </cell>
          <cell r="AC110" t="str">
            <v/>
          </cell>
          <cell r="AD110" t="str">
            <v/>
          </cell>
          <cell r="AJ110" t="str">
            <v/>
          </cell>
          <cell r="AO110" t="str">
            <v/>
          </cell>
        </row>
        <row r="111">
          <cell r="A111">
            <v>1080</v>
          </cell>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B111" t="str">
            <v/>
          </cell>
          <cell r="AC111" t="str">
            <v/>
          </cell>
          <cell r="AD111" t="str">
            <v/>
          </cell>
          <cell r="AJ111" t="str">
            <v/>
          </cell>
          <cell r="AO111" t="str">
            <v/>
          </cell>
        </row>
        <row r="112">
          <cell r="A112">
            <v>1090</v>
          </cell>
          <cell r="B112" t="str">
            <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B112" t="str">
            <v/>
          </cell>
          <cell r="AC112" t="str">
            <v/>
          </cell>
          <cell r="AD112" t="str">
            <v/>
          </cell>
          <cell r="AJ112" t="str">
            <v/>
          </cell>
          <cell r="AO112" t="str">
            <v/>
          </cell>
        </row>
        <row r="113">
          <cell r="A113">
            <v>1100</v>
          </cell>
          <cell r="B113" t="str">
            <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B113" t="str">
            <v/>
          </cell>
          <cell r="AC113" t="str">
            <v/>
          </cell>
          <cell r="AD113" t="str">
            <v/>
          </cell>
          <cell r="AJ113" t="str">
            <v/>
          </cell>
          <cell r="AO113" t="str">
            <v/>
          </cell>
        </row>
        <row r="114">
          <cell r="A114">
            <v>1110</v>
          </cell>
          <cell r="B114" t="str">
            <v/>
          </cell>
          <cell r="C114" t="str">
            <v/>
          </cell>
          <cell r="D114" t="str">
            <v/>
          </cell>
          <cell r="E114" t="str">
            <v/>
          </cell>
          <cell r="F114" t="str">
            <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B114" t="str">
            <v/>
          </cell>
          <cell r="AC114" t="str">
            <v/>
          </cell>
          <cell r="AD114" t="str">
            <v/>
          </cell>
          <cell r="AJ114" t="str">
            <v/>
          </cell>
          <cell r="AO114" t="str">
            <v/>
          </cell>
        </row>
        <row r="115">
          <cell r="A115">
            <v>1120</v>
          </cell>
          <cell r="B115" t="str">
            <v/>
          </cell>
          <cell r="C115" t="str">
            <v/>
          </cell>
          <cell r="D115" t="str">
            <v/>
          </cell>
          <cell r="E115" t="str">
            <v/>
          </cell>
          <cell r="F115" t="str">
            <v/>
          </cell>
          <cell r="G115" t="str">
            <v/>
          </cell>
          <cell r="H115" t="str">
            <v/>
          </cell>
          <cell r="I115" t="str">
            <v/>
          </cell>
          <cell r="J115" t="str">
            <v/>
          </cell>
          <cell r="K115" t="str">
            <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B115" t="str">
            <v/>
          </cell>
          <cell r="AC115" t="str">
            <v/>
          </cell>
          <cell r="AD115" t="str">
            <v/>
          </cell>
          <cell r="AJ115" t="str">
            <v/>
          </cell>
          <cell r="AO115" t="str">
            <v/>
          </cell>
        </row>
        <row r="116">
          <cell r="A116">
            <v>1130</v>
          </cell>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B116" t="str">
            <v/>
          </cell>
          <cell r="AC116" t="str">
            <v/>
          </cell>
          <cell r="AD116" t="str">
            <v/>
          </cell>
          <cell r="AJ116" t="str">
            <v/>
          </cell>
          <cell r="AO116" t="str">
            <v/>
          </cell>
        </row>
        <row r="117">
          <cell r="A117">
            <v>1140</v>
          </cell>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B117" t="str">
            <v/>
          </cell>
          <cell r="AC117" t="str">
            <v/>
          </cell>
          <cell r="AD117" t="str">
            <v/>
          </cell>
          <cell r="AJ117" t="str">
            <v/>
          </cell>
          <cell r="AO117" t="str">
            <v/>
          </cell>
        </row>
        <row r="118">
          <cell r="A118">
            <v>1150</v>
          </cell>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B118" t="str">
            <v/>
          </cell>
          <cell r="AC118" t="str">
            <v/>
          </cell>
          <cell r="AD118" t="str">
            <v/>
          </cell>
          <cell r="AJ118" t="str">
            <v/>
          </cell>
          <cell r="AO118" t="str">
            <v/>
          </cell>
        </row>
        <row r="119">
          <cell r="A119">
            <v>1160</v>
          </cell>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B119" t="str">
            <v/>
          </cell>
          <cell r="AC119" t="str">
            <v/>
          </cell>
          <cell r="AD119" t="str">
            <v/>
          </cell>
          <cell r="AJ119" t="str">
            <v/>
          </cell>
          <cell r="AO119" t="str">
            <v/>
          </cell>
        </row>
        <row r="120">
          <cell r="A120">
            <v>1170</v>
          </cell>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B120" t="str">
            <v/>
          </cell>
          <cell r="AC120" t="str">
            <v/>
          </cell>
          <cell r="AD120" t="str">
            <v/>
          </cell>
          <cell r="AJ120" t="str">
            <v/>
          </cell>
          <cell r="AO120" t="str">
            <v/>
          </cell>
        </row>
        <row r="121">
          <cell r="A121">
            <v>1180</v>
          </cell>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B121" t="str">
            <v/>
          </cell>
          <cell r="AC121" t="str">
            <v/>
          </cell>
          <cell r="AD121" t="str">
            <v/>
          </cell>
          <cell r="AJ121" t="str">
            <v/>
          </cell>
          <cell r="AO121" t="str">
            <v/>
          </cell>
        </row>
        <row r="122">
          <cell r="A122">
            <v>1190</v>
          </cell>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B122" t="str">
            <v/>
          </cell>
          <cell r="AC122" t="str">
            <v/>
          </cell>
          <cell r="AD122" t="str">
            <v/>
          </cell>
          <cell r="AJ122" t="str">
            <v/>
          </cell>
          <cell r="AO122" t="str">
            <v/>
          </cell>
        </row>
        <row r="123">
          <cell r="A123">
            <v>1200</v>
          </cell>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B123" t="str">
            <v/>
          </cell>
          <cell r="AC123" t="str">
            <v/>
          </cell>
          <cell r="AD123" t="str">
            <v/>
          </cell>
          <cell r="AJ123" t="str">
            <v/>
          </cell>
          <cell r="AO123" t="str">
            <v/>
          </cell>
        </row>
        <row r="124">
          <cell r="A124">
            <v>1210</v>
          </cell>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B124" t="str">
            <v/>
          </cell>
          <cell r="AC124" t="str">
            <v/>
          </cell>
          <cell r="AD124" t="str">
            <v/>
          </cell>
          <cell r="AJ124" t="str">
            <v/>
          </cell>
          <cell r="AO124" t="str">
            <v/>
          </cell>
        </row>
        <row r="125">
          <cell r="A125">
            <v>1220</v>
          </cell>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B125" t="str">
            <v/>
          </cell>
          <cell r="AC125" t="str">
            <v/>
          </cell>
          <cell r="AD125" t="str">
            <v/>
          </cell>
          <cell r="AJ125" t="str">
            <v/>
          </cell>
          <cell r="AO125" t="str">
            <v/>
          </cell>
        </row>
        <row r="126">
          <cell r="A126">
            <v>1230</v>
          </cell>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B126" t="str">
            <v/>
          </cell>
          <cell r="AC126" t="str">
            <v/>
          </cell>
          <cell r="AD126" t="str">
            <v/>
          </cell>
          <cell r="AJ126" t="str">
            <v/>
          </cell>
          <cell r="AO126" t="str">
            <v/>
          </cell>
        </row>
        <row r="127">
          <cell r="A127">
            <v>1240</v>
          </cell>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B127" t="str">
            <v/>
          </cell>
          <cell r="AC127" t="str">
            <v/>
          </cell>
          <cell r="AD127" t="str">
            <v/>
          </cell>
          <cell r="AJ127" t="str">
            <v/>
          </cell>
          <cell r="AO127" t="str">
            <v/>
          </cell>
        </row>
        <row r="128">
          <cell r="A128">
            <v>1250</v>
          </cell>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B128" t="str">
            <v/>
          </cell>
          <cell r="AC128" t="str">
            <v/>
          </cell>
          <cell r="AD128" t="str">
            <v/>
          </cell>
          <cell r="AJ128" t="str">
            <v/>
          </cell>
          <cell r="AO128" t="str">
            <v/>
          </cell>
        </row>
        <row r="129">
          <cell r="A129">
            <v>1260</v>
          </cell>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B129" t="str">
            <v/>
          </cell>
          <cell r="AC129" t="str">
            <v/>
          </cell>
          <cell r="AD129" t="str">
            <v/>
          </cell>
          <cell r="AJ129" t="str">
            <v/>
          </cell>
          <cell r="AO129" t="str">
            <v/>
          </cell>
        </row>
        <row r="130">
          <cell r="A130">
            <v>1270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B130" t="str">
            <v/>
          </cell>
          <cell r="AC130" t="str">
            <v/>
          </cell>
          <cell r="AD130" t="str">
            <v/>
          </cell>
          <cell r="AJ130" t="str">
            <v/>
          </cell>
          <cell r="AO130" t="str">
            <v/>
          </cell>
        </row>
        <row r="131">
          <cell r="A131">
            <v>1280</v>
          </cell>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B131" t="str">
            <v/>
          </cell>
          <cell r="AC131" t="str">
            <v/>
          </cell>
          <cell r="AD131" t="str">
            <v/>
          </cell>
          <cell r="AJ131" t="str">
            <v/>
          </cell>
          <cell r="AO131" t="str">
            <v/>
          </cell>
        </row>
        <row r="132">
          <cell r="A132">
            <v>1290</v>
          </cell>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B132" t="str">
            <v/>
          </cell>
          <cell r="AC132" t="str">
            <v/>
          </cell>
          <cell r="AD132" t="str">
            <v/>
          </cell>
          <cell r="AJ132" t="str">
            <v/>
          </cell>
          <cell r="AO132" t="str">
            <v/>
          </cell>
        </row>
        <row r="133">
          <cell r="A133">
            <v>1300</v>
          </cell>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B133" t="str">
            <v/>
          </cell>
          <cell r="AC133" t="str">
            <v/>
          </cell>
          <cell r="AD133" t="str">
            <v/>
          </cell>
          <cell r="AJ133" t="str">
            <v/>
          </cell>
          <cell r="AO133" t="str">
            <v/>
          </cell>
        </row>
        <row r="134">
          <cell r="A134">
            <v>1310</v>
          </cell>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B134" t="str">
            <v/>
          </cell>
          <cell r="AC134" t="str">
            <v/>
          </cell>
          <cell r="AD134" t="str">
            <v/>
          </cell>
          <cell r="AJ134" t="str">
            <v/>
          </cell>
          <cell r="AO134" t="str">
            <v/>
          </cell>
        </row>
        <row r="135">
          <cell r="A135">
            <v>1320</v>
          </cell>
          <cell r="B135" t="str">
            <v/>
          </cell>
          <cell r="C135" t="str">
            <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B135" t="str">
            <v/>
          </cell>
          <cell r="AC135" t="str">
            <v/>
          </cell>
          <cell r="AD135" t="str">
            <v/>
          </cell>
          <cell r="AJ135" t="str">
            <v/>
          </cell>
          <cell r="AO135" t="str">
            <v/>
          </cell>
        </row>
        <row r="136">
          <cell r="A136">
            <v>1330</v>
          </cell>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B136" t="str">
            <v/>
          </cell>
          <cell r="AC136" t="str">
            <v/>
          </cell>
          <cell r="AD136" t="str">
            <v/>
          </cell>
          <cell r="AJ136" t="str">
            <v/>
          </cell>
          <cell r="AO136" t="str">
            <v/>
          </cell>
        </row>
        <row r="137">
          <cell r="A137">
            <v>1340</v>
          </cell>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B137" t="str">
            <v/>
          </cell>
          <cell r="AC137" t="str">
            <v/>
          </cell>
          <cell r="AD137" t="str">
            <v/>
          </cell>
          <cell r="AJ137" t="str">
            <v/>
          </cell>
          <cell r="AO137" t="str">
            <v/>
          </cell>
        </row>
        <row r="138">
          <cell r="A138">
            <v>1350</v>
          </cell>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B138" t="str">
            <v/>
          </cell>
          <cell r="AC138" t="str">
            <v/>
          </cell>
          <cell r="AD138" t="str">
            <v/>
          </cell>
          <cell r="AJ138" t="str">
            <v/>
          </cell>
          <cell r="AO138" t="str">
            <v/>
          </cell>
        </row>
        <row r="139">
          <cell r="A139">
            <v>1360</v>
          </cell>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B139" t="str">
            <v/>
          </cell>
          <cell r="AC139" t="str">
            <v/>
          </cell>
          <cell r="AD139" t="str">
            <v/>
          </cell>
          <cell r="AJ139" t="str">
            <v/>
          </cell>
          <cell r="AO139" t="str">
            <v/>
          </cell>
        </row>
        <row r="140">
          <cell r="A140">
            <v>1370</v>
          </cell>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B140" t="str">
            <v/>
          </cell>
          <cell r="AC140" t="str">
            <v/>
          </cell>
          <cell r="AD140" t="str">
            <v/>
          </cell>
          <cell r="AJ140" t="str">
            <v/>
          </cell>
          <cell r="AO140" t="str">
            <v/>
          </cell>
        </row>
        <row r="141">
          <cell r="A141">
            <v>1380</v>
          </cell>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B141" t="str">
            <v/>
          </cell>
          <cell r="AC141" t="str">
            <v/>
          </cell>
          <cell r="AD141" t="str">
            <v/>
          </cell>
          <cell r="AJ141" t="str">
            <v/>
          </cell>
          <cell r="AO141" t="str">
            <v/>
          </cell>
        </row>
        <row r="142">
          <cell r="A142">
            <v>1390</v>
          </cell>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B142" t="str">
            <v/>
          </cell>
          <cell r="AC142" t="str">
            <v/>
          </cell>
          <cell r="AD142" t="str">
            <v/>
          </cell>
          <cell r="AJ142" t="str">
            <v/>
          </cell>
          <cell r="AO142" t="str">
            <v/>
          </cell>
        </row>
        <row r="143">
          <cell r="A143">
            <v>1400</v>
          </cell>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B143" t="str">
            <v/>
          </cell>
          <cell r="AC143" t="str">
            <v/>
          </cell>
          <cell r="AD143" t="str">
            <v/>
          </cell>
          <cell r="AJ143" t="str">
            <v/>
          </cell>
          <cell r="AO143" t="str">
            <v/>
          </cell>
        </row>
        <row r="144">
          <cell r="A144">
            <v>1410</v>
          </cell>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B144" t="str">
            <v/>
          </cell>
          <cell r="AC144" t="str">
            <v/>
          </cell>
          <cell r="AD144" t="str">
            <v/>
          </cell>
          <cell r="AJ144" t="str">
            <v/>
          </cell>
          <cell r="AO144" t="str">
            <v/>
          </cell>
        </row>
        <row r="145">
          <cell r="A145">
            <v>1420</v>
          </cell>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B145" t="str">
            <v/>
          </cell>
          <cell r="AC145" t="str">
            <v/>
          </cell>
          <cell r="AD145" t="str">
            <v/>
          </cell>
          <cell r="AJ145" t="str">
            <v/>
          </cell>
          <cell r="AO145" t="str">
            <v/>
          </cell>
        </row>
        <row r="146">
          <cell r="A146">
            <v>1430</v>
          </cell>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B146" t="str">
            <v/>
          </cell>
          <cell r="AC146" t="str">
            <v/>
          </cell>
          <cell r="AD146" t="str">
            <v/>
          </cell>
          <cell r="AJ146" t="str">
            <v/>
          </cell>
          <cell r="AO146" t="str">
            <v/>
          </cell>
        </row>
        <row r="147">
          <cell r="A147">
            <v>1440</v>
          </cell>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B147" t="str">
            <v/>
          </cell>
          <cell r="AC147" t="str">
            <v/>
          </cell>
          <cell r="AD147" t="str">
            <v/>
          </cell>
          <cell r="AJ147" t="str">
            <v/>
          </cell>
          <cell r="AO147" t="str">
            <v/>
          </cell>
        </row>
        <row r="148">
          <cell r="A148">
            <v>1450</v>
          </cell>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B148" t="str">
            <v/>
          </cell>
          <cell r="AC148" t="str">
            <v/>
          </cell>
          <cell r="AD148" t="str">
            <v/>
          </cell>
          <cell r="AJ148" t="str">
            <v/>
          </cell>
          <cell r="AO148" t="str">
            <v/>
          </cell>
        </row>
        <row r="149">
          <cell r="A149">
            <v>1460</v>
          </cell>
          <cell r="B149" t="str">
            <v/>
          </cell>
          <cell r="C149" t="str">
            <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B149" t="str">
            <v/>
          </cell>
          <cell r="AC149" t="str">
            <v/>
          </cell>
          <cell r="AD149" t="str">
            <v/>
          </cell>
          <cell r="AJ149" t="str">
            <v/>
          </cell>
          <cell r="AO149" t="str">
            <v/>
          </cell>
        </row>
        <row r="150">
          <cell r="A150">
            <v>1470</v>
          </cell>
          <cell r="B150" t="str">
            <v/>
          </cell>
          <cell r="C150" t="str">
            <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B150" t="str">
            <v/>
          </cell>
          <cell r="AC150" t="str">
            <v/>
          </cell>
          <cell r="AD150" t="str">
            <v/>
          </cell>
          <cell r="AJ150" t="str">
            <v/>
          </cell>
          <cell r="AO150" t="str">
            <v/>
          </cell>
        </row>
        <row r="151">
          <cell r="A151">
            <v>1480</v>
          </cell>
          <cell r="B151" t="str">
            <v/>
          </cell>
          <cell r="C151" t="str">
            <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B151" t="str">
            <v/>
          </cell>
          <cell r="AC151" t="str">
            <v/>
          </cell>
          <cell r="AD151" t="str">
            <v/>
          </cell>
          <cell r="AJ151" t="str">
            <v/>
          </cell>
          <cell r="AO151" t="str">
            <v/>
          </cell>
        </row>
        <row r="152">
          <cell r="A152">
            <v>1490</v>
          </cell>
          <cell r="B152" t="str">
            <v/>
          </cell>
          <cell r="C152" t="str">
            <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B152" t="str">
            <v/>
          </cell>
          <cell r="AC152" t="str">
            <v/>
          </cell>
          <cell r="AD152" t="str">
            <v/>
          </cell>
          <cell r="AJ152" t="str">
            <v/>
          </cell>
          <cell r="AO152" t="str">
            <v/>
          </cell>
        </row>
        <row r="153">
          <cell r="A153">
            <v>1500</v>
          </cell>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B153" t="str">
            <v/>
          </cell>
          <cell r="AC153" t="str">
            <v/>
          </cell>
          <cell r="AD153" t="str">
            <v/>
          </cell>
          <cell r="AJ153" t="str">
            <v/>
          </cell>
          <cell r="AO153" t="str">
            <v/>
          </cell>
        </row>
        <row r="154">
          <cell r="A154">
            <v>1510</v>
          </cell>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B154" t="str">
            <v/>
          </cell>
          <cell r="AC154" t="str">
            <v/>
          </cell>
          <cell r="AD154" t="str">
            <v/>
          </cell>
          <cell r="AJ154" t="str">
            <v/>
          </cell>
          <cell r="AO154" t="str">
            <v/>
          </cell>
        </row>
        <row r="155">
          <cell r="A155">
            <v>1520</v>
          </cell>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B155" t="str">
            <v/>
          </cell>
          <cell r="AC155" t="str">
            <v/>
          </cell>
          <cell r="AD155" t="str">
            <v/>
          </cell>
          <cell r="AJ155" t="str">
            <v/>
          </cell>
          <cell r="AO155" t="str">
            <v/>
          </cell>
        </row>
        <row r="156">
          <cell r="A156">
            <v>1530</v>
          </cell>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B156" t="str">
            <v/>
          </cell>
          <cell r="AC156" t="str">
            <v/>
          </cell>
          <cell r="AD156" t="str">
            <v/>
          </cell>
          <cell r="AJ156" t="str">
            <v/>
          </cell>
          <cell r="AO156" t="str">
            <v/>
          </cell>
        </row>
        <row r="157">
          <cell r="A157">
            <v>1540</v>
          </cell>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B157" t="str">
            <v/>
          </cell>
          <cell r="AC157" t="str">
            <v/>
          </cell>
          <cell r="AD157" t="str">
            <v/>
          </cell>
          <cell r="AJ157" t="str">
            <v/>
          </cell>
          <cell r="AO157" t="str">
            <v/>
          </cell>
        </row>
        <row r="158">
          <cell r="A158">
            <v>1550</v>
          </cell>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B158" t="str">
            <v/>
          </cell>
          <cell r="AC158" t="str">
            <v/>
          </cell>
          <cell r="AD158" t="str">
            <v/>
          </cell>
          <cell r="AJ158" t="str">
            <v/>
          </cell>
          <cell r="AO158" t="str">
            <v/>
          </cell>
        </row>
        <row r="159">
          <cell r="A159">
            <v>1560</v>
          </cell>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B159" t="str">
            <v/>
          </cell>
          <cell r="AC159" t="str">
            <v/>
          </cell>
          <cell r="AD159" t="str">
            <v/>
          </cell>
          <cell r="AJ159" t="str">
            <v/>
          </cell>
          <cell r="AO159" t="str">
            <v/>
          </cell>
        </row>
        <row r="160">
          <cell r="A160">
            <v>1570</v>
          </cell>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B160" t="str">
            <v/>
          </cell>
          <cell r="AC160" t="str">
            <v/>
          </cell>
          <cell r="AD160" t="str">
            <v/>
          </cell>
          <cell r="AJ160" t="str">
            <v/>
          </cell>
          <cell r="AO160" t="str">
            <v/>
          </cell>
        </row>
        <row r="161">
          <cell r="A161">
            <v>1580</v>
          </cell>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B161" t="str">
            <v/>
          </cell>
          <cell r="AC161" t="str">
            <v/>
          </cell>
          <cell r="AD161" t="str">
            <v/>
          </cell>
          <cell r="AJ161" t="str">
            <v/>
          </cell>
          <cell r="AO161" t="str">
            <v/>
          </cell>
        </row>
        <row r="162">
          <cell r="A162">
            <v>1590</v>
          </cell>
          <cell r="B162" t="str">
            <v/>
          </cell>
          <cell r="C162" t="str">
            <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B162" t="str">
            <v/>
          </cell>
          <cell r="AC162" t="str">
            <v/>
          </cell>
          <cell r="AD162" t="str">
            <v/>
          </cell>
          <cell r="AJ162" t="str">
            <v/>
          </cell>
          <cell r="AO162" t="str">
            <v/>
          </cell>
        </row>
        <row r="163">
          <cell r="A163">
            <v>1600</v>
          </cell>
          <cell r="B163" t="str">
            <v/>
          </cell>
          <cell r="C163" t="str">
            <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B163" t="str">
            <v/>
          </cell>
          <cell r="AC163" t="str">
            <v/>
          </cell>
          <cell r="AD163" t="str">
            <v/>
          </cell>
          <cell r="AJ163" t="str">
            <v/>
          </cell>
          <cell r="AO163" t="str">
            <v/>
          </cell>
        </row>
        <row r="164">
          <cell r="A164">
            <v>1610</v>
          </cell>
          <cell r="B164" t="str">
            <v/>
          </cell>
          <cell r="C164" t="str">
            <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B164" t="str">
            <v/>
          </cell>
          <cell r="AC164" t="str">
            <v/>
          </cell>
          <cell r="AD164" t="str">
            <v/>
          </cell>
          <cell r="AJ164" t="str">
            <v/>
          </cell>
          <cell r="AO164" t="str">
            <v/>
          </cell>
        </row>
        <row r="165">
          <cell r="A165">
            <v>1620</v>
          </cell>
          <cell r="B165" t="str">
            <v/>
          </cell>
          <cell r="C165" t="str">
            <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B165" t="str">
            <v/>
          </cell>
          <cell r="AC165" t="str">
            <v/>
          </cell>
          <cell r="AD165" t="str">
            <v/>
          </cell>
          <cell r="AJ165" t="str">
            <v/>
          </cell>
          <cell r="AO165" t="str">
            <v/>
          </cell>
        </row>
        <row r="166">
          <cell r="A166">
            <v>1630</v>
          </cell>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B166" t="str">
            <v/>
          </cell>
          <cell r="AC166" t="str">
            <v/>
          </cell>
          <cell r="AD166" t="str">
            <v/>
          </cell>
          <cell r="AJ166" t="str">
            <v/>
          </cell>
          <cell r="AO166" t="str">
            <v/>
          </cell>
        </row>
        <row r="167">
          <cell r="A167">
            <v>1640</v>
          </cell>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B167" t="str">
            <v/>
          </cell>
          <cell r="AC167" t="str">
            <v/>
          </cell>
          <cell r="AD167" t="str">
            <v/>
          </cell>
          <cell r="AJ167" t="str">
            <v/>
          </cell>
          <cell r="AO167" t="str">
            <v/>
          </cell>
        </row>
        <row r="168">
          <cell r="A168">
            <v>1650</v>
          </cell>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B168" t="str">
            <v/>
          </cell>
          <cell r="AC168" t="str">
            <v/>
          </cell>
          <cell r="AD168" t="str">
            <v/>
          </cell>
          <cell r="AJ168" t="str">
            <v/>
          </cell>
          <cell r="AO168" t="str">
            <v/>
          </cell>
        </row>
        <row r="169">
          <cell r="A169">
            <v>1660</v>
          </cell>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B169" t="str">
            <v/>
          </cell>
          <cell r="AC169" t="str">
            <v/>
          </cell>
          <cell r="AD169" t="str">
            <v/>
          </cell>
          <cell r="AJ169" t="str">
            <v/>
          </cell>
          <cell r="AO169" t="str">
            <v/>
          </cell>
        </row>
        <row r="170">
          <cell r="A170">
            <v>1670</v>
          </cell>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B170" t="str">
            <v/>
          </cell>
          <cell r="AC170" t="str">
            <v/>
          </cell>
          <cell r="AD170" t="str">
            <v/>
          </cell>
          <cell r="AJ170" t="str">
            <v/>
          </cell>
          <cell r="AO170" t="str">
            <v/>
          </cell>
        </row>
        <row r="171">
          <cell r="A171">
            <v>1680</v>
          </cell>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B171" t="str">
            <v/>
          </cell>
          <cell r="AC171" t="str">
            <v/>
          </cell>
          <cell r="AD171" t="str">
            <v/>
          </cell>
          <cell r="AJ171" t="str">
            <v/>
          </cell>
          <cell r="AO171" t="str">
            <v/>
          </cell>
        </row>
        <row r="172">
          <cell r="A172">
            <v>1690</v>
          </cell>
          <cell r="B172" t="str">
            <v/>
          </cell>
          <cell r="C172" t="str">
            <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B172" t="str">
            <v/>
          </cell>
          <cell r="AC172" t="str">
            <v/>
          </cell>
          <cell r="AD172" t="str">
            <v/>
          </cell>
          <cell r="AJ172" t="str">
            <v/>
          </cell>
          <cell r="AO172" t="str">
            <v/>
          </cell>
        </row>
        <row r="173">
          <cell r="A173">
            <v>1700</v>
          </cell>
          <cell r="B173" t="str">
            <v/>
          </cell>
          <cell r="C173" t="str">
            <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B173" t="str">
            <v/>
          </cell>
          <cell r="AC173" t="str">
            <v/>
          </cell>
          <cell r="AD173" t="str">
            <v/>
          </cell>
          <cell r="AJ173" t="str">
            <v/>
          </cell>
          <cell r="AO173" t="str">
            <v/>
          </cell>
        </row>
        <row r="174">
          <cell r="A174">
            <v>1710</v>
          </cell>
          <cell r="B174" t="str">
            <v/>
          </cell>
          <cell r="C174" t="str">
            <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B174" t="str">
            <v/>
          </cell>
          <cell r="AC174" t="str">
            <v/>
          </cell>
          <cell r="AD174" t="str">
            <v/>
          </cell>
          <cell r="AJ174" t="str">
            <v/>
          </cell>
          <cell r="AO174" t="str">
            <v/>
          </cell>
        </row>
        <row r="175">
          <cell r="A175">
            <v>1720</v>
          </cell>
          <cell r="B175" t="str">
            <v/>
          </cell>
          <cell r="C175" t="str">
            <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B175" t="str">
            <v/>
          </cell>
          <cell r="AC175" t="str">
            <v/>
          </cell>
          <cell r="AD175" t="str">
            <v/>
          </cell>
          <cell r="AJ175" t="str">
            <v/>
          </cell>
          <cell r="AO175" t="str">
            <v/>
          </cell>
        </row>
        <row r="176">
          <cell r="A176">
            <v>1730</v>
          </cell>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B176" t="str">
            <v/>
          </cell>
          <cell r="AC176" t="str">
            <v/>
          </cell>
          <cell r="AD176" t="str">
            <v/>
          </cell>
          <cell r="AJ176" t="str">
            <v/>
          </cell>
          <cell r="AO176" t="str">
            <v/>
          </cell>
        </row>
        <row r="177">
          <cell r="A177">
            <v>1740</v>
          </cell>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B177" t="str">
            <v/>
          </cell>
          <cell r="AC177" t="str">
            <v/>
          </cell>
          <cell r="AD177" t="str">
            <v/>
          </cell>
          <cell r="AJ177" t="str">
            <v/>
          </cell>
          <cell r="AO177" t="str">
            <v/>
          </cell>
        </row>
        <row r="178">
          <cell r="A178">
            <v>1750</v>
          </cell>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B178" t="str">
            <v/>
          </cell>
          <cell r="AC178" t="str">
            <v/>
          </cell>
          <cell r="AD178" t="str">
            <v/>
          </cell>
          <cell r="AJ178" t="str">
            <v/>
          </cell>
          <cell r="AO178" t="str">
            <v/>
          </cell>
        </row>
        <row r="179">
          <cell r="A179">
            <v>1760</v>
          </cell>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B179" t="str">
            <v/>
          </cell>
          <cell r="AC179" t="str">
            <v/>
          </cell>
          <cell r="AD179" t="str">
            <v/>
          </cell>
          <cell r="AJ179" t="str">
            <v/>
          </cell>
          <cell r="AO179" t="str">
            <v/>
          </cell>
        </row>
        <row r="180">
          <cell r="A180">
            <v>1770</v>
          </cell>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B180" t="str">
            <v/>
          </cell>
          <cell r="AC180" t="str">
            <v/>
          </cell>
          <cell r="AD180" t="str">
            <v/>
          </cell>
          <cell r="AJ180" t="str">
            <v/>
          </cell>
          <cell r="AO180" t="str">
            <v/>
          </cell>
        </row>
        <row r="181">
          <cell r="A181">
            <v>1780</v>
          </cell>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B181" t="str">
            <v/>
          </cell>
          <cell r="AC181" t="str">
            <v/>
          </cell>
          <cell r="AD181" t="str">
            <v/>
          </cell>
          <cell r="AJ181" t="str">
            <v/>
          </cell>
          <cell r="AO181" t="str">
            <v/>
          </cell>
        </row>
        <row r="182">
          <cell r="A182">
            <v>1790</v>
          </cell>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B182" t="str">
            <v/>
          </cell>
          <cell r="AC182" t="str">
            <v/>
          </cell>
          <cell r="AD182" t="str">
            <v/>
          </cell>
          <cell r="AJ182" t="str">
            <v/>
          </cell>
          <cell r="AO182" t="str">
            <v/>
          </cell>
        </row>
        <row r="183">
          <cell r="A183">
            <v>1800</v>
          </cell>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B183" t="str">
            <v/>
          </cell>
          <cell r="AC183" t="str">
            <v/>
          </cell>
          <cell r="AD183" t="str">
            <v/>
          </cell>
          <cell r="AJ183" t="str">
            <v/>
          </cell>
          <cell r="AO183" t="str">
            <v/>
          </cell>
        </row>
        <row r="184">
          <cell r="A184">
            <v>1810</v>
          </cell>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B184" t="str">
            <v/>
          </cell>
          <cell r="AC184" t="str">
            <v/>
          </cell>
          <cell r="AD184" t="str">
            <v/>
          </cell>
          <cell r="AJ184" t="str">
            <v/>
          </cell>
          <cell r="AO184" t="str">
            <v/>
          </cell>
        </row>
        <row r="185">
          <cell r="A185">
            <v>1820</v>
          </cell>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B185" t="str">
            <v/>
          </cell>
          <cell r="AC185" t="str">
            <v/>
          </cell>
          <cell r="AD185" t="str">
            <v/>
          </cell>
          <cell r="AJ185" t="str">
            <v/>
          </cell>
          <cell r="AO185" t="str">
            <v/>
          </cell>
        </row>
        <row r="186">
          <cell r="A186">
            <v>1830</v>
          </cell>
          <cell r="B186" t="str">
            <v/>
          </cell>
          <cell r="C186" t="str">
            <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B186" t="str">
            <v/>
          </cell>
          <cell r="AC186" t="str">
            <v/>
          </cell>
          <cell r="AD186" t="str">
            <v/>
          </cell>
          <cell r="AJ186" t="str">
            <v/>
          </cell>
          <cell r="AO186" t="str">
            <v/>
          </cell>
        </row>
        <row r="187">
          <cell r="A187">
            <v>1840</v>
          </cell>
          <cell r="B187" t="str">
            <v/>
          </cell>
          <cell r="C187" t="str">
            <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B187" t="str">
            <v/>
          </cell>
          <cell r="AC187" t="str">
            <v/>
          </cell>
          <cell r="AD187" t="str">
            <v/>
          </cell>
          <cell r="AJ187" t="str">
            <v/>
          </cell>
          <cell r="AO187" t="str">
            <v/>
          </cell>
        </row>
        <row r="188">
          <cell r="A188">
            <v>1850</v>
          </cell>
          <cell r="B188" t="str">
            <v/>
          </cell>
          <cell r="C188" t="str">
            <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B188" t="str">
            <v/>
          </cell>
          <cell r="AC188" t="str">
            <v/>
          </cell>
          <cell r="AD188" t="str">
            <v/>
          </cell>
          <cell r="AJ188" t="str">
            <v/>
          </cell>
          <cell r="AO188" t="str">
            <v/>
          </cell>
        </row>
        <row r="189">
          <cell r="A189">
            <v>1860</v>
          </cell>
          <cell r="B189" t="str">
            <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B189" t="str">
            <v/>
          </cell>
          <cell r="AC189" t="str">
            <v/>
          </cell>
          <cell r="AD189" t="str">
            <v/>
          </cell>
          <cell r="AJ189" t="str">
            <v/>
          </cell>
          <cell r="AO189" t="str">
            <v/>
          </cell>
        </row>
        <row r="190">
          <cell r="A190">
            <v>1870</v>
          </cell>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B190" t="str">
            <v/>
          </cell>
          <cell r="AC190" t="str">
            <v/>
          </cell>
          <cell r="AD190" t="str">
            <v/>
          </cell>
          <cell r="AJ190" t="str">
            <v/>
          </cell>
          <cell r="AO190" t="str">
            <v/>
          </cell>
        </row>
        <row r="191">
          <cell r="A191">
            <v>1880</v>
          </cell>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B191" t="str">
            <v/>
          </cell>
          <cell r="AC191" t="str">
            <v/>
          </cell>
          <cell r="AD191" t="str">
            <v/>
          </cell>
          <cell r="AJ191" t="str">
            <v/>
          </cell>
          <cell r="AO191" t="str">
            <v/>
          </cell>
        </row>
        <row r="192">
          <cell r="A192">
            <v>1890</v>
          </cell>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B192" t="str">
            <v/>
          </cell>
          <cell r="AC192" t="str">
            <v/>
          </cell>
          <cell r="AD192" t="str">
            <v/>
          </cell>
          <cell r="AJ192" t="str">
            <v/>
          </cell>
          <cell r="AO192" t="str">
            <v/>
          </cell>
        </row>
        <row r="193">
          <cell r="A193">
            <v>1900</v>
          </cell>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B193" t="str">
            <v/>
          </cell>
          <cell r="AC193" t="str">
            <v/>
          </cell>
          <cell r="AD193" t="str">
            <v/>
          </cell>
          <cell r="AJ193" t="str">
            <v/>
          </cell>
          <cell r="AO193" t="str">
            <v/>
          </cell>
        </row>
        <row r="194">
          <cell r="A194">
            <v>1910</v>
          </cell>
          <cell r="B194" t="str">
            <v/>
          </cell>
          <cell r="C194" t="str">
            <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B194" t="str">
            <v/>
          </cell>
          <cell r="AC194" t="str">
            <v/>
          </cell>
          <cell r="AD194" t="str">
            <v/>
          </cell>
          <cell r="AJ194" t="str">
            <v/>
          </cell>
          <cell r="AO194" t="str">
            <v/>
          </cell>
        </row>
        <row r="195">
          <cell r="A195">
            <v>1920</v>
          </cell>
          <cell r="B195" t="str">
            <v/>
          </cell>
          <cell r="C195" t="str">
            <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B195" t="str">
            <v/>
          </cell>
          <cell r="AC195" t="str">
            <v/>
          </cell>
          <cell r="AD195" t="str">
            <v/>
          </cell>
          <cell r="AJ195" t="str">
            <v/>
          </cell>
          <cell r="AO195" t="str">
            <v/>
          </cell>
        </row>
        <row r="196">
          <cell r="A196">
            <v>1930</v>
          </cell>
          <cell r="B196" t="str">
            <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B196" t="str">
            <v/>
          </cell>
          <cell r="AC196" t="str">
            <v/>
          </cell>
          <cell r="AD196" t="str">
            <v/>
          </cell>
          <cell r="AJ196" t="str">
            <v/>
          </cell>
          <cell r="AO196" t="str">
            <v/>
          </cell>
        </row>
        <row r="197">
          <cell r="A197">
            <v>1940</v>
          </cell>
          <cell r="B197" t="str">
            <v/>
          </cell>
          <cell r="C197" t="str">
            <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B197" t="str">
            <v/>
          </cell>
          <cell r="AC197" t="str">
            <v/>
          </cell>
          <cell r="AD197" t="str">
            <v/>
          </cell>
          <cell r="AJ197" t="str">
            <v/>
          </cell>
          <cell r="AO197" t="str">
            <v/>
          </cell>
        </row>
        <row r="198">
          <cell r="A198">
            <v>1950</v>
          </cell>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B198" t="str">
            <v/>
          </cell>
          <cell r="AC198" t="str">
            <v/>
          </cell>
          <cell r="AD198" t="str">
            <v/>
          </cell>
          <cell r="AJ198" t="str">
            <v/>
          </cell>
          <cell r="AO198" t="str">
            <v/>
          </cell>
        </row>
        <row r="199">
          <cell r="A199">
            <v>1960</v>
          </cell>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B199" t="str">
            <v/>
          </cell>
          <cell r="AC199" t="str">
            <v/>
          </cell>
          <cell r="AD199" t="str">
            <v/>
          </cell>
          <cell r="AJ199" t="str">
            <v/>
          </cell>
          <cell r="AO199" t="str">
            <v/>
          </cell>
        </row>
        <row r="200">
          <cell r="A200">
            <v>1970</v>
          </cell>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B200" t="str">
            <v/>
          </cell>
          <cell r="AC200" t="str">
            <v/>
          </cell>
          <cell r="AD200" t="str">
            <v/>
          </cell>
          <cell r="AJ200" t="str">
            <v/>
          </cell>
          <cell r="AO200" t="str">
            <v/>
          </cell>
        </row>
        <row r="201">
          <cell r="A201">
            <v>1980</v>
          </cell>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B201" t="str">
            <v/>
          </cell>
          <cell r="AC201" t="str">
            <v/>
          </cell>
          <cell r="AD201" t="str">
            <v/>
          </cell>
          <cell r="AJ201" t="str">
            <v/>
          </cell>
          <cell r="AO201" t="str">
            <v/>
          </cell>
        </row>
        <row r="202">
          <cell r="A202">
            <v>1990</v>
          </cell>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B202" t="str">
            <v/>
          </cell>
          <cell r="AC202" t="str">
            <v/>
          </cell>
          <cell r="AD202" t="str">
            <v/>
          </cell>
          <cell r="AJ202" t="str">
            <v/>
          </cell>
          <cell r="AO202" t="str">
            <v/>
          </cell>
        </row>
        <row r="203">
          <cell r="A203">
            <v>2000</v>
          </cell>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B203" t="str">
            <v/>
          </cell>
          <cell r="AC203" t="str">
            <v/>
          </cell>
          <cell r="AD203" t="str">
            <v/>
          </cell>
          <cell r="AJ203" t="str">
            <v/>
          </cell>
          <cell r="AO203" t="str">
            <v/>
          </cell>
        </row>
        <row r="204">
          <cell r="A204">
            <v>2010</v>
          </cell>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B204" t="str">
            <v/>
          </cell>
          <cell r="AC204" t="str">
            <v/>
          </cell>
          <cell r="AD204" t="str">
            <v/>
          </cell>
          <cell r="AJ204" t="str">
            <v/>
          </cell>
          <cell r="AO204" t="str">
            <v/>
          </cell>
        </row>
        <row r="205">
          <cell r="A205">
            <v>2020</v>
          </cell>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B205" t="str">
            <v/>
          </cell>
          <cell r="AC205" t="str">
            <v/>
          </cell>
          <cell r="AD205" t="str">
            <v/>
          </cell>
          <cell r="AJ205" t="str">
            <v/>
          </cell>
          <cell r="AO205" t="str">
            <v/>
          </cell>
        </row>
        <row r="206">
          <cell r="A206">
            <v>2030</v>
          </cell>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B206" t="str">
            <v/>
          </cell>
          <cell r="AC206" t="str">
            <v/>
          </cell>
          <cell r="AD206" t="str">
            <v/>
          </cell>
          <cell r="AJ206" t="str">
            <v/>
          </cell>
          <cell r="AO206" t="str">
            <v/>
          </cell>
        </row>
        <row r="207">
          <cell r="A207">
            <v>2040</v>
          </cell>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B207" t="str">
            <v/>
          </cell>
          <cell r="AC207" t="str">
            <v/>
          </cell>
          <cell r="AD207" t="str">
            <v/>
          </cell>
          <cell r="AJ207" t="str">
            <v/>
          </cell>
          <cell r="AO207" t="str">
            <v/>
          </cell>
        </row>
        <row r="208">
          <cell r="A208">
            <v>2050</v>
          </cell>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B208" t="str">
            <v/>
          </cell>
          <cell r="AC208" t="str">
            <v/>
          </cell>
          <cell r="AD208" t="str">
            <v/>
          </cell>
          <cell r="AJ208" t="str">
            <v/>
          </cell>
          <cell r="AO208" t="str">
            <v/>
          </cell>
        </row>
        <row r="209">
          <cell r="A209">
            <v>2060</v>
          </cell>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B209" t="str">
            <v/>
          </cell>
          <cell r="AC209" t="str">
            <v/>
          </cell>
          <cell r="AD209" t="str">
            <v/>
          </cell>
          <cell r="AJ209" t="str">
            <v/>
          </cell>
          <cell r="AO209" t="str">
            <v/>
          </cell>
        </row>
        <row r="210">
          <cell r="A210">
            <v>2070</v>
          </cell>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B210" t="str">
            <v/>
          </cell>
          <cell r="AC210" t="str">
            <v/>
          </cell>
          <cell r="AD210" t="str">
            <v/>
          </cell>
          <cell r="AJ210" t="str">
            <v/>
          </cell>
          <cell r="AO210" t="str">
            <v/>
          </cell>
        </row>
        <row r="211">
          <cell r="A211">
            <v>2080</v>
          </cell>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B211" t="str">
            <v/>
          </cell>
          <cell r="AC211" t="str">
            <v/>
          </cell>
          <cell r="AD211" t="str">
            <v/>
          </cell>
          <cell r="AJ211" t="str">
            <v/>
          </cell>
          <cell r="AO211" t="str">
            <v/>
          </cell>
        </row>
        <row r="212">
          <cell r="A212">
            <v>2090</v>
          </cell>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B212" t="str">
            <v/>
          </cell>
          <cell r="AC212" t="str">
            <v/>
          </cell>
          <cell r="AD212" t="str">
            <v/>
          </cell>
          <cell r="AJ212" t="str">
            <v/>
          </cell>
          <cell r="AO212" t="str">
            <v/>
          </cell>
        </row>
        <row r="213">
          <cell r="A213">
            <v>2100</v>
          </cell>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B213" t="str">
            <v/>
          </cell>
          <cell r="AC213" t="str">
            <v/>
          </cell>
          <cell r="AD213" t="str">
            <v/>
          </cell>
          <cell r="AJ213" t="str">
            <v/>
          </cell>
          <cell r="AO213" t="str">
            <v/>
          </cell>
        </row>
        <row r="214">
          <cell r="A214">
            <v>2110</v>
          </cell>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B214" t="str">
            <v/>
          </cell>
          <cell r="AC214" t="str">
            <v/>
          </cell>
          <cell r="AD214" t="str">
            <v/>
          </cell>
          <cell r="AJ214" t="str">
            <v/>
          </cell>
          <cell r="AO214" t="str">
            <v/>
          </cell>
        </row>
        <row r="215">
          <cell r="A215">
            <v>2120</v>
          </cell>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B215" t="str">
            <v/>
          </cell>
          <cell r="AC215" t="str">
            <v/>
          </cell>
          <cell r="AD215" t="str">
            <v/>
          </cell>
          <cell r="AJ215" t="str">
            <v/>
          </cell>
          <cell r="AO215" t="str">
            <v/>
          </cell>
        </row>
        <row r="216">
          <cell r="A216">
            <v>2130</v>
          </cell>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B216" t="str">
            <v/>
          </cell>
          <cell r="AC216" t="str">
            <v/>
          </cell>
          <cell r="AD216" t="str">
            <v/>
          </cell>
          <cell r="AJ216" t="str">
            <v/>
          </cell>
          <cell r="AO216" t="str">
            <v/>
          </cell>
        </row>
        <row r="217">
          <cell r="A217">
            <v>2140</v>
          </cell>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B217" t="str">
            <v/>
          </cell>
          <cell r="AC217" t="str">
            <v/>
          </cell>
          <cell r="AD217" t="str">
            <v/>
          </cell>
          <cell r="AJ217" t="str">
            <v/>
          </cell>
          <cell r="AO217" t="str">
            <v/>
          </cell>
        </row>
        <row r="218">
          <cell r="A218">
            <v>2150</v>
          </cell>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B218" t="str">
            <v/>
          </cell>
          <cell r="AC218" t="str">
            <v/>
          </cell>
          <cell r="AD218" t="str">
            <v/>
          </cell>
          <cell r="AJ218" t="str">
            <v/>
          </cell>
          <cell r="AO218" t="str">
            <v/>
          </cell>
        </row>
        <row r="219">
          <cell r="A219">
            <v>2160</v>
          </cell>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B219" t="str">
            <v/>
          </cell>
          <cell r="AC219" t="str">
            <v/>
          </cell>
          <cell r="AD219" t="str">
            <v/>
          </cell>
          <cell r="AJ219" t="str">
            <v/>
          </cell>
          <cell r="AO219" t="str">
            <v/>
          </cell>
        </row>
        <row r="220">
          <cell r="A220">
            <v>2170</v>
          </cell>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B220" t="str">
            <v/>
          </cell>
          <cell r="AC220" t="str">
            <v/>
          </cell>
          <cell r="AD220" t="str">
            <v/>
          </cell>
          <cell r="AJ220" t="str">
            <v/>
          </cell>
          <cell r="AO220" t="str">
            <v/>
          </cell>
        </row>
        <row r="221">
          <cell r="A221">
            <v>2180</v>
          </cell>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B221" t="str">
            <v/>
          </cell>
          <cell r="AC221" t="str">
            <v/>
          </cell>
          <cell r="AD221" t="str">
            <v/>
          </cell>
          <cell r="AJ221" t="str">
            <v/>
          </cell>
          <cell r="AO221" t="str">
            <v/>
          </cell>
        </row>
        <row r="222">
          <cell r="A222">
            <v>2190</v>
          </cell>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B222" t="str">
            <v/>
          </cell>
          <cell r="AC222" t="str">
            <v/>
          </cell>
          <cell r="AD222" t="str">
            <v/>
          </cell>
          <cell r="AJ222" t="str">
            <v/>
          </cell>
          <cell r="AO222" t="str">
            <v/>
          </cell>
        </row>
        <row r="223">
          <cell r="A223">
            <v>2200</v>
          </cell>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B223" t="str">
            <v/>
          </cell>
          <cell r="AC223" t="str">
            <v/>
          </cell>
          <cell r="AD223" t="str">
            <v/>
          </cell>
          <cell r="AJ223" t="str">
            <v/>
          </cell>
          <cell r="AO223" t="str">
            <v/>
          </cell>
        </row>
        <row r="224">
          <cell r="A224">
            <v>2210</v>
          </cell>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B224" t="str">
            <v/>
          </cell>
          <cell r="AC224" t="str">
            <v/>
          </cell>
          <cell r="AD224" t="str">
            <v/>
          </cell>
          <cell r="AJ224" t="str">
            <v/>
          </cell>
          <cell r="AO224" t="str">
            <v/>
          </cell>
        </row>
        <row r="225">
          <cell r="A225">
            <v>2220</v>
          </cell>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B225" t="str">
            <v/>
          </cell>
          <cell r="AC225" t="str">
            <v/>
          </cell>
          <cell r="AD225" t="str">
            <v/>
          </cell>
          <cell r="AJ225" t="str">
            <v/>
          </cell>
          <cell r="AO225" t="str">
            <v/>
          </cell>
        </row>
        <row r="226">
          <cell r="A226">
            <v>2230</v>
          </cell>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B226" t="str">
            <v/>
          </cell>
          <cell r="AC226" t="str">
            <v/>
          </cell>
          <cell r="AD226" t="str">
            <v/>
          </cell>
          <cell r="AJ226" t="str">
            <v/>
          </cell>
          <cell r="AO226" t="str">
            <v/>
          </cell>
        </row>
        <row r="227">
          <cell r="A227">
            <v>2240</v>
          </cell>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B227" t="str">
            <v/>
          </cell>
          <cell r="AC227" t="str">
            <v/>
          </cell>
          <cell r="AD227" t="str">
            <v/>
          </cell>
          <cell r="AJ227" t="str">
            <v/>
          </cell>
          <cell r="AO227" t="str">
            <v/>
          </cell>
        </row>
        <row r="228">
          <cell r="A228">
            <v>2250</v>
          </cell>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B228" t="str">
            <v/>
          </cell>
          <cell r="AC228" t="str">
            <v/>
          </cell>
          <cell r="AD228" t="str">
            <v/>
          </cell>
          <cell r="AJ228" t="str">
            <v/>
          </cell>
          <cell r="AO228" t="str">
            <v/>
          </cell>
        </row>
        <row r="229">
          <cell r="A229">
            <v>2260</v>
          </cell>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B229" t="str">
            <v/>
          </cell>
          <cell r="AC229" t="str">
            <v/>
          </cell>
          <cell r="AD229" t="str">
            <v/>
          </cell>
          <cell r="AJ229" t="str">
            <v/>
          </cell>
          <cell r="AO229" t="str">
            <v/>
          </cell>
        </row>
        <row r="230">
          <cell r="A230">
            <v>2270</v>
          </cell>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B230" t="str">
            <v/>
          </cell>
          <cell r="AC230" t="str">
            <v/>
          </cell>
          <cell r="AD230" t="str">
            <v/>
          </cell>
          <cell r="AJ230" t="str">
            <v/>
          </cell>
          <cell r="AO230" t="str">
            <v/>
          </cell>
        </row>
        <row r="231">
          <cell r="A231">
            <v>2280</v>
          </cell>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B231" t="str">
            <v/>
          </cell>
          <cell r="AC231" t="str">
            <v/>
          </cell>
          <cell r="AD231" t="str">
            <v/>
          </cell>
          <cell r="AJ231" t="str">
            <v/>
          </cell>
          <cell r="AO231" t="str">
            <v/>
          </cell>
        </row>
        <row r="232">
          <cell r="A232">
            <v>2290</v>
          </cell>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B232" t="str">
            <v/>
          </cell>
          <cell r="AC232" t="str">
            <v/>
          </cell>
          <cell r="AD232" t="str">
            <v/>
          </cell>
          <cell r="AJ232" t="str">
            <v/>
          </cell>
          <cell r="AO232" t="str">
            <v/>
          </cell>
        </row>
        <row r="233">
          <cell r="A233">
            <v>2300</v>
          </cell>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B233" t="str">
            <v/>
          </cell>
          <cell r="AC233" t="str">
            <v/>
          </cell>
          <cell r="AD233" t="str">
            <v/>
          </cell>
          <cell r="AJ233" t="str">
            <v/>
          </cell>
          <cell r="AO233" t="str">
            <v/>
          </cell>
        </row>
        <row r="234">
          <cell r="A234">
            <v>2310</v>
          </cell>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B234" t="str">
            <v/>
          </cell>
          <cell r="AC234" t="str">
            <v/>
          </cell>
          <cell r="AD234" t="str">
            <v/>
          </cell>
          <cell r="AJ234" t="str">
            <v/>
          </cell>
          <cell r="AO234" t="str">
            <v/>
          </cell>
        </row>
        <row r="235">
          <cell r="A235">
            <v>2320</v>
          </cell>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B235" t="str">
            <v/>
          </cell>
          <cell r="AC235" t="str">
            <v/>
          </cell>
          <cell r="AD235" t="str">
            <v/>
          </cell>
          <cell r="AJ235" t="str">
            <v/>
          </cell>
          <cell r="AO235" t="str">
            <v/>
          </cell>
        </row>
        <row r="236">
          <cell r="A236">
            <v>2330</v>
          </cell>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B236" t="str">
            <v/>
          </cell>
          <cell r="AC236" t="str">
            <v/>
          </cell>
          <cell r="AD236" t="str">
            <v/>
          </cell>
          <cell r="AJ236" t="str">
            <v/>
          </cell>
          <cell r="AO236" t="str">
            <v/>
          </cell>
        </row>
        <row r="237">
          <cell r="A237">
            <v>2340</v>
          </cell>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B237" t="str">
            <v/>
          </cell>
          <cell r="AC237" t="str">
            <v/>
          </cell>
          <cell r="AD237" t="str">
            <v/>
          </cell>
          <cell r="AJ237" t="str">
            <v/>
          </cell>
          <cell r="AO237" t="str">
            <v/>
          </cell>
        </row>
        <row r="238">
          <cell r="A238">
            <v>2350</v>
          </cell>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B238" t="str">
            <v/>
          </cell>
          <cell r="AC238" t="str">
            <v/>
          </cell>
          <cell r="AD238" t="str">
            <v/>
          </cell>
          <cell r="AJ238" t="str">
            <v/>
          </cell>
          <cell r="AO238" t="str">
            <v/>
          </cell>
        </row>
        <row r="239">
          <cell r="A239">
            <v>2360</v>
          </cell>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B239" t="str">
            <v/>
          </cell>
          <cell r="AC239" t="str">
            <v/>
          </cell>
          <cell r="AD239" t="str">
            <v/>
          </cell>
          <cell r="AJ239" t="str">
            <v/>
          </cell>
          <cell r="AO239" t="str">
            <v/>
          </cell>
        </row>
        <row r="240">
          <cell r="A240">
            <v>2370</v>
          </cell>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B240" t="str">
            <v/>
          </cell>
          <cell r="AC240" t="str">
            <v/>
          </cell>
          <cell r="AD240" t="str">
            <v/>
          </cell>
          <cell r="AJ240" t="str">
            <v/>
          </cell>
          <cell r="AO240" t="str">
            <v/>
          </cell>
        </row>
        <row r="241">
          <cell r="A241">
            <v>2380</v>
          </cell>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B241" t="str">
            <v/>
          </cell>
          <cell r="AC241" t="str">
            <v/>
          </cell>
          <cell r="AD241" t="str">
            <v/>
          </cell>
          <cell r="AJ241" t="str">
            <v/>
          </cell>
          <cell r="AO241" t="str">
            <v/>
          </cell>
        </row>
        <row r="242">
          <cell r="A242">
            <v>2390</v>
          </cell>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B242" t="str">
            <v/>
          </cell>
          <cell r="AC242" t="str">
            <v/>
          </cell>
          <cell r="AD242" t="str">
            <v/>
          </cell>
          <cell r="AJ242" t="str">
            <v/>
          </cell>
          <cell r="AO242" t="str">
            <v/>
          </cell>
        </row>
        <row r="243">
          <cell r="A243">
            <v>2400</v>
          </cell>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B243" t="str">
            <v/>
          </cell>
          <cell r="AC243" t="str">
            <v/>
          </cell>
          <cell r="AD243" t="str">
            <v/>
          </cell>
          <cell r="AJ243" t="str">
            <v/>
          </cell>
          <cell r="AO243" t="str">
            <v/>
          </cell>
        </row>
        <row r="244">
          <cell r="A244">
            <v>2410</v>
          </cell>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B244" t="str">
            <v/>
          </cell>
          <cell r="AC244" t="str">
            <v/>
          </cell>
          <cell r="AD244" t="str">
            <v/>
          </cell>
          <cell r="AJ244" t="str">
            <v/>
          </cell>
          <cell r="AO244" t="str">
            <v/>
          </cell>
        </row>
        <row r="245">
          <cell r="A245">
            <v>2420</v>
          </cell>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B245" t="str">
            <v/>
          </cell>
          <cell r="AC245" t="str">
            <v/>
          </cell>
          <cell r="AD245" t="str">
            <v/>
          </cell>
          <cell r="AJ245" t="str">
            <v/>
          </cell>
          <cell r="AO245" t="str">
            <v/>
          </cell>
        </row>
        <row r="246">
          <cell r="A246">
            <v>2430</v>
          </cell>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B246" t="str">
            <v/>
          </cell>
          <cell r="AC246" t="str">
            <v/>
          </cell>
          <cell r="AD246" t="str">
            <v/>
          </cell>
          <cell r="AJ246" t="str">
            <v/>
          </cell>
          <cell r="AO246" t="str">
            <v/>
          </cell>
        </row>
        <row r="247">
          <cell r="A247">
            <v>2440</v>
          </cell>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B247" t="str">
            <v/>
          </cell>
          <cell r="AC247" t="str">
            <v/>
          </cell>
          <cell r="AD247" t="str">
            <v/>
          </cell>
          <cell r="AJ247" t="str">
            <v/>
          </cell>
          <cell r="AO247" t="str">
            <v/>
          </cell>
        </row>
        <row r="248">
          <cell r="A248">
            <v>2450</v>
          </cell>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B248" t="str">
            <v/>
          </cell>
          <cell r="AC248" t="str">
            <v/>
          </cell>
          <cell r="AD248" t="str">
            <v/>
          </cell>
          <cell r="AJ248" t="str">
            <v/>
          </cell>
          <cell r="AO248" t="str">
            <v/>
          </cell>
        </row>
        <row r="249">
          <cell r="A249">
            <v>2460</v>
          </cell>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B249" t="str">
            <v/>
          </cell>
          <cell r="AC249" t="str">
            <v/>
          </cell>
          <cell r="AD249" t="str">
            <v/>
          </cell>
          <cell r="AJ249" t="str">
            <v/>
          </cell>
          <cell r="AO249" t="str">
            <v/>
          </cell>
        </row>
        <row r="250">
          <cell r="A250">
            <v>2470</v>
          </cell>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B250" t="str">
            <v/>
          </cell>
          <cell r="AC250" t="str">
            <v/>
          </cell>
          <cell r="AD250" t="str">
            <v/>
          </cell>
          <cell r="AJ250" t="str">
            <v/>
          </cell>
          <cell r="AO250" t="str">
            <v/>
          </cell>
        </row>
      </sheetData>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2"/>
      <sheetName val="동여의도빌딩 MDF실 출입문 보수공사"/>
      <sheetName val="인원계획-미화"/>
      <sheetName val="보일러 세관 공사 검토서"/>
      <sheetName val="품의(이하)"/>
      <sheetName val="기초자료"/>
      <sheetName val="내역서"/>
      <sheetName val="수량산출"/>
      <sheetName val="표지"/>
      <sheetName val="수의계약 요청품의"/>
    </sheetNames>
    <definedNames>
      <definedName name="avrest"/>
      <definedName name="bs"/>
      <definedName name="bsNote"/>
      <definedName name="btnClose"/>
      <definedName name="btnFootNoting"/>
      <definedName name="btnNext"/>
      <definedName name="btnOK"/>
      <definedName name="btnPrevious"/>
      <definedName name="btnReturn"/>
      <definedName name="cash"/>
      <definedName name="CashFlow_Button1_Click"/>
      <definedName name="cashIndex"/>
      <definedName name="ExpandOutputs"/>
      <definedName name="ExpandVPeriods"/>
      <definedName name="ExportFile"/>
      <definedName name="F_123"/>
      <definedName name="fdff"/>
      <definedName name="ffgfgd"/>
      <definedName name="FINAL_FS"/>
      <definedName name="finalReport"/>
      <definedName name="import"/>
      <definedName name="ImportFile"/>
      <definedName name="ini_button_Click"/>
      <definedName name="job_run"/>
      <definedName name="k"/>
      <definedName name="l"/>
      <definedName name="Late"/>
      <definedName name="menu_button_Click"/>
      <definedName name="n"/>
      <definedName name="o"/>
      <definedName name="OptionButton21_Click"/>
      <definedName name="plNote"/>
      <definedName name="ProImportExport.ImportFile"/>
      <definedName name="ProImportExport.SaveNewFile"/>
      <definedName name="quit_button_Click"/>
      <definedName name="reportPl"/>
      <definedName name="SaveNewFile"/>
      <definedName name="sigma"/>
      <definedName name="stacking"/>
      <definedName name="t"/>
      <definedName name="u"/>
      <definedName name="vbhfhfg"/>
      <definedName name="건물"/>
      <definedName name="구축물"/>
      <definedName name="기계장치"/>
      <definedName name="미지"/>
      <definedName name="미지급금"/>
      <definedName name="ㅇㅍㅇ"/>
      <definedName name="집기비품"/>
      <definedName name="차량운반구"/>
      <definedName name="총괄"/>
      <definedName name="ㅎㅎㄹ"/>
      <definedName name="ㅑㅑㅐ"/>
      <definedName name="ㅗㅓㅣ허"/>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이자율"/>
      <sheetName val="2. Summary-cash"/>
      <sheetName val="Ext. Stone-P"/>
      <sheetName val="재무가정"/>
      <sheetName val="인원계획-미화"/>
      <sheetName val="Cash Flow"/>
      <sheetName val="Source"/>
      <sheetName val="Id"/>
      <sheetName val="Intro2"/>
      <sheetName val="내역서"/>
      <sheetName val="한국중공업시설"/>
      <sheetName val="Forecloser"/>
      <sheetName val="Identity"/>
      <sheetName val="Price Level"/>
      <sheetName val="Location"/>
      <sheetName val="Comment"/>
      <sheetName val="Physical"/>
      <sheetName val="Total"/>
      <sheetName val="Initial Input Variable"/>
      <sheetName val="간선계산"/>
      <sheetName val="Sheet1"/>
      <sheetName val="일위목록"/>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dget 2002"/>
      <sheetName val="Balance"/>
      <sheetName val="P&amp;L monthly"/>
      <sheetName val="P &amp;L"/>
    </sheetNames>
    <sheetDataSet>
      <sheetData sheetId="0" refreshError="1"/>
      <sheetData sheetId="1" refreshError="1"/>
      <sheetData sheetId="2"/>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Balance"/>
      <sheetName val="DETBIL"/>
      <sheetName val="controle"/>
      <sheetName val="BILANSTD"/>
      <sheetName val="DET99RT"/>
      <sheetName val="CR1999"/>
      <sheetName val="RESFISC (2)"/>
      <sheetName val="CA"/>
    </sheetNames>
    <sheetDataSet>
      <sheetData sheetId="0" refreshError="1"/>
      <sheetData sheetId="1" refreshError="1">
        <row r="3">
          <cell r="L3">
            <v>2406358.5499999821</v>
          </cell>
        </row>
        <row r="9">
          <cell r="N9" t="str">
            <v>marges</v>
          </cell>
          <cell r="O9" t="str">
            <v>intitulé</v>
          </cell>
          <cell r="P9" t="str">
            <v>cumul</v>
          </cell>
          <cell r="Q9" t="str">
            <v>conso</v>
          </cell>
          <cell r="R9" t="str">
            <v>pack</v>
          </cell>
        </row>
        <row r="10">
          <cell r="O10" t="str">
            <v>capital</v>
          </cell>
          <cell r="P10">
            <v>-30000000</v>
          </cell>
          <cell r="R10" t="str">
            <v xml:space="preserve">    CAPITAL STOCK</v>
          </cell>
        </row>
        <row r="11">
          <cell r="O11" t="str">
            <v>reserve légale</v>
          </cell>
          <cell r="P11">
            <v>-254519.38</v>
          </cell>
          <cell r="R11" t="str">
            <v xml:space="preserve">    LEGAL RESERVE</v>
          </cell>
        </row>
        <row r="12">
          <cell r="O12" t="str">
            <v>RAN</v>
          </cell>
          <cell r="P12">
            <v>-1700826.47</v>
          </cell>
          <cell r="R12" t="str">
            <v xml:space="preserve">    RETAINED EARNINGS</v>
          </cell>
        </row>
        <row r="13">
          <cell r="O13" t="str">
            <v>RAN</v>
          </cell>
          <cell r="P13">
            <v>0</v>
          </cell>
          <cell r="R13" t="str">
            <v xml:space="preserve">    RETAINED EARNINGS</v>
          </cell>
        </row>
        <row r="14">
          <cell r="O14" t="str">
            <v>resultat</v>
          </cell>
          <cell r="P14">
            <v>0</v>
          </cell>
        </row>
        <row r="15">
          <cell r="O15" t="str">
            <v>prov sav</v>
          </cell>
          <cell r="P15">
            <v>-2432000</v>
          </cell>
          <cell r="R15" t="str">
            <v xml:space="preserve">    PROVISION FOR WARRANTY COST</v>
          </cell>
        </row>
        <row r="16">
          <cell r="O16" t="str">
            <v>prov risque</v>
          </cell>
          <cell r="P16">
            <v>-3163223.16</v>
          </cell>
          <cell r="R16" t="str">
            <v xml:space="preserve">    ACCRUED EXPENSES</v>
          </cell>
        </row>
        <row r="17">
          <cell r="O17" t="str">
            <v>prov retraite</v>
          </cell>
          <cell r="P17">
            <v>-1378059</v>
          </cell>
          <cell r="R17" t="str">
            <v xml:space="preserve">    ALLOWANCE FOR RETIREMENT BENEFITS</v>
          </cell>
        </row>
        <row r="18">
          <cell r="O18" t="str">
            <v>logiciel</v>
          </cell>
          <cell r="P18">
            <v>1012952.91</v>
          </cell>
          <cell r="R18" t="str">
            <v xml:space="preserve">  SOFTWARE</v>
          </cell>
        </row>
        <row r="19">
          <cell r="O19" t="str">
            <v>machinery</v>
          </cell>
          <cell r="P19">
            <v>1170827.54</v>
          </cell>
          <cell r="R19" t="str">
            <v xml:space="preserve">    MACHINERY &amp; EQUIPMENT</v>
          </cell>
        </row>
        <row r="20">
          <cell r="O20" t="str">
            <v>machinery</v>
          </cell>
          <cell r="P20">
            <v>154350</v>
          </cell>
          <cell r="R20" t="str">
            <v xml:space="preserve">    MACHINERY &amp; EQUIPMENT</v>
          </cell>
        </row>
        <row r="21">
          <cell r="O21" t="str">
            <v>machinery</v>
          </cell>
          <cell r="P21">
            <v>6600</v>
          </cell>
          <cell r="R21" t="str">
            <v xml:space="preserve">    MACHINERY &amp; EQUIPMENT</v>
          </cell>
        </row>
        <row r="22">
          <cell r="O22" t="str">
            <v>exhibition</v>
          </cell>
          <cell r="P22">
            <v>1205122.55</v>
          </cell>
          <cell r="R22" t="str">
            <v xml:space="preserve">    TOOLS,FURNITURES,FIXTURES &amp; DIES</v>
          </cell>
        </row>
        <row r="23">
          <cell r="O23" t="str">
            <v>fixtures</v>
          </cell>
          <cell r="P23">
            <v>1325622.55</v>
          </cell>
          <cell r="R23" t="str">
            <v xml:space="preserve">    MACHINERY &amp; EQUIPMENT</v>
          </cell>
        </row>
        <row r="24">
          <cell r="O24" t="str">
            <v>vehicles</v>
          </cell>
          <cell r="P24">
            <v>99000</v>
          </cell>
          <cell r="R24" t="str">
            <v xml:space="preserve">    VEHICLES</v>
          </cell>
        </row>
        <row r="25">
          <cell r="O25" t="str">
            <v>office equipment</v>
          </cell>
          <cell r="P25">
            <v>1332226.17</v>
          </cell>
          <cell r="R25" t="str">
            <v xml:space="preserve">    TOOLS,FURNITURES,FIXTURES &amp; DIES</v>
          </cell>
        </row>
        <row r="26">
          <cell r="O26" t="str">
            <v>furnitures</v>
          </cell>
          <cell r="P26">
            <v>645883.68000000005</v>
          </cell>
          <cell r="R26" t="str">
            <v xml:space="preserve">    TOOLS,FURNITURES,FIXTURES &amp; DIES</v>
          </cell>
        </row>
        <row r="27">
          <cell r="O27" t="str">
            <v>investment</v>
          </cell>
          <cell r="P27">
            <v>11402300</v>
          </cell>
          <cell r="R27" t="str">
            <v xml:space="preserve">    INVESTMENT WITH SECURITIES(UNCONS)</v>
          </cell>
        </row>
        <row r="28">
          <cell r="O28" t="str">
            <v>garantee</v>
          </cell>
          <cell r="P28">
            <v>204238.18</v>
          </cell>
          <cell r="R28" t="str">
            <v xml:space="preserve">    OTHER INVESTMENT &amp; OTHER ASSETS</v>
          </cell>
        </row>
        <row r="29">
          <cell r="O29" t="str">
            <v>amort logiciel</v>
          </cell>
          <cell r="P29">
            <v>-732654.67</v>
          </cell>
          <cell r="R29" t="str">
            <v xml:space="preserve">  SOFTWARE</v>
          </cell>
        </row>
        <row r="30">
          <cell r="O30" t="str">
            <v>amort machinery</v>
          </cell>
          <cell r="P30">
            <v>-908302.71</v>
          </cell>
          <cell r="R30" t="str">
            <v xml:space="preserve">    ACCUMULATED DEP. MACHINERY &amp; EQUIPMENT</v>
          </cell>
        </row>
        <row r="31">
          <cell r="O31" t="str">
            <v>amort machinery</v>
          </cell>
          <cell r="P31">
            <v>-117569.57</v>
          </cell>
          <cell r="R31" t="str">
            <v xml:space="preserve">    ACCUMULATED DEP. MACHINERY &amp; EQUIPMENT</v>
          </cell>
        </row>
        <row r="32">
          <cell r="O32" t="str">
            <v>amort machinery</v>
          </cell>
          <cell r="P32">
            <v>-6600</v>
          </cell>
          <cell r="R32" t="str">
            <v xml:space="preserve">    ACCUMULATED DEP. MACHINERY &amp; EQUIPMENT</v>
          </cell>
        </row>
        <row r="33">
          <cell r="O33" t="str">
            <v>amort exhibition</v>
          </cell>
          <cell r="P33">
            <v>-952294.05</v>
          </cell>
          <cell r="R33" t="str">
            <v xml:space="preserve">    ACCUMULATED DEP. TOOLS,FURNI.,FIX.,DIES</v>
          </cell>
        </row>
        <row r="34">
          <cell r="O34" t="str">
            <v>amort fixtures</v>
          </cell>
          <cell r="P34">
            <v>-1149138.75</v>
          </cell>
          <cell r="R34" t="str">
            <v xml:space="preserve">    ACCUMULATED DEP. MACHINERY &amp; EQUIPMENT</v>
          </cell>
        </row>
        <row r="35">
          <cell r="O35" t="str">
            <v>amort vehicles</v>
          </cell>
          <cell r="P35">
            <v>-52250</v>
          </cell>
          <cell r="R35" t="str">
            <v xml:space="preserve">    ACCUMULATED DEP. VEHICLES</v>
          </cell>
        </row>
        <row r="36">
          <cell r="O36" t="str">
            <v>amort office equipment</v>
          </cell>
          <cell r="P36">
            <v>-947561.1</v>
          </cell>
          <cell r="R36" t="str">
            <v xml:space="preserve">    ACCUMULATED DEP. TOOLS,FURNI.,FIX.,DIES</v>
          </cell>
        </row>
        <row r="37">
          <cell r="O37" t="str">
            <v>amort furnitures</v>
          </cell>
          <cell r="P37">
            <v>-606719.01</v>
          </cell>
          <cell r="R37" t="str">
            <v xml:space="preserve">    ACCUMULATED DEP. TOOLS,FURNI.,FIX.,DIES</v>
          </cell>
        </row>
        <row r="38">
          <cell r="O38" t="str">
            <v>STOCK ALPINE</v>
          </cell>
          <cell r="P38">
            <v>1764552.85</v>
          </cell>
          <cell r="R38" t="str">
            <v xml:space="preserve">    FINISHED GOODS</v>
          </cell>
        </row>
        <row r="39">
          <cell r="O39" t="str">
            <v>STOCK AUDYON</v>
          </cell>
          <cell r="P39">
            <v>250139.88</v>
          </cell>
          <cell r="R39" t="str">
            <v xml:space="preserve">    FINISHED GOODS</v>
          </cell>
        </row>
        <row r="40">
          <cell r="O40" t="str">
            <v>STOCK NAVIGATION</v>
          </cell>
          <cell r="P40">
            <v>746422.02</v>
          </cell>
          <cell r="R40" t="str">
            <v xml:space="preserve">    FINISHED GOODS</v>
          </cell>
        </row>
        <row r="41">
          <cell r="O41" t="str">
            <v>STOCK LUXMAN</v>
          </cell>
          <cell r="P41">
            <v>667754.71</v>
          </cell>
          <cell r="R41" t="str">
            <v xml:space="preserve">    FINISHED GOODS</v>
          </cell>
        </row>
        <row r="42">
          <cell r="O42" t="str">
            <v>STOCK PIECES DETACHEES SAV</v>
          </cell>
          <cell r="P42">
            <v>800956</v>
          </cell>
          <cell r="R42" t="str">
            <v xml:space="preserve">    FINISHED GOODS</v>
          </cell>
        </row>
        <row r="43">
          <cell r="O43" t="str">
            <v>STOCK O.E.M.</v>
          </cell>
          <cell r="P43">
            <v>15572621.57</v>
          </cell>
          <cell r="R43" t="str">
            <v xml:space="preserve">    FINISHED GOODS</v>
          </cell>
        </row>
        <row r="44">
          <cell r="O44" t="str">
            <v>DEPRECIATION STOCK ALPINE</v>
          </cell>
          <cell r="P44">
            <v>-174880</v>
          </cell>
          <cell r="R44" t="str">
            <v xml:space="preserve">    FINISHED GOODS</v>
          </cell>
        </row>
        <row r="45">
          <cell r="O45" t="str">
            <v>DEPRECIATION STOCK AUDYON</v>
          </cell>
          <cell r="P45">
            <v>-2482</v>
          </cell>
          <cell r="R45" t="str">
            <v xml:space="preserve">    FINISHED GOODS</v>
          </cell>
        </row>
        <row r="46">
          <cell r="O46" t="str">
            <v>DEPRECIATION STOCK NAVIGATION</v>
          </cell>
          <cell r="P46">
            <v>-89039</v>
          </cell>
          <cell r="R46" t="str">
            <v xml:space="preserve">    FINISHED GOODS</v>
          </cell>
        </row>
        <row r="47">
          <cell r="O47" t="str">
            <v>DEPRECIATION STOCK LUXMAN</v>
          </cell>
          <cell r="P47">
            <v>-59043</v>
          </cell>
          <cell r="R47" t="str">
            <v xml:space="preserve">    FINISHED GOODS</v>
          </cell>
        </row>
        <row r="48">
          <cell r="O48" t="str">
            <v>DEPRECIATION STOCK PIECES DET.</v>
          </cell>
          <cell r="P48">
            <v>-612199</v>
          </cell>
          <cell r="R48" t="str">
            <v xml:space="preserve">    FINISHED GOODS</v>
          </cell>
        </row>
        <row r="49">
          <cell r="O49" t="str">
            <v>DEPRECIATION STOCK O.E.M.</v>
          </cell>
          <cell r="P49">
            <v>-23533</v>
          </cell>
          <cell r="R49" t="str">
            <v xml:space="preserve">    FINISHED GOODS</v>
          </cell>
        </row>
        <row r="50">
          <cell r="O50" t="str">
            <v>fourndebiteur</v>
          </cell>
          <cell r="P50">
            <v>32176.79</v>
          </cell>
          <cell r="R50" t="str">
            <v xml:space="preserve">    ADVANCE PAID</v>
          </cell>
        </row>
        <row r="51">
          <cell r="O51" t="str">
            <v>fournisseurs</v>
          </cell>
          <cell r="P51">
            <v>-6074424.4800000004</v>
          </cell>
          <cell r="R51" t="str">
            <v xml:space="preserve">    NOTES &amp; ACCOUNTS PAYABLE TRADE</v>
          </cell>
        </row>
        <row r="52">
          <cell r="O52" t="str">
            <v>fournisseurs</v>
          </cell>
          <cell r="P52">
            <v>-39580912.030000031</v>
          </cell>
          <cell r="R52" t="str">
            <v xml:space="preserve">    NOTES &amp; ACCOUNTS PAYABLE TRADE</v>
          </cell>
        </row>
        <row r="53">
          <cell r="O53" t="str">
            <v>EAP</v>
          </cell>
          <cell r="P53">
            <v>0</v>
          </cell>
          <cell r="R53" t="str">
            <v xml:space="preserve">    NOTES &amp; ACCOUNTS PAYABLE TRADE</v>
          </cell>
        </row>
        <row r="54">
          <cell r="O54" t="str">
            <v>EAP</v>
          </cell>
          <cell r="P54">
            <v>0</v>
          </cell>
          <cell r="R54" t="str">
            <v xml:space="preserve">    NOTES &amp; ACCOUNTS PAYABLE TRADE</v>
          </cell>
        </row>
        <row r="55">
          <cell r="O55" t="str">
            <v>fournimmo</v>
          </cell>
          <cell r="P55">
            <v>-141954.74</v>
          </cell>
          <cell r="R55" t="str">
            <v xml:space="preserve">    NOTES PAYABLE-TRADE FOR PURCHASING ASSETS</v>
          </cell>
        </row>
        <row r="56">
          <cell r="O56" t="str">
            <v>FNP</v>
          </cell>
          <cell r="P56">
            <v>-1385107.78</v>
          </cell>
          <cell r="R56" t="str">
            <v xml:space="preserve">    ACCRUED EXPENSES</v>
          </cell>
        </row>
        <row r="57">
          <cell r="O57" t="str">
            <v>AAR</v>
          </cell>
          <cell r="P57">
            <v>7412.94</v>
          </cell>
          <cell r="R57" t="str">
            <v xml:space="preserve">    OTHER CURRENT ASSETS</v>
          </cell>
        </row>
        <row r="58">
          <cell r="O58" t="str">
            <v>clients</v>
          </cell>
          <cell r="P58">
            <v>41582804.259999998</v>
          </cell>
          <cell r="R58" t="str">
            <v xml:space="preserve">    NOTES &amp; ACCOUNTS RECEIVABLE-TRADE  </v>
          </cell>
        </row>
        <row r="59">
          <cell r="O59" t="str">
            <v>cltscrediteur</v>
          </cell>
          <cell r="P59">
            <v>-920456.76</v>
          </cell>
          <cell r="R59" t="str">
            <v xml:space="preserve">    NOTES &amp; ACCOUNTS RECEIVABLE-TRADE  </v>
          </cell>
        </row>
        <row r="60">
          <cell r="O60" t="str">
            <v>clients</v>
          </cell>
          <cell r="P60">
            <v>8257.48</v>
          </cell>
          <cell r="R60" t="str">
            <v xml:space="preserve">    NOTES &amp; ACCOUNTS RECEIVABLE-TRADE  </v>
          </cell>
        </row>
        <row r="61">
          <cell r="O61" t="str">
            <v>effets</v>
          </cell>
          <cell r="P61">
            <v>21768147.460000008</v>
          </cell>
          <cell r="R61" t="str">
            <v xml:space="preserve">    NOTES &amp; ACCOUNTS RECEIVABLE-TRADE  </v>
          </cell>
        </row>
        <row r="62">
          <cell r="O62" t="str">
            <v>effets</v>
          </cell>
          <cell r="P62">
            <v>0</v>
          </cell>
          <cell r="R62" t="str">
            <v xml:space="preserve">    NOTES &amp; ACCOUNTS RECEIVABLE-TRADE  </v>
          </cell>
        </row>
        <row r="63">
          <cell r="O63" t="str">
            <v>effets</v>
          </cell>
          <cell r="P63">
            <v>106854.57</v>
          </cell>
          <cell r="R63" t="str">
            <v xml:space="preserve">    NOTES &amp; ACCOUNTS RECEIVABLE-TRADE  </v>
          </cell>
        </row>
        <row r="64">
          <cell r="O64" t="str">
            <v>douteux</v>
          </cell>
          <cell r="P64">
            <v>263205.34999999998</v>
          </cell>
          <cell r="R64" t="str">
            <v xml:space="preserve">    NOTES &amp; ACCOUNTS RECEIVABLE-TRADE  </v>
          </cell>
        </row>
        <row r="65">
          <cell r="O65" t="str">
            <v>factures à etablir</v>
          </cell>
          <cell r="P65">
            <v>0</v>
          </cell>
          <cell r="R65" t="str">
            <v xml:space="preserve">    NOTES &amp; ACCOUNTS RECEIVABLE-TRADE  </v>
          </cell>
        </row>
        <row r="66">
          <cell r="O66" t="str">
            <v>factures à etablir</v>
          </cell>
          <cell r="P66">
            <v>0</v>
          </cell>
          <cell r="R66" t="str">
            <v xml:space="preserve">    NOTES &amp; ACCOUNTS RECEIVABLE-TRADE  </v>
          </cell>
        </row>
        <row r="67">
          <cell r="O67" t="str">
            <v>AAE</v>
          </cell>
          <cell r="P67">
            <v>-1253368.23</v>
          </cell>
          <cell r="Q67" t="str">
            <v>*</v>
          </cell>
          <cell r="R67" t="str">
            <v xml:space="preserve">    OTHER CURRENT LIABILITIES</v>
          </cell>
        </row>
        <row r="68">
          <cell r="O68" t="str">
            <v>Salaries advance payment</v>
          </cell>
          <cell r="P68">
            <v>0</v>
          </cell>
          <cell r="R68" t="str">
            <v xml:space="preserve">    OTHER CURRENT liabilities</v>
          </cell>
        </row>
        <row r="69">
          <cell r="O69" t="str">
            <v>Salaries to pay</v>
          </cell>
          <cell r="P69">
            <v>-44544.900000000373</v>
          </cell>
          <cell r="R69" t="str">
            <v xml:space="preserve">    OTHER CURRENT liabilities</v>
          </cell>
        </row>
        <row r="70">
          <cell r="O70" t="str">
            <v>advance travelling</v>
          </cell>
          <cell r="P70">
            <v>0</v>
          </cell>
          <cell r="R70" t="str">
            <v xml:space="preserve">    OTHER CURRENT liabilities</v>
          </cell>
        </row>
        <row r="71">
          <cell r="O71" t="str">
            <v>advance travelling</v>
          </cell>
          <cell r="P71">
            <v>0</v>
          </cell>
          <cell r="R71" t="str">
            <v xml:space="preserve">    OTHER CURRENT liabilities</v>
          </cell>
        </row>
        <row r="72">
          <cell r="O72" t="str">
            <v>advance travelling</v>
          </cell>
          <cell r="P72">
            <v>0</v>
          </cell>
          <cell r="R72" t="str">
            <v xml:space="preserve">    OTHER CURRENT liabilities</v>
          </cell>
        </row>
        <row r="73">
          <cell r="O73" t="str">
            <v>advance travelling</v>
          </cell>
          <cell r="P73">
            <v>0</v>
          </cell>
          <cell r="R73" t="str">
            <v xml:space="preserve">    OTHER CURRENT liabilities</v>
          </cell>
        </row>
        <row r="74">
          <cell r="O74" t="str">
            <v>advance travelling</v>
          </cell>
          <cell r="P74">
            <v>0</v>
          </cell>
          <cell r="R74" t="str">
            <v xml:space="preserve">    OTHER CURRENT liabilities</v>
          </cell>
        </row>
        <row r="75">
          <cell r="O75" t="str">
            <v>advance travelling</v>
          </cell>
          <cell r="P75">
            <v>0</v>
          </cell>
          <cell r="R75" t="str">
            <v xml:space="preserve">    OTHER CURRENT liabilities</v>
          </cell>
        </row>
        <row r="76">
          <cell r="O76" t="str">
            <v>advance travelling</v>
          </cell>
          <cell r="P76">
            <v>0</v>
          </cell>
          <cell r="R76" t="str">
            <v xml:space="preserve">    OTHER CURRENT liabilities</v>
          </cell>
        </row>
        <row r="77">
          <cell r="O77" t="str">
            <v>prov cp</v>
          </cell>
          <cell r="P77">
            <v>0</v>
          </cell>
          <cell r="R77" t="str">
            <v xml:space="preserve">    ACCRUED EXPENSES</v>
          </cell>
        </row>
        <row r="78">
          <cell r="O78" t="str">
            <v>prov cp</v>
          </cell>
          <cell r="P78">
            <v>-1284123</v>
          </cell>
          <cell r="R78" t="str">
            <v xml:space="preserve">    ACCRUED EXPENSES</v>
          </cell>
        </row>
        <row r="79">
          <cell r="O79" t="str">
            <v>prov pers autres</v>
          </cell>
          <cell r="P79">
            <v>-352297</v>
          </cell>
          <cell r="R79" t="str">
            <v xml:space="preserve">    ACCRUED EXPENSES</v>
          </cell>
        </row>
        <row r="80">
          <cell r="O80" t="str">
            <v>urssaf</v>
          </cell>
          <cell r="P80">
            <v>-358240</v>
          </cell>
          <cell r="R80" t="str">
            <v xml:space="preserve">    ACCOUNTS PAYABLE -OTHER</v>
          </cell>
        </row>
        <row r="81">
          <cell r="O81" t="str">
            <v>garp</v>
          </cell>
          <cell r="P81">
            <v>-76752</v>
          </cell>
          <cell r="R81" t="str">
            <v xml:space="preserve">    ACCOUNTS PAYABLE -OTHER</v>
          </cell>
        </row>
        <row r="82">
          <cell r="O82" t="str">
            <v>irpelec</v>
          </cell>
          <cell r="P82">
            <v>-36752.93</v>
          </cell>
          <cell r="R82" t="str">
            <v xml:space="preserve">    ACCOUNTS PAYABLE -OTHER</v>
          </cell>
        </row>
        <row r="83">
          <cell r="O83" t="str">
            <v>ireps</v>
          </cell>
          <cell r="P83">
            <v>-75221</v>
          </cell>
          <cell r="R83" t="str">
            <v xml:space="preserve">    ACCOUNTS PAYABLE -OTHER</v>
          </cell>
        </row>
        <row r="84">
          <cell r="O84" t="str">
            <v>capricielnc</v>
          </cell>
          <cell r="P84">
            <v>-279683.46000000002</v>
          </cell>
          <cell r="R84" t="str">
            <v xml:space="preserve">    ACCOUNTS PAYABLE -OTHER</v>
          </cell>
        </row>
        <row r="85">
          <cell r="O85" t="str">
            <v>capricielcadre</v>
          </cell>
          <cell r="P85">
            <v>-47290.02</v>
          </cell>
          <cell r="R85" t="str">
            <v xml:space="preserve">    ACCOUNTS PAYABLE -OTHER</v>
          </cell>
        </row>
        <row r="86">
          <cell r="O86" t="str">
            <v>gan</v>
          </cell>
          <cell r="P86">
            <v>0</v>
          </cell>
          <cell r="R86" t="str">
            <v xml:space="preserve">    ACCOUNTS PAYABLE -OTHER</v>
          </cell>
        </row>
        <row r="87">
          <cell r="O87" t="str">
            <v>luncheon</v>
          </cell>
          <cell r="P87">
            <v>28686</v>
          </cell>
          <cell r="R87" t="str">
            <v xml:space="preserve">    OTHER CURRENT ASSETS</v>
          </cell>
        </row>
        <row r="88">
          <cell r="O88" t="str">
            <v>prov autres charges soc</v>
          </cell>
          <cell r="P88">
            <v>-143756</v>
          </cell>
          <cell r="R88" t="str">
            <v xml:space="preserve">    ACCRUED EXPENSES</v>
          </cell>
        </row>
        <row r="89">
          <cell r="O89" t="str">
            <v>VAT loan</v>
          </cell>
          <cell r="P89">
            <v>654872.80000000005</v>
          </cell>
          <cell r="R89" t="str">
            <v xml:space="preserve">    LONG-TERM LOANS RECEIVABLE</v>
          </cell>
        </row>
        <row r="90">
          <cell r="O90" t="str">
            <v xml:space="preserve">Advance on corporation tax </v>
          </cell>
          <cell r="P90">
            <v>573630</v>
          </cell>
          <cell r="R90" t="str">
            <v xml:space="preserve">    OTHER CURRENT ASSETS</v>
          </cell>
        </row>
        <row r="91">
          <cell r="O91" t="str">
            <v>VAT to pay</v>
          </cell>
          <cell r="P91">
            <v>0</v>
          </cell>
          <cell r="R91" t="str">
            <v xml:space="preserve">    ACCOUNTS PAYABLE -OTHER</v>
          </cell>
        </row>
        <row r="92">
          <cell r="O92" t="str">
            <v>VAT to recover</v>
          </cell>
          <cell r="P92">
            <v>0</v>
          </cell>
          <cell r="R92" t="str">
            <v xml:space="preserve">    ACCOUNTS PAYABLE -OTHER</v>
          </cell>
        </row>
        <row r="93">
          <cell r="O93" t="str">
            <v>VAT to recover</v>
          </cell>
          <cell r="P93">
            <v>0</v>
          </cell>
          <cell r="R93" t="str">
            <v xml:space="preserve">    ACCOUNTS PAYABLE -OTHER</v>
          </cell>
        </row>
        <row r="94">
          <cell r="O94" t="str">
            <v>VAT to recover</v>
          </cell>
          <cell r="P94">
            <v>0</v>
          </cell>
          <cell r="R94" t="str">
            <v xml:space="preserve">    ACCOUNTS PAYABLE -OTHER</v>
          </cell>
        </row>
        <row r="95">
          <cell r="O95" t="str">
            <v>VAT to recover</v>
          </cell>
          <cell r="P95">
            <v>381099.89</v>
          </cell>
          <cell r="R95" t="str">
            <v xml:space="preserve">    OTHER CURRENT ASSETS</v>
          </cell>
        </row>
        <row r="96">
          <cell r="O96" t="str">
            <v>VAT to recover</v>
          </cell>
          <cell r="P96">
            <v>811402.8</v>
          </cell>
          <cell r="R96" t="str">
            <v xml:space="preserve">    OTHER CURRENT ASSETS</v>
          </cell>
        </row>
        <row r="97">
          <cell r="O97" t="str">
            <v>VAT to pay</v>
          </cell>
          <cell r="P97">
            <v>0</v>
          </cell>
          <cell r="R97" t="str">
            <v xml:space="preserve">    ACCOUNTS PAYABLE -OTHER</v>
          </cell>
        </row>
        <row r="98">
          <cell r="O98" t="str">
            <v>VAT to pay</v>
          </cell>
          <cell r="P98">
            <v>0</v>
          </cell>
          <cell r="R98" t="str">
            <v xml:space="preserve">    ACCOUNTS PAYABLE -OTHER</v>
          </cell>
        </row>
        <row r="99">
          <cell r="O99" t="str">
            <v>VAT to pay</v>
          </cell>
          <cell r="P99">
            <v>0</v>
          </cell>
          <cell r="R99" t="str">
            <v xml:space="preserve">    ACCOUNTS PAYABLE -OTHER</v>
          </cell>
        </row>
        <row r="100">
          <cell r="O100" t="str">
            <v>VAT to pay</v>
          </cell>
          <cell r="P100">
            <v>-926.58000000000175</v>
          </cell>
          <cell r="R100" t="str">
            <v xml:space="preserve">    ACCOUNTS PAYABLE -OTHER</v>
          </cell>
        </row>
        <row r="101">
          <cell r="O101" t="str">
            <v>VAT to recover</v>
          </cell>
          <cell r="P101">
            <v>0</v>
          </cell>
          <cell r="R101" t="str">
            <v xml:space="preserve">    ACCOUNTS PAYABLE -OTHER</v>
          </cell>
        </row>
        <row r="102">
          <cell r="O102" t="str">
            <v>VAT on unreceived invoice</v>
          </cell>
          <cell r="P102">
            <v>165457.93</v>
          </cell>
          <cell r="R102" t="str">
            <v xml:space="preserve">    OTHER CURRENT ASSETS</v>
          </cell>
        </row>
        <row r="103">
          <cell r="O103" t="str">
            <v>VAT credit note to est</v>
          </cell>
          <cell r="P103">
            <v>214083.35</v>
          </cell>
          <cell r="R103" t="str">
            <v xml:space="preserve">    OTHER CURRENT ASSETS</v>
          </cell>
        </row>
        <row r="104">
          <cell r="O104" t="str">
            <v>prov i&amp;t</v>
          </cell>
          <cell r="P104">
            <v>-115116</v>
          </cell>
          <cell r="R104" t="str">
            <v xml:space="preserve">    ACCRUED ENTERPRISE TAX</v>
          </cell>
        </row>
        <row r="105">
          <cell r="O105" t="str">
            <v>VAT to recover</v>
          </cell>
          <cell r="P105">
            <v>35846</v>
          </cell>
          <cell r="R105" t="str">
            <v xml:space="preserve">    OTHER CURRENT ASSETS</v>
          </cell>
        </row>
        <row r="106">
          <cell r="O106" t="str">
            <v>VAT to pay</v>
          </cell>
          <cell r="P106">
            <v>0</v>
          </cell>
          <cell r="R106" t="str">
            <v xml:space="preserve">    OTHER CURRENT liabilities</v>
          </cell>
        </row>
        <row r="107">
          <cell r="O107" t="str">
            <v>VAT to recover</v>
          </cell>
          <cell r="P107">
            <v>10056.19</v>
          </cell>
          <cell r="R107" t="str">
            <v xml:space="preserve">    OTHER CURRENT ASSETS</v>
          </cell>
        </row>
        <row r="108">
          <cell r="O108" t="str">
            <v>VAT to recover</v>
          </cell>
          <cell r="P108">
            <v>2746.37</v>
          </cell>
          <cell r="R108" t="str">
            <v xml:space="preserve">    OTHER CURRENT ASSETS</v>
          </cell>
        </row>
        <row r="109">
          <cell r="O109" t="str">
            <v>Dividends to pay</v>
          </cell>
          <cell r="P109">
            <v>0</v>
          </cell>
          <cell r="R109" t="str">
            <v xml:space="preserve">    OTHER CURRENT liabilities</v>
          </cell>
        </row>
        <row r="110">
          <cell r="O110" t="str">
            <v>prov i&amp;t</v>
          </cell>
          <cell r="P110">
            <v>-560977.71</v>
          </cell>
          <cell r="R110" t="str">
            <v xml:space="preserve">    ACCRUED ENTERPRISE TAX</v>
          </cell>
        </row>
        <row r="111">
          <cell r="O111" t="str">
            <v>Otherdebts</v>
          </cell>
          <cell r="P111">
            <v>0</v>
          </cell>
          <cell r="R111" t="str">
            <v xml:space="preserve">    OTHER CURRENT liabilities</v>
          </cell>
        </row>
        <row r="112">
          <cell r="O112" t="str">
            <v>ECA creances</v>
          </cell>
          <cell r="P112">
            <v>0</v>
          </cell>
          <cell r="R112" t="str">
            <v xml:space="preserve">  CURRENCY TRANSLATION ADJUSTMENTS (Dr)</v>
          </cell>
        </row>
        <row r="113">
          <cell r="O113" t="str">
            <v>ECA dettes</v>
          </cell>
          <cell r="P113">
            <v>94223.16</v>
          </cell>
          <cell r="R113" t="str">
            <v xml:space="preserve">  CURRENCY TRANSLATION ADJUSTMENTS (Dr)</v>
          </cell>
        </row>
        <row r="114">
          <cell r="O114" t="str">
            <v>ECP creances</v>
          </cell>
          <cell r="P114">
            <v>0</v>
          </cell>
          <cell r="R114" t="str">
            <v xml:space="preserve">  CURRENCY TRANSLATION ADJUSTMENTS (Cr)</v>
          </cell>
        </row>
        <row r="115">
          <cell r="O115" t="str">
            <v>ECP dettes</v>
          </cell>
          <cell r="P115">
            <v>0</v>
          </cell>
          <cell r="R115" t="str">
            <v xml:space="preserve">  CURRENCY TRANSLATION ADJUSTMENTS (Cr)</v>
          </cell>
        </row>
        <row r="116">
          <cell r="O116" t="str">
            <v>cca</v>
          </cell>
          <cell r="P116">
            <v>489285</v>
          </cell>
          <cell r="R116" t="str">
            <v xml:space="preserve">    PREPAID EXPENSES</v>
          </cell>
        </row>
        <row r="117">
          <cell r="O117" t="str">
            <v>provision douteux</v>
          </cell>
          <cell r="P117">
            <v>-973459.43</v>
          </cell>
          <cell r="R117" t="str">
            <v xml:space="preserve">    ALLOWANCE FOR DOUBTFUL ACCOUNTS CURRENT</v>
          </cell>
        </row>
        <row r="118">
          <cell r="O118" t="str">
            <v xml:space="preserve">  Other debts</v>
          </cell>
          <cell r="P118">
            <v>0</v>
          </cell>
        </row>
        <row r="119">
          <cell r="O119" t="str">
            <v>effets</v>
          </cell>
          <cell r="P119">
            <v>564744.21999999881</v>
          </cell>
          <cell r="R119" t="str">
            <v xml:space="preserve">    NOTES &amp; ACCOUNTS RECEIVABLE-TRADE  </v>
          </cell>
        </row>
        <row r="120">
          <cell r="O120" t="str">
            <v>BOT</v>
          </cell>
          <cell r="P120">
            <v>82967.800000011921</v>
          </cell>
          <cell r="R120" t="str">
            <v xml:space="preserve">    CASH &amp; TIME DEPOSITS</v>
          </cell>
        </row>
        <row r="121">
          <cell r="O121" t="str">
            <v>BNP</v>
          </cell>
          <cell r="P121">
            <v>1311333.0700000077</v>
          </cell>
          <cell r="R121" t="str">
            <v xml:space="preserve">    CASH &amp; TIME DEPOSITS</v>
          </cell>
        </row>
        <row r="122">
          <cell r="O122" t="str">
            <v>CCP</v>
          </cell>
          <cell r="P122">
            <v>2004.4799999999814</v>
          </cell>
          <cell r="R122" t="str">
            <v xml:space="preserve">    CASH &amp; TIME DEPOSITS</v>
          </cell>
        </row>
        <row r="123">
          <cell r="P123">
            <v>0</v>
          </cell>
          <cell r="R123" t="str">
            <v xml:space="preserve">    CASH &amp; TIME DEPOSITS</v>
          </cell>
        </row>
        <row r="124">
          <cell r="O124" t="str">
            <v>icne</v>
          </cell>
          <cell r="P124">
            <v>-1707.06</v>
          </cell>
          <cell r="R124" t="str">
            <v xml:space="preserve">    ACCRUED EXPENSES</v>
          </cell>
        </row>
        <row r="125">
          <cell r="O125" t="str">
            <v>Spot Credit</v>
          </cell>
          <cell r="P125">
            <v>-6100000</v>
          </cell>
          <cell r="R125" t="str">
            <v xml:space="preserve">    SHORT-TERM LOANS PAYABLE</v>
          </cell>
        </row>
        <row r="126">
          <cell r="O126" t="str">
            <v>caisse franc</v>
          </cell>
          <cell r="P126">
            <v>5842.75</v>
          </cell>
          <cell r="R126" t="str">
            <v xml:space="preserve">    CASH &amp; TIME DEPOSITS</v>
          </cell>
          <cell r="S126" t="str">
            <v>Cash on hand</v>
          </cell>
        </row>
        <row r="127">
          <cell r="O127" t="str">
            <v>caisse devise</v>
          </cell>
          <cell r="P127">
            <v>5603.61</v>
          </cell>
          <cell r="R127" t="str">
            <v xml:space="preserve">    CASH &amp; TIME DEPOSITS</v>
          </cell>
          <cell r="S127" t="str">
            <v>Cash on hand</v>
          </cell>
        </row>
        <row r="128">
          <cell r="O128" t="str">
            <v>caisse devise</v>
          </cell>
          <cell r="P128">
            <v>690.93</v>
          </cell>
          <cell r="R128" t="str">
            <v xml:space="preserve">    CASH &amp; TIME DEPOSITS</v>
          </cell>
          <cell r="S128" t="str">
            <v>Cash on hand</v>
          </cell>
        </row>
        <row r="129">
          <cell r="O129" t="str">
            <v>caisse devise</v>
          </cell>
          <cell r="P129">
            <v>719.33</v>
          </cell>
          <cell r="R129" t="str">
            <v xml:space="preserve">    CASH &amp; TIME DEPOSITS</v>
          </cell>
          <cell r="S129" t="str">
            <v>Cash on hand</v>
          </cell>
        </row>
        <row r="130">
          <cell r="O130" t="str">
            <v>caisse devise</v>
          </cell>
          <cell r="P130">
            <v>1.6099999999996726</v>
          </cell>
          <cell r="R130" t="str">
            <v xml:space="preserve">    CASH &amp; TIME DEPOSITS</v>
          </cell>
          <cell r="S130" t="str">
            <v>Cash on hand</v>
          </cell>
        </row>
        <row r="131">
          <cell r="O131" t="str">
            <v>caisse devise</v>
          </cell>
          <cell r="P131">
            <v>23.74</v>
          </cell>
          <cell r="R131" t="str">
            <v xml:space="preserve">    CASH &amp; TIME DEPOSITS</v>
          </cell>
          <cell r="S131" t="str">
            <v>Cash on hand</v>
          </cell>
        </row>
        <row r="132">
          <cell r="O132" t="str">
            <v>caisse devise</v>
          </cell>
          <cell r="P132">
            <v>4305.68</v>
          </cell>
          <cell r="R132" t="str">
            <v xml:space="preserve">    CASH &amp; TIME DEPOSITS</v>
          </cell>
          <cell r="S132" t="str">
            <v>Cash on hand</v>
          </cell>
        </row>
        <row r="133">
          <cell r="O133" t="str">
            <v>caisse devise</v>
          </cell>
          <cell r="P133">
            <v>0</v>
          </cell>
          <cell r="R133" t="str">
            <v xml:space="preserve">    CASH &amp; TIME DEPOSITS</v>
          </cell>
          <cell r="S133" t="str">
            <v>Cash on hand</v>
          </cell>
        </row>
        <row r="134">
          <cell r="O134" t="str">
            <v>caisse devise</v>
          </cell>
          <cell r="P134">
            <v>5791.49</v>
          </cell>
          <cell r="R134" t="str">
            <v xml:space="preserve">    CASH &amp; TIME DEPOSITS</v>
          </cell>
          <cell r="S134" t="str">
            <v>Cash on hand</v>
          </cell>
        </row>
        <row r="135">
          <cell r="O135" t="str">
            <v>caisse devise</v>
          </cell>
          <cell r="P135">
            <v>5.7300000000000182</v>
          </cell>
          <cell r="R135" t="str">
            <v xml:space="preserve">    CASH &amp; TIME DEPOSITS</v>
          </cell>
          <cell r="S135" t="str">
            <v>Cash on hand</v>
          </cell>
        </row>
        <row r="136">
          <cell r="O136" t="str">
            <v>caisse devise</v>
          </cell>
          <cell r="P136">
            <v>3.15</v>
          </cell>
          <cell r="R136" t="str">
            <v xml:space="preserve">    CASH &amp; TIME DEPOSITS</v>
          </cell>
          <cell r="S136" t="str">
            <v>Cash on hand</v>
          </cell>
        </row>
        <row r="137">
          <cell r="O137" t="str">
            <v>caisse devise</v>
          </cell>
          <cell r="P137">
            <v>0</v>
          </cell>
          <cell r="R137" t="str">
            <v xml:space="preserve">    CASH &amp; TIME DEPOSITS</v>
          </cell>
          <cell r="S137" t="str">
            <v>Cash on hand</v>
          </cell>
        </row>
        <row r="138">
          <cell r="O138" t="str">
            <v>caisse devise</v>
          </cell>
          <cell r="P138">
            <v>0</v>
          </cell>
          <cell r="R138" t="str">
            <v xml:space="preserve">    CASH &amp; TIME DEPOSITS</v>
          </cell>
          <cell r="S138" t="str">
            <v>Cash on hand</v>
          </cell>
        </row>
        <row r="139">
          <cell r="O139" t="str">
            <v>caisse devise</v>
          </cell>
          <cell r="P139">
            <v>466.99</v>
          </cell>
          <cell r="R139" t="str">
            <v xml:space="preserve">    CASH &amp; TIME DEPOSITS</v>
          </cell>
          <cell r="S139" t="str">
            <v>Cash on hand</v>
          </cell>
        </row>
        <row r="140">
          <cell r="P140">
            <v>0</v>
          </cell>
        </row>
        <row r="141">
          <cell r="O141" t="str">
            <v>Material consumable</v>
          </cell>
          <cell r="P141">
            <v>109962.74</v>
          </cell>
          <cell r="R141" t="str">
            <v>II.COST OF SALES</v>
          </cell>
          <cell r="S141" t="str">
            <v>Form 17 Other</v>
          </cell>
        </row>
        <row r="142">
          <cell r="O142" t="str">
            <v>Material consum OEM</v>
          </cell>
          <cell r="P142">
            <v>236161.94</v>
          </cell>
          <cell r="R142" t="str">
            <v>II.COST OF SALES</v>
          </cell>
          <cell r="S142" t="str">
            <v xml:space="preserve"> FORM 17 OEM</v>
          </cell>
        </row>
        <row r="143">
          <cell r="O143" t="str">
            <v>Material consumable</v>
          </cell>
          <cell r="P143">
            <v>56396.35</v>
          </cell>
          <cell r="R143" t="str">
            <v>II.COST OF SALES</v>
          </cell>
          <cell r="S143" t="str">
            <v>Form 17 Other</v>
          </cell>
        </row>
        <row r="144">
          <cell r="O144" t="str">
            <v>Var stock alp</v>
          </cell>
          <cell r="P144">
            <v>-66310.600000000006</v>
          </cell>
          <cell r="R144" t="str">
            <v>II.COST OF SALES</v>
          </cell>
        </row>
        <row r="145">
          <cell r="O145" t="str">
            <v>Var stock alp</v>
          </cell>
          <cell r="P145">
            <v>-1074497.54</v>
          </cell>
          <cell r="R145" t="str">
            <v>II.COST OF SALES</v>
          </cell>
        </row>
        <row r="146">
          <cell r="O146" t="str">
            <v>Var stock nav</v>
          </cell>
          <cell r="P146">
            <v>-371687.56</v>
          </cell>
          <cell r="Q146" t="str">
            <v>ALPINE-JAPAN</v>
          </cell>
          <cell r="R146" t="str">
            <v>II.COST OF SALES</v>
          </cell>
          <cell r="S146" t="str">
            <v>ALPINE-JAPANII.COST OF SALES</v>
          </cell>
        </row>
        <row r="147">
          <cell r="O147" t="str">
            <v>Var stock lux</v>
          </cell>
          <cell r="P147">
            <v>-520540.65</v>
          </cell>
          <cell r="R147" t="str">
            <v>II.COST OF SALES</v>
          </cell>
        </row>
        <row r="148">
          <cell r="O148" t="str">
            <v>Var stock other</v>
          </cell>
          <cell r="P148">
            <v>-39934.76</v>
          </cell>
          <cell r="R148" t="str">
            <v>II.COST OF SALES</v>
          </cell>
        </row>
        <row r="149">
          <cell r="O149" t="str">
            <v>Var stock oem</v>
          </cell>
          <cell r="P149">
            <v>-1189450.33</v>
          </cell>
          <cell r="R149" t="str">
            <v>II.COST OF SALES</v>
          </cell>
        </row>
        <row r="150">
          <cell r="O150" t="str">
            <v>Material consum OEM</v>
          </cell>
          <cell r="P150">
            <v>303845.3</v>
          </cell>
          <cell r="R150" t="str">
            <v>II.COST OF SALES</v>
          </cell>
        </row>
        <row r="151">
          <cell r="O151" t="str">
            <v>water, electricity</v>
          </cell>
          <cell r="P151">
            <v>169756.3</v>
          </cell>
          <cell r="R151" t="str">
            <v xml:space="preserve">  SUPPLIES EXPENSE</v>
          </cell>
        </row>
        <row r="152">
          <cell r="O152" t="str">
            <v>supplies for cleanin</v>
          </cell>
          <cell r="P152">
            <v>29403.14</v>
          </cell>
          <cell r="R152" t="str">
            <v xml:space="preserve">  OFFICE SUPPLIES</v>
          </cell>
        </row>
        <row r="153">
          <cell r="O153" t="str">
            <v>supplies for cleanin</v>
          </cell>
          <cell r="P153">
            <v>11460.38</v>
          </cell>
          <cell r="R153" t="str">
            <v xml:space="preserve">  OFFICE SUPPLIES</v>
          </cell>
        </row>
        <row r="154">
          <cell r="O154" t="str">
            <v>supplies for cleanin</v>
          </cell>
          <cell r="P154">
            <v>1251.5</v>
          </cell>
          <cell r="R154" t="str">
            <v xml:space="preserve">  OFFICE SUPPLIES</v>
          </cell>
        </row>
        <row r="155">
          <cell r="O155" t="str">
            <v>supplies for cleanin</v>
          </cell>
          <cell r="P155">
            <v>4496.8</v>
          </cell>
          <cell r="Q155" t="str">
            <v>ALPINE-JAPAN</v>
          </cell>
          <cell r="R155" t="str">
            <v xml:space="preserve">  OFFICE SUPPLIES</v>
          </cell>
        </row>
        <row r="156">
          <cell r="O156" t="str">
            <v>stationery &amp; packagi</v>
          </cell>
          <cell r="P156">
            <v>125407.18</v>
          </cell>
          <cell r="R156" t="str">
            <v xml:space="preserve">  OFFICE SUPPLIES</v>
          </cell>
        </row>
        <row r="157">
          <cell r="O157" t="str">
            <v>stationery &amp; packagi</v>
          </cell>
          <cell r="P157">
            <v>78086.740000000005</v>
          </cell>
          <cell r="R157" t="str">
            <v xml:space="preserve">  OFFICE SUPPLIES</v>
          </cell>
        </row>
        <row r="158">
          <cell r="O158" t="str">
            <v>stationery &amp; packagi</v>
          </cell>
          <cell r="P158">
            <v>45370.65</v>
          </cell>
          <cell r="R158" t="str">
            <v xml:space="preserve">  OFFICE SUPPLIES</v>
          </cell>
        </row>
        <row r="159">
          <cell r="O159" t="str">
            <v>stationery &amp; packagi</v>
          </cell>
          <cell r="P159">
            <v>1008.15</v>
          </cell>
          <cell r="R159" t="str">
            <v xml:space="preserve">  OFFICE SUPPLIES</v>
          </cell>
        </row>
        <row r="160">
          <cell r="O160" t="str">
            <v>stationery &amp; packagi</v>
          </cell>
          <cell r="P160">
            <v>10862</v>
          </cell>
          <cell r="R160" t="str">
            <v xml:space="preserve">  OFFICE SUPPLIES</v>
          </cell>
        </row>
        <row r="161">
          <cell r="O161" t="str">
            <v>Purch oem</v>
          </cell>
          <cell r="P161">
            <v>5720094.1299999999</v>
          </cell>
          <cell r="R161" t="str">
            <v>II.COST OF SALES</v>
          </cell>
          <cell r="S161" t="str">
            <v>II.COST OF SALES</v>
          </cell>
        </row>
        <row r="162">
          <cell r="O162" t="str">
            <v>Purch alp</v>
          </cell>
          <cell r="P162">
            <v>26260</v>
          </cell>
          <cell r="R162" t="str">
            <v>II.COST OF SALES</v>
          </cell>
          <cell r="S162" t="str">
            <v>II.COST OF SALES</v>
          </cell>
        </row>
        <row r="163">
          <cell r="O163" t="str">
            <v>Purch oem</v>
          </cell>
          <cell r="P163">
            <v>0</v>
          </cell>
          <cell r="R163" t="str">
            <v>II.COST OF SALES</v>
          </cell>
          <cell r="S163" t="str">
            <v>II.COST OF SALES</v>
          </cell>
        </row>
        <row r="164">
          <cell r="O164" t="str">
            <v>Purch oem</v>
          </cell>
          <cell r="P164">
            <v>70290392.189999998</v>
          </cell>
          <cell r="Q164" t="str">
            <v>AOEU</v>
          </cell>
          <cell r="R164" t="str">
            <v>II.COST OF SALES</v>
          </cell>
          <cell r="S164" t="str">
            <v>AOEUII.COST OF SALES</v>
          </cell>
        </row>
        <row r="165">
          <cell r="O165" t="str">
            <v>Purch alp</v>
          </cell>
          <cell r="P165">
            <v>2243760.7200000002</v>
          </cell>
          <cell r="R165" t="str">
            <v>II.COST OF SALES</v>
          </cell>
          <cell r="S165" t="str">
            <v>II.COST OF SALES</v>
          </cell>
        </row>
        <row r="166">
          <cell r="O166" t="str">
            <v>Purch lux</v>
          </cell>
          <cell r="P166">
            <v>202820.27</v>
          </cell>
          <cell r="R166" t="str">
            <v>II.COST OF SALES</v>
          </cell>
          <cell r="S166" t="str">
            <v>II.COST OF SALES</v>
          </cell>
        </row>
        <row r="167">
          <cell r="O167" t="str">
            <v>Purch alp</v>
          </cell>
          <cell r="P167">
            <v>57612.65</v>
          </cell>
          <cell r="Q167" t="str">
            <v>ALPINE-JAPAN</v>
          </cell>
          <cell r="R167" t="str">
            <v>II.COST OF SALES</v>
          </cell>
          <cell r="S167" t="str">
            <v>ALPINE-JAPANII.COST OF SALES</v>
          </cell>
        </row>
        <row r="168">
          <cell r="O168" t="str">
            <v>Purch lux</v>
          </cell>
          <cell r="P168">
            <v>0</v>
          </cell>
          <cell r="R168" t="str">
            <v>II.COST OF SALES</v>
          </cell>
          <cell r="S168" t="str">
            <v>II.COST OF SALES</v>
          </cell>
        </row>
        <row r="169">
          <cell r="O169" t="str">
            <v>Purch oem</v>
          </cell>
          <cell r="P169">
            <v>207693.81</v>
          </cell>
          <cell r="R169" t="str">
            <v>II.COST OF SALES</v>
          </cell>
          <cell r="S169" t="str">
            <v>II.COST OF SALES</v>
          </cell>
        </row>
        <row r="170">
          <cell r="O170" t="str">
            <v>Purch other</v>
          </cell>
          <cell r="P170">
            <v>153327.13</v>
          </cell>
          <cell r="R170" t="str">
            <v>II.COST OF SALES</v>
          </cell>
          <cell r="S170" t="str">
            <v>II.COST OF SALES</v>
          </cell>
        </row>
        <row r="171">
          <cell r="O171" t="str">
            <v>Purch nav</v>
          </cell>
          <cell r="P171">
            <v>15110163.649999999</v>
          </cell>
          <cell r="Q171" t="str">
            <v>AOEU</v>
          </cell>
          <cell r="R171" t="str">
            <v>II.COST OF SALES</v>
          </cell>
          <cell r="S171" t="str">
            <v>AOEUII.COST OF SALES</v>
          </cell>
        </row>
        <row r="172">
          <cell r="O172" t="str">
            <v>Purch nav</v>
          </cell>
          <cell r="P172">
            <v>135960.47</v>
          </cell>
          <cell r="R172" t="str">
            <v>II.COST OF SALES</v>
          </cell>
          <cell r="S172" t="str">
            <v>II.COST OF SALES</v>
          </cell>
        </row>
        <row r="173">
          <cell r="O173" t="str">
            <v>Purch oem</v>
          </cell>
          <cell r="P173">
            <v>0</v>
          </cell>
          <cell r="R173" t="str">
            <v>II.COST OF SALES</v>
          </cell>
          <cell r="S173" t="str">
            <v>II.COST OF SALES</v>
          </cell>
        </row>
        <row r="174">
          <cell r="O174" t="str">
            <v>Purch alp</v>
          </cell>
          <cell r="P174">
            <v>0</v>
          </cell>
          <cell r="Q174" t="str">
            <v>AOEU</v>
          </cell>
          <cell r="R174" t="str">
            <v>II.COST OF SALES</v>
          </cell>
          <cell r="S174" t="str">
            <v>AOEUII.COST OF SALES</v>
          </cell>
        </row>
        <row r="175">
          <cell r="O175" t="str">
            <v>Purch lux</v>
          </cell>
          <cell r="P175">
            <v>2249186.84</v>
          </cell>
          <cell r="R175" t="str">
            <v>II.COST OF SALES</v>
          </cell>
          <cell r="S175" t="str">
            <v>II.COST OF SALES</v>
          </cell>
        </row>
        <row r="176">
          <cell r="O176" t="str">
            <v>Purch oem</v>
          </cell>
          <cell r="P176">
            <v>0</v>
          </cell>
          <cell r="Q176" t="str">
            <v>AOGE</v>
          </cell>
          <cell r="R176" t="str">
            <v>II.COST OF SALES</v>
          </cell>
          <cell r="S176" t="str">
            <v>AOGEII.COST OF SALES</v>
          </cell>
        </row>
        <row r="177">
          <cell r="O177" t="str">
            <v>Purch alp</v>
          </cell>
          <cell r="P177">
            <v>318143.15999999997</v>
          </cell>
          <cell r="Q177" t="str">
            <v>AOAM</v>
          </cell>
          <cell r="R177" t="str">
            <v>II.COST OF SALES</v>
          </cell>
          <cell r="S177" t="str">
            <v>AOAMII.COST OF SALES</v>
          </cell>
        </row>
        <row r="178">
          <cell r="O178" t="str">
            <v>Purch nav</v>
          </cell>
          <cell r="P178">
            <v>642033.71</v>
          </cell>
          <cell r="Q178" t="str">
            <v>ALPINE-JAPAN</v>
          </cell>
          <cell r="R178" t="str">
            <v>II.COST OF SALES</v>
          </cell>
          <cell r="S178" t="str">
            <v>ALPINE-JAPANII.COST OF SALES</v>
          </cell>
        </row>
        <row r="179">
          <cell r="O179" t="str">
            <v>Purch oem</v>
          </cell>
          <cell r="P179">
            <v>103149</v>
          </cell>
          <cell r="Q179" t="str">
            <v>ALPINE-JAPAN</v>
          </cell>
          <cell r="R179" t="str">
            <v>II.COST OF SALES</v>
          </cell>
          <cell r="S179" t="str">
            <v>ALPINE-JAPANII.COST OF SALES</v>
          </cell>
        </row>
        <row r="180">
          <cell r="O180" t="str">
            <v>Purch nav</v>
          </cell>
          <cell r="P180">
            <v>1274.46</v>
          </cell>
          <cell r="Q180" t="str">
            <v>AOGE</v>
          </cell>
          <cell r="R180" t="str">
            <v>II.COST OF SALES</v>
          </cell>
          <cell r="S180" t="str">
            <v>AOGEII.COST OF SALES</v>
          </cell>
        </row>
        <row r="181">
          <cell r="O181" t="str">
            <v>Purch alp</v>
          </cell>
          <cell r="P181">
            <v>0</v>
          </cell>
          <cell r="R181" t="str">
            <v>II.COST OF SALES</v>
          </cell>
          <cell r="S181" t="str">
            <v>II.COST OF SALES</v>
          </cell>
        </row>
        <row r="182">
          <cell r="O182" t="str">
            <v>Purch oem</v>
          </cell>
          <cell r="P182">
            <v>10651587.189999999</v>
          </cell>
          <cell r="Q182" t="str">
            <v>AOEU</v>
          </cell>
          <cell r="R182" t="str">
            <v>II.COST OF SALES</v>
          </cell>
          <cell r="S182" t="str">
            <v>AOEUII.COST OF SALES</v>
          </cell>
        </row>
        <row r="183">
          <cell r="O183" t="str">
            <v>Purch alp</v>
          </cell>
          <cell r="P183">
            <v>107601619.82000001</v>
          </cell>
          <cell r="Q183" t="str">
            <v>AOEU</v>
          </cell>
          <cell r="R183" t="str">
            <v>II.COST OF SALES</v>
          </cell>
          <cell r="S183" t="str">
            <v>AOEUII.COST OF SALES</v>
          </cell>
        </row>
        <row r="184">
          <cell r="O184" t="str">
            <v>Purch nav</v>
          </cell>
          <cell r="P184">
            <v>1744</v>
          </cell>
          <cell r="R184" t="str">
            <v>II.COST OF SALES</v>
          </cell>
          <cell r="S184" t="str">
            <v>II.COST OF SALES</v>
          </cell>
        </row>
        <row r="185">
          <cell r="O185" t="str">
            <v>Purch other</v>
          </cell>
          <cell r="P185">
            <v>26911.279999999999</v>
          </cell>
          <cell r="R185" t="str">
            <v>II.COST OF SALES</v>
          </cell>
          <cell r="S185" t="str">
            <v>II.COST OF SALES</v>
          </cell>
        </row>
        <row r="186">
          <cell r="O186" t="str">
            <v>Purch other</v>
          </cell>
          <cell r="P186">
            <v>0</v>
          </cell>
          <cell r="Q186" t="str">
            <v>ALPINE-JAPAN</v>
          </cell>
          <cell r="R186" t="str">
            <v>II.COST OF SALES</v>
          </cell>
          <cell r="S186" t="str">
            <v>ALPINE-JAPANII.COST OF SALES</v>
          </cell>
        </row>
        <row r="187">
          <cell r="O187" t="str">
            <v>Purch other</v>
          </cell>
          <cell r="P187">
            <v>8781.0599999999904</v>
          </cell>
          <cell r="R187" t="str">
            <v>II.COST OF SALES</v>
          </cell>
          <cell r="S187" t="str">
            <v>II.COST OF SALES</v>
          </cell>
        </row>
        <row r="188">
          <cell r="O188" t="str">
            <v>Purch other</v>
          </cell>
          <cell r="P188">
            <v>15681.94</v>
          </cell>
          <cell r="R188" t="str">
            <v>II.COST OF SALES</v>
          </cell>
          <cell r="S188" t="str">
            <v>II.COST OF SALES</v>
          </cell>
        </row>
        <row r="189">
          <cell r="O189" t="str">
            <v>Purch other</v>
          </cell>
          <cell r="P189">
            <v>692444.19</v>
          </cell>
          <cell r="Q189" t="str">
            <v>AOUK</v>
          </cell>
          <cell r="R189" t="str">
            <v>II.COST OF SALES</v>
          </cell>
          <cell r="S189" t="str">
            <v>AOUKII.COST OF SALES</v>
          </cell>
        </row>
        <row r="190">
          <cell r="O190" t="str">
            <v>Purch other</v>
          </cell>
          <cell r="P190">
            <v>4058.16</v>
          </cell>
          <cell r="Q190" t="str">
            <v>AOGE</v>
          </cell>
          <cell r="R190" t="str">
            <v>II.COST OF SALES</v>
          </cell>
          <cell r="S190" t="str">
            <v>AOGEII.COST OF SALES</v>
          </cell>
        </row>
        <row r="191">
          <cell r="O191" t="str">
            <v>Douane OEM</v>
          </cell>
          <cell r="P191">
            <v>6609396.0700000003</v>
          </cell>
          <cell r="R191" t="str">
            <v>II.COST OF SALES</v>
          </cell>
          <cell r="S191" t="str">
            <v>II.COST OF SALES</v>
          </cell>
        </row>
        <row r="192">
          <cell r="O192" t="str">
            <v>Douane lux</v>
          </cell>
          <cell r="P192">
            <v>142958.65</v>
          </cell>
          <cell r="R192" t="str">
            <v>II.COST OF SALES</v>
          </cell>
          <cell r="S192" t="str">
            <v>II.COST OF SALES</v>
          </cell>
        </row>
        <row r="193">
          <cell r="O193" t="str">
            <v>Frais Stock OEM</v>
          </cell>
          <cell r="P193">
            <v>822185</v>
          </cell>
          <cell r="R193" t="str">
            <v>II.COST OF SALES</v>
          </cell>
          <cell r="S193" t="str">
            <v>II.COST OF SALES</v>
          </cell>
        </row>
        <row r="194">
          <cell r="O194" t="str">
            <v>Transp alp</v>
          </cell>
          <cell r="P194">
            <v>333621.98</v>
          </cell>
          <cell r="Q194" t="str">
            <v>AOEU</v>
          </cell>
          <cell r="R194" t="str">
            <v>II.COST OF SALES</v>
          </cell>
          <cell r="S194" t="str">
            <v>AOEUII.COST OF SALES</v>
          </cell>
        </row>
        <row r="195">
          <cell r="O195" t="str">
            <v>Transp lux</v>
          </cell>
          <cell r="P195">
            <v>0</v>
          </cell>
          <cell r="Q195" t="str">
            <v>AOGE</v>
          </cell>
          <cell r="R195" t="str">
            <v>II.COST OF SALES</v>
          </cell>
          <cell r="S195" t="str">
            <v>AOGEII.COST OF SALES</v>
          </cell>
        </row>
        <row r="196">
          <cell r="O196" t="str">
            <v>Transp lux</v>
          </cell>
          <cell r="P196">
            <v>79811.25</v>
          </cell>
          <cell r="R196" t="str">
            <v>II.COST OF SALES</v>
          </cell>
          <cell r="S196" t="str">
            <v>II.COST OF SALES</v>
          </cell>
        </row>
        <row r="197">
          <cell r="O197" t="str">
            <v>Transp lux</v>
          </cell>
          <cell r="P197">
            <v>332093.33</v>
          </cell>
          <cell r="R197" t="str">
            <v>II.COST OF SALES</v>
          </cell>
          <cell r="S197" t="str">
            <v>II.COST OF SALES</v>
          </cell>
        </row>
        <row r="198">
          <cell r="O198" t="str">
            <v>Transp alp</v>
          </cell>
          <cell r="P198">
            <v>742</v>
          </cell>
          <cell r="R198" t="str">
            <v>II.COST OF SALES</v>
          </cell>
          <cell r="S198" t="str">
            <v>II.COST OF SALES</v>
          </cell>
        </row>
        <row r="199">
          <cell r="O199" t="str">
            <v>Transp alp</v>
          </cell>
          <cell r="P199">
            <v>47521</v>
          </cell>
          <cell r="R199" t="str">
            <v>II.COST OF SALES</v>
          </cell>
          <cell r="S199" t="str">
            <v>II.COST OF SALES</v>
          </cell>
        </row>
        <row r="200">
          <cell r="O200" t="str">
            <v>Transp nav</v>
          </cell>
          <cell r="P200">
            <v>35679.42</v>
          </cell>
          <cell r="R200" t="str">
            <v>II.COST OF SALES</v>
          </cell>
          <cell r="S200" t="str">
            <v>II.COST OF SALES</v>
          </cell>
        </row>
        <row r="201">
          <cell r="O201" t="str">
            <v>Transp alp</v>
          </cell>
          <cell r="P201">
            <v>22092.63</v>
          </cell>
          <cell r="Q201" t="str">
            <v>AOUK</v>
          </cell>
          <cell r="R201" t="str">
            <v>II.COST OF SALES</v>
          </cell>
          <cell r="S201" t="str">
            <v>AOUKII.COST OF SALES</v>
          </cell>
        </row>
        <row r="202">
          <cell r="O202" t="str">
            <v>Transp alp</v>
          </cell>
          <cell r="P202">
            <v>0</v>
          </cell>
          <cell r="R202" t="str">
            <v>II.COST OF SALES</v>
          </cell>
          <cell r="S202" t="str">
            <v>II.COST OF SALES</v>
          </cell>
        </row>
        <row r="203">
          <cell r="O203" t="str">
            <v>Transp nav</v>
          </cell>
          <cell r="P203">
            <v>16405.599999999999</v>
          </cell>
          <cell r="R203" t="str">
            <v>II.COST OF SALES</v>
          </cell>
          <cell r="S203" t="str">
            <v>II.COST OF SALES</v>
          </cell>
        </row>
        <row r="204">
          <cell r="O204" t="str">
            <v>Transp oem</v>
          </cell>
          <cell r="P204">
            <v>1698.93</v>
          </cell>
          <cell r="R204" t="str">
            <v>II.COST OF SALES</v>
          </cell>
          <cell r="S204" t="str">
            <v>II.COST OF SALES</v>
          </cell>
        </row>
        <row r="205">
          <cell r="O205" t="str">
            <v>Douane alp</v>
          </cell>
          <cell r="P205">
            <v>339.05</v>
          </cell>
          <cell r="R205" t="str">
            <v>II.COST OF SALES</v>
          </cell>
          <cell r="S205" t="str">
            <v>II.COST OF SALES</v>
          </cell>
        </row>
        <row r="206">
          <cell r="O206" t="str">
            <v>Douane nav</v>
          </cell>
          <cell r="P206">
            <v>62484.43</v>
          </cell>
          <cell r="R206" t="str">
            <v>II.COST OF SALES</v>
          </cell>
          <cell r="S206" t="str">
            <v>II.COST OF SALES</v>
          </cell>
        </row>
        <row r="207">
          <cell r="O207" t="str">
            <v>Douane alp</v>
          </cell>
          <cell r="P207">
            <v>106.32</v>
          </cell>
          <cell r="R207" t="str">
            <v>II.COST OF SALES</v>
          </cell>
          <cell r="S207" t="str">
            <v>II.COST OF SALES</v>
          </cell>
        </row>
        <row r="208">
          <cell r="O208" t="str">
            <v>Douane lux</v>
          </cell>
          <cell r="P208">
            <v>20514.34</v>
          </cell>
          <cell r="R208" t="str">
            <v>II.COST OF SALES</v>
          </cell>
          <cell r="S208" t="str">
            <v>II.COST OF SALES</v>
          </cell>
        </row>
        <row r="209">
          <cell r="O209" t="str">
            <v>Douane alp</v>
          </cell>
          <cell r="P209">
            <v>7713.08</v>
          </cell>
          <cell r="R209" t="str">
            <v>II.COST OF SALES</v>
          </cell>
          <cell r="S209" t="str">
            <v>II.COST OF SALES</v>
          </cell>
        </row>
        <row r="210">
          <cell r="O210" t="str">
            <v>Douane oem</v>
          </cell>
          <cell r="P210">
            <v>33488.120000000003</v>
          </cell>
          <cell r="R210" t="str">
            <v>II.COST OF SALES</v>
          </cell>
          <cell r="S210" t="str">
            <v>II.COST OF SALES</v>
          </cell>
        </row>
        <row r="211">
          <cell r="O211" t="str">
            <v>Transp alp</v>
          </cell>
          <cell r="P211">
            <v>290</v>
          </cell>
          <cell r="R211" t="str">
            <v>II.COST OF SALES</v>
          </cell>
          <cell r="S211" t="str">
            <v>II.COST OF SALES</v>
          </cell>
        </row>
        <row r="212">
          <cell r="O212" t="str">
            <v>Transp lux</v>
          </cell>
          <cell r="P212">
            <v>15507.73</v>
          </cell>
          <cell r="R212" t="str">
            <v>II.COST OF SALES</v>
          </cell>
          <cell r="S212" t="str">
            <v>II.COST OF SALES</v>
          </cell>
        </row>
        <row r="213">
          <cell r="O213" t="str">
            <v>Transp alp</v>
          </cell>
          <cell r="P213">
            <v>16419.61</v>
          </cell>
          <cell r="R213" t="str">
            <v>II.COST OF SALES</v>
          </cell>
          <cell r="S213" t="str">
            <v>II.COST OF SALES</v>
          </cell>
        </row>
        <row r="214">
          <cell r="O214" t="str">
            <v>Transp alp</v>
          </cell>
          <cell r="P214">
            <v>0</v>
          </cell>
          <cell r="R214" t="str">
            <v>II.COST OF SALES</v>
          </cell>
          <cell r="S214" t="str">
            <v>II.COST OF SALES</v>
          </cell>
        </row>
        <row r="215">
          <cell r="O215" t="str">
            <v>Transp oem</v>
          </cell>
          <cell r="P215">
            <v>24879.53</v>
          </cell>
          <cell r="R215" t="str">
            <v>II.COST OF SALES</v>
          </cell>
          <cell r="S215" t="str">
            <v>II.COST OF SALES</v>
          </cell>
        </row>
        <row r="216">
          <cell r="O216" t="str">
            <v>Transp oem</v>
          </cell>
          <cell r="P216">
            <v>2241515.4</v>
          </cell>
          <cell r="R216" t="str">
            <v>II.COST OF SALES</v>
          </cell>
          <cell r="S216" t="str">
            <v>II.COST OF SALES</v>
          </cell>
        </row>
        <row r="217">
          <cell r="O217" t="str">
            <v>Transp lux</v>
          </cell>
          <cell r="P217">
            <v>0</v>
          </cell>
          <cell r="R217" t="str">
            <v>II.COST OF SALES</v>
          </cell>
          <cell r="S217" t="str">
            <v>II.COST OF SALES</v>
          </cell>
        </row>
        <row r="218">
          <cell r="O218" t="str">
            <v>insurance alp</v>
          </cell>
          <cell r="P218">
            <v>62450.400000000001</v>
          </cell>
          <cell r="Q218" t="str">
            <v>AOEU</v>
          </cell>
          <cell r="R218" t="str">
            <v>II.COST OF SALES</v>
          </cell>
          <cell r="S218" t="str">
            <v>AOEUII.COST OF SALES</v>
          </cell>
        </row>
        <row r="219">
          <cell r="O219" t="str">
            <v>insurance alp</v>
          </cell>
          <cell r="P219">
            <v>7117.83</v>
          </cell>
          <cell r="Q219" t="str">
            <v>AOEU</v>
          </cell>
          <cell r="R219" t="str">
            <v>II.COST OF SALES</v>
          </cell>
          <cell r="S219" t="str">
            <v>AOEUII.COST OF SALES</v>
          </cell>
        </row>
        <row r="220">
          <cell r="O220" t="str">
            <v>General sub-contract</v>
          </cell>
          <cell r="P220">
            <v>198046.15</v>
          </cell>
          <cell r="R220" t="str">
            <v xml:space="preserve">  AFTER SERVICE</v>
          </cell>
        </row>
        <row r="221">
          <cell r="O221" t="str">
            <v>General sub-contract</v>
          </cell>
          <cell r="P221">
            <v>1215</v>
          </cell>
          <cell r="R221" t="str">
            <v xml:space="preserve">  AFTER SERVICE</v>
          </cell>
        </row>
        <row r="222">
          <cell r="O222" t="str">
            <v>After sales services</v>
          </cell>
          <cell r="P222">
            <v>38445.29</v>
          </cell>
          <cell r="R222" t="str">
            <v xml:space="preserve">  AFTER SERVICE</v>
          </cell>
        </row>
        <row r="223">
          <cell r="O223" t="str">
            <v>After sales services</v>
          </cell>
          <cell r="P223">
            <v>50813.279999999999</v>
          </cell>
          <cell r="Q223" t="str">
            <v>AOGE</v>
          </cell>
          <cell r="R223" t="str">
            <v xml:space="preserve">  AFTER SERVICE</v>
          </cell>
        </row>
        <row r="224">
          <cell r="O224" t="str">
            <v>After sales services</v>
          </cell>
          <cell r="P224">
            <v>17165.05</v>
          </cell>
          <cell r="Q224" t="str">
            <v>AOSP</v>
          </cell>
          <cell r="R224" t="str">
            <v xml:space="preserve">  AFTER SERVICE</v>
          </cell>
        </row>
        <row r="225">
          <cell r="O225" t="str">
            <v>After sales services</v>
          </cell>
          <cell r="P225">
            <v>0</v>
          </cell>
          <cell r="Q225" t="str">
            <v>AOUK</v>
          </cell>
          <cell r="R225" t="str">
            <v xml:space="preserve">  AFTER SERVICE</v>
          </cell>
        </row>
        <row r="226">
          <cell r="O226" t="str">
            <v>After sales services</v>
          </cell>
          <cell r="P226">
            <v>1470196.16</v>
          </cell>
          <cell r="R226" t="str">
            <v xml:space="preserve">  AFTER SERVICE</v>
          </cell>
        </row>
        <row r="227">
          <cell r="O227" t="str">
            <v>After sales services</v>
          </cell>
          <cell r="P227">
            <v>20160</v>
          </cell>
          <cell r="R227" t="str">
            <v xml:space="preserve">  AFTER SERVICE</v>
          </cell>
        </row>
        <row r="228">
          <cell r="O228" t="str">
            <v>After sales services</v>
          </cell>
          <cell r="P228">
            <v>100645</v>
          </cell>
          <cell r="R228" t="str">
            <v xml:space="preserve">  AFTER SERVICE</v>
          </cell>
        </row>
        <row r="229">
          <cell r="O229" t="str">
            <v>After sales services</v>
          </cell>
          <cell r="P229">
            <v>24300</v>
          </cell>
          <cell r="R229" t="str">
            <v xml:space="preserve">  AFTER SERVICE</v>
          </cell>
        </row>
        <row r="230">
          <cell r="O230" t="str">
            <v>Leasing and rentals</v>
          </cell>
          <cell r="P230">
            <v>61634.04</v>
          </cell>
          <cell r="R230" t="str">
            <v xml:space="preserve">  RENTAL EXPENSE</v>
          </cell>
        </row>
        <row r="231">
          <cell r="O231" t="str">
            <v>Leasing and rentals</v>
          </cell>
          <cell r="P231">
            <v>68505.100000000006</v>
          </cell>
          <cell r="R231" t="str">
            <v xml:space="preserve">  RENTAL EXPENSE</v>
          </cell>
        </row>
        <row r="232">
          <cell r="O232" t="str">
            <v>Leasing and rentals</v>
          </cell>
          <cell r="P232">
            <v>4699</v>
          </cell>
          <cell r="R232" t="str">
            <v xml:space="preserve">  RENTAL EXPENSE</v>
          </cell>
        </row>
        <row r="233">
          <cell r="O233" t="str">
            <v>Office rental</v>
          </cell>
          <cell r="P233">
            <v>788690.05</v>
          </cell>
          <cell r="R233" t="str">
            <v xml:space="preserve">  RENTAL EXPENSE</v>
          </cell>
        </row>
        <row r="234">
          <cell r="O234" t="str">
            <v>Leasing and rentals</v>
          </cell>
          <cell r="P234">
            <v>11639</v>
          </cell>
          <cell r="R234" t="str">
            <v xml:space="preserve">  RENTAL EXPENSE</v>
          </cell>
        </row>
        <row r="235">
          <cell r="O235" t="str">
            <v>Office charges</v>
          </cell>
          <cell r="P235">
            <v>14339.81</v>
          </cell>
          <cell r="R235" t="str">
            <v xml:space="preserve">  REPAIR &amp; MAINTENANCE</v>
          </cell>
        </row>
        <row r="236">
          <cell r="O236" t="str">
            <v>Maintenance &amp; repair</v>
          </cell>
          <cell r="P236">
            <v>22916.73</v>
          </cell>
          <cell r="R236" t="str">
            <v xml:space="preserve">  REPAIR &amp; MAINTENANCE</v>
          </cell>
        </row>
        <row r="237">
          <cell r="O237" t="str">
            <v>Maintenance &amp; repair</v>
          </cell>
          <cell r="P237">
            <v>231639.12</v>
          </cell>
          <cell r="R237" t="str">
            <v xml:space="preserve">  REPAIR &amp; MAINTENANCE</v>
          </cell>
        </row>
        <row r="238">
          <cell r="O238" t="str">
            <v>Maintenance &amp; repair</v>
          </cell>
          <cell r="P238">
            <v>196539.81</v>
          </cell>
          <cell r="R238" t="str">
            <v xml:space="preserve">  REPAIR &amp; MAINTENANCE</v>
          </cell>
        </row>
        <row r="239">
          <cell r="O239" t="str">
            <v>Maintenance &amp; repair</v>
          </cell>
          <cell r="P239">
            <v>6350</v>
          </cell>
          <cell r="R239" t="str">
            <v xml:space="preserve">  REPAIR &amp; MAINTENANCE</v>
          </cell>
        </row>
        <row r="240">
          <cell r="O240" t="str">
            <v>Maintenance &amp; repair</v>
          </cell>
          <cell r="P240">
            <v>7107.62</v>
          </cell>
          <cell r="R240" t="str">
            <v xml:space="preserve">  REPAIR &amp; MAINTENANCE</v>
          </cell>
        </row>
        <row r="241">
          <cell r="O241" t="str">
            <v>Insurance premiums</v>
          </cell>
          <cell r="P241">
            <v>205713.23</v>
          </cell>
          <cell r="R241" t="str">
            <v xml:space="preserve">  INSURANCE PREMIUM</v>
          </cell>
        </row>
        <row r="242">
          <cell r="O242" t="str">
            <v>Insurance premiums</v>
          </cell>
          <cell r="P242">
            <v>38444.99</v>
          </cell>
          <cell r="R242" t="str">
            <v xml:space="preserve">  INSURANCE PREMIUM</v>
          </cell>
        </row>
        <row r="243">
          <cell r="O243" t="str">
            <v>Insurance premiums</v>
          </cell>
          <cell r="P243">
            <v>282365</v>
          </cell>
          <cell r="R243" t="str">
            <v xml:space="preserve">  INSURANCE PREMIUM</v>
          </cell>
        </row>
        <row r="244">
          <cell r="O244" t="str">
            <v>Insurance premiums</v>
          </cell>
          <cell r="P244">
            <v>11485</v>
          </cell>
          <cell r="R244" t="str">
            <v xml:space="preserve">  INSURANCE PREMIUM</v>
          </cell>
        </row>
        <row r="245">
          <cell r="O245" t="str">
            <v>Sundries (documentat</v>
          </cell>
          <cell r="P245">
            <v>14125.5</v>
          </cell>
          <cell r="R245" t="str">
            <v xml:space="preserve">  MISCELLANEOUS</v>
          </cell>
        </row>
        <row r="246">
          <cell r="O246" t="str">
            <v>Sundries (documentat</v>
          </cell>
          <cell r="P246">
            <v>52.29</v>
          </cell>
          <cell r="Q246" t="str">
            <v>ALPINE-JAPAN</v>
          </cell>
          <cell r="R246" t="str">
            <v xml:space="preserve">  MISCELLANEOUS(CONS)</v>
          </cell>
          <cell r="S246" t="str">
            <v>ALPINE-JAPAN  MISCELLANEOUS(CONS)</v>
          </cell>
        </row>
        <row r="247">
          <cell r="O247" t="str">
            <v>Sundries (documentat</v>
          </cell>
          <cell r="P247">
            <v>39667.75</v>
          </cell>
          <cell r="R247" t="str">
            <v xml:space="preserve">  MISCELLANEOUS</v>
          </cell>
        </row>
        <row r="248">
          <cell r="O248" t="str">
            <v xml:space="preserve">External staff </v>
          </cell>
          <cell r="P248">
            <v>16079.85</v>
          </cell>
          <cell r="R248" t="str">
            <v xml:space="preserve">  MISCELLANEOUS</v>
          </cell>
        </row>
        <row r="249">
          <cell r="O249" t="str">
            <v xml:space="preserve">External staff </v>
          </cell>
          <cell r="P249">
            <v>348261.37</v>
          </cell>
          <cell r="R249" t="str">
            <v xml:space="preserve">  MISCELLANEOUS</v>
          </cell>
        </row>
        <row r="250">
          <cell r="O250" t="str">
            <v>Fees</v>
          </cell>
          <cell r="P250">
            <v>476800</v>
          </cell>
          <cell r="R250" t="str">
            <v xml:space="preserve">  PROFESSIONAL &amp; CONSULTANCY</v>
          </cell>
        </row>
        <row r="251">
          <cell r="O251" t="str">
            <v>Fees</v>
          </cell>
          <cell r="P251">
            <v>444158.37</v>
          </cell>
          <cell r="R251" t="str">
            <v xml:space="preserve">  PROFESSIONAL &amp; CONSULTANCY</v>
          </cell>
        </row>
        <row r="252">
          <cell r="O252" t="str">
            <v>Fees</v>
          </cell>
          <cell r="P252">
            <v>381956.14</v>
          </cell>
          <cell r="R252" t="str">
            <v xml:space="preserve">  PROFESSIONAL &amp; CONSULTANCY</v>
          </cell>
        </row>
        <row r="253">
          <cell r="O253" t="str">
            <v>Legal expenses</v>
          </cell>
          <cell r="P253">
            <v>34646.949999999997</v>
          </cell>
          <cell r="R253" t="str">
            <v xml:space="preserve">  PROFESSIONAL &amp; CONSULTANCY</v>
          </cell>
        </row>
        <row r="254">
          <cell r="O254" t="str">
            <v>Advertising, publica</v>
          </cell>
          <cell r="P254">
            <v>602015.22</v>
          </cell>
          <cell r="R254" t="str">
            <v xml:space="preserve">  ADVERTISING</v>
          </cell>
          <cell r="S254" t="str">
            <v xml:space="preserve">  ADVERTISING</v>
          </cell>
        </row>
        <row r="255">
          <cell r="O255" t="str">
            <v>Advertising, publica</v>
          </cell>
          <cell r="P255">
            <v>0</v>
          </cell>
          <cell r="R255" t="str">
            <v xml:space="preserve">  ADVERTISING</v>
          </cell>
          <cell r="S255" t="str">
            <v xml:space="preserve">  ADVERTISING</v>
          </cell>
        </row>
        <row r="256">
          <cell r="O256" t="str">
            <v>Advertising, publica</v>
          </cell>
          <cell r="P256">
            <v>686805.37</v>
          </cell>
          <cell r="R256" t="str">
            <v xml:space="preserve">  ADVERTISING</v>
          </cell>
          <cell r="S256" t="str">
            <v xml:space="preserve">  ADVERTISING</v>
          </cell>
        </row>
        <row r="257">
          <cell r="O257" t="str">
            <v>Advertising, publica</v>
          </cell>
          <cell r="P257">
            <v>89700</v>
          </cell>
          <cell r="R257" t="str">
            <v xml:space="preserve">  ADVERTISING</v>
          </cell>
          <cell r="S257" t="str">
            <v xml:space="preserve">  ADVERTISING</v>
          </cell>
        </row>
        <row r="258">
          <cell r="O258" t="str">
            <v>Advertising, publica</v>
          </cell>
          <cell r="P258">
            <v>11452.2</v>
          </cell>
          <cell r="R258" t="str">
            <v xml:space="preserve">  ADVERTISING</v>
          </cell>
          <cell r="S258" t="str">
            <v xml:space="preserve">  ADVERTISING</v>
          </cell>
        </row>
        <row r="259">
          <cell r="O259" t="str">
            <v>Advertising, publica</v>
          </cell>
          <cell r="P259">
            <v>9183.4</v>
          </cell>
          <cell r="R259" t="str">
            <v xml:space="preserve">  ADVERTISING</v>
          </cell>
          <cell r="S259" t="str">
            <v xml:space="preserve">  ADVERTISING</v>
          </cell>
        </row>
        <row r="260">
          <cell r="O260" t="str">
            <v>Advertising, publica</v>
          </cell>
          <cell r="P260">
            <v>0</v>
          </cell>
          <cell r="R260" t="str">
            <v xml:space="preserve">  ADVERTISING</v>
          </cell>
          <cell r="S260" t="str">
            <v xml:space="preserve">  ADVERTISING</v>
          </cell>
        </row>
        <row r="261">
          <cell r="O261" t="str">
            <v>Advertising, publica</v>
          </cell>
          <cell r="P261">
            <v>0</v>
          </cell>
          <cell r="Q261" t="str">
            <v>AOUK</v>
          </cell>
          <cell r="R261" t="str">
            <v xml:space="preserve">  ADVERTISING(CONS)</v>
          </cell>
          <cell r="S261" t="str">
            <v>AOUK  ADVERTISING(CONS)</v>
          </cell>
        </row>
        <row r="262">
          <cell r="O262" t="str">
            <v>Advertising, publica</v>
          </cell>
          <cell r="P262">
            <v>66406.33</v>
          </cell>
          <cell r="Q262" t="str">
            <v>AOEU</v>
          </cell>
          <cell r="R262" t="str">
            <v xml:space="preserve">  ADVERTISING(CONS)</v>
          </cell>
          <cell r="S262" t="str">
            <v>AOEU  ADVERTISING(CONS)</v>
          </cell>
        </row>
        <row r="263">
          <cell r="O263" t="str">
            <v>Advertising, publica</v>
          </cell>
          <cell r="P263">
            <v>13487.52</v>
          </cell>
          <cell r="Q263" t="str">
            <v>AOEU</v>
          </cell>
          <cell r="R263" t="str">
            <v xml:space="preserve">  ADVERTISING(CONS)</v>
          </cell>
        </row>
        <row r="264">
          <cell r="O264" t="str">
            <v>Advertising, publica</v>
          </cell>
          <cell r="P264">
            <v>82871.850000000006</v>
          </cell>
          <cell r="R264" t="str">
            <v xml:space="preserve">  ADVERTISING</v>
          </cell>
          <cell r="S264" t="str">
            <v xml:space="preserve">  ADVERTISING</v>
          </cell>
        </row>
        <row r="265">
          <cell r="O265" t="str">
            <v>Advertising, publica</v>
          </cell>
          <cell r="P265">
            <v>0</v>
          </cell>
          <cell r="R265" t="str">
            <v xml:space="preserve">  ADVERTISING</v>
          </cell>
          <cell r="S265" t="str">
            <v xml:space="preserve">  ADVERTISING</v>
          </cell>
        </row>
        <row r="266">
          <cell r="O266" t="str">
            <v>Advertising, publica</v>
          </cell>
          <cell r="P266">
            <v>22485.38</v>
          </cell>
          <cell r="R266" t="str">
            <v xml:space="preserve">  ADVERTISING</v>
          </cell>
          <cell r="S266" t="str">
            <v xml:space="preserve">  ADVERTISING</v>
          </cell>
        </row>
        <row r="267">
          <cell r="O267" t="str">
            <v>Advertising, publica</v>
          </cell>
          <cell r="P267">
            <v>546</v>
          </cell>
          <cell r="R267" t="str">
            <v xml:space="preserve">  ADVERTISING</v>
          </cell>
          <cell r="S267" t="str">
            <v xml:space="preserve">  ADVERTISING</v>
          </cell>
        </row>
        <row r="268">
          <cell r="O268" t="str">
            <v>Advertising, publica</v>
          </cell>
          <cell r="P268">
            <v>0</v>
          </cell>
          <cell r="R268" t="str">
            <v xml:space="preserve">  ADVERTISING</v>
          </cell>
          <cell r="S268" t="str">
            <v xml:space="preserve">  ADVERTISING</v>
          </cell>
        </row>
        <row r="269">
          <cell r="O269" t="str">
            <v>Advertising, publica</v>
          </cell>
          <cell r="P269">
            <v>2537</v>
          </cell>
          <cell r="R269" t="str">
            <v xml:space="preserve">  ADVERTISING</v>
          </cell>
          <cell r="S269" t="str">
            <v xml:space="preserve">  ADVERTISING</v>
          </cell>
        </row>
        <row r="270">
          <cell r="O270" t="str">
            <v>Advertising, publica</v>
          </cell>
          <cell r="P270">
            <v>1494</v>
          </cell>
          <cell r="R270" t="str">
            <v xml:space="preserve">  ADVERTISING</v>
          </cell>
          <cell r="S270" t="str">
            <v xml:space="preserve">  ADVERTISING</v>
          </cell>
        </row>
        <row r="271">
          <cell r="O271" t="str">
            <v>Transport of goods &amp;</v>
          </cell>
          <cell r="P271">
            <v>1895152.2</v>
          </cell>
          <cell r="R271" t="str">
            <v xml:space="preserve">  FREIGHT-OUT</v>
          </cell>
        </row>
        <row r="272">
          <cell r="O272" t="str">
            <v>Transport of goods &amp;</v>
          </cell>
          <cell r="P272">
            <v>318402.18</v>
          </cell>
          <cell r="R272" t="str">
            <v xml:space="preserve">  FREIGHT-OUT</v>
          </cell>
        </row>
        <row r="273">
          <cell r="O273" t="str">
            <v>Transport of goods &amp;</v>
          </cell>
          <cell r="P273">
            <v>37702.19</v>
          </cell>
          <cell r="R273" t="str">
            <v xml:space="preserve">  FREIGHT-OUT</v>
          </cell>
        </row>
        <row r="274">
          <cell r="O274" t="str">
            <v>Transport of goods &amp;</v>
          </cell>
          <cell r="P274">
            <v>8943.26</v>
          </cell>
          <cell r="R274" t="str">
            <v xml:space="preserve">  FREIGHT-OUT</v>
          </cell>
        </row>
        <row r="275">
          <cell r="O275" t="str">
            <v>Transport of goods &amp;</v>
          </cell>
          <cell r="P275">
            <v>13130.92</v>
          </cell>
          <cell r="R275" t="str">
            <v xml:space="preserve">  FREIGHT-OUT</v>
          </cell>
        </row>
        <row r="276">
          <cell r="O276" t="str">
            <v>Travelling expenses</v>
          </cell>
          <cell r="P276">
            <v>49511.48</v>
          </cell>
          <cell r="R276" t="str">
            <v xml:space="preserve">  TRAVEL</v>
          </cell>
        </row>
        <row r="277">
          <cell r="O277" t="str">
            <v>Travelling expenses</v>
          </cell>
          <cell r="P277">
            <v>0</v>
          </cell>
          <cell r="R277" t="str">
            <v xml:space="preserve">  TRAVEL</v>
          </cell>
        </row>
        <row r="278">
          <cell r="O278" t="str">
            <v>Travelling expenses</v>
          </cell>
          <cell r="P278">
            <v>10281.01</v>
          </cell>
          <cell r="R278" t="str">
            <v xml:space="preserve">  TRAVEL</v>
          </cell>
        </row>
        <row r="279">
          <cell r="O279" t="str">
            <v>Travelling expenses</v>
          </cell>
          <cell r="P279">
            <v>27300.27</v>
          </cell>
          <cell r="R279" t="str">
            <v xml:space="preserve">  TRAVEL</v>
          </cell>
        </row>
        <row r="280">
          <cell r="O280" t="str">
            <v>Travelling expenses</v>
          </cell>
          <cell r="P280">
            <v>186233.03</v>
          </cell>
          <cell r="R280" t="str">
            <v xml:space="preserve">  TRAVEL</v>
          </cell>
        </row>
        <row r="281">
          <cell r="O281" t="str">
            <v>Travelling expenses</v>
          </cell>
          <cell r="P281">
            <v>104484</v>
          </cell>
          <cell r="R281" t="str">
            <v xml:space="preserve">  TRAVEL</v>
          </cell>
        </row>
        <row r="282">
          <cell r="O282" t="str">
            <v>Travelling expenses</v>
          </cell>
          <cell r="P282">
            <v>192826.45</v>
          </cell>
          <cell r="R282" t="str">
            <v xml:space="preserve">  TRAVEL</v>
          </cell>
        </row>
        <row r="283">
          <cell r="O283" t="str">
            <v>Travelling expenses</v>
          </cell>
          <cell r="P283">
            <v>98855</v>
          </cell>
          <cell r="R283" t="str">
            <v xml:space="preserve">  TRAVEL</v>
          </cell>
        </row>
        <row r="284">
          <cell r="O284" t="str">
            <v>Travelling expenses</v>
          </cell>
          <cell r="P284">
            <v>0</v>
          </cell>
          <cell r="R284" t="str">
            <v xml:space="preserve">  TRAVEL</v>
          </cell>
        </row>
        <row r="285">
          <cell r="O285" t="str">
            <v>Travelling expenses</v>
          </cell>
          <cell r="P285">
            <v>106165.89</v>
          </cell>
          <cell r="R285" t="str">
            <v xml:space="preserve">  TRAVEL</v>
          </cell>
        </row>
        <row r="286">
          <cell r="O286" t="str">
            <v>Travelling expenses</v>
          </cell>
          <cell r="P286">
            <v>190159.5</v>
          </cell>
          <cell r="R286" t="str">
            <v xml:space="preserve">  TRAVEL</v>
          </cell>
        </row>
        <row r="287">
          <cell r="O287" t="str">
            <v>Travelling expenses</v>
          </cell>
          <cell r="P287">
            <v>1492.89</v>
          </cell>
          <cell r="R287" t="str">
            <v xml:space="preserve">  TRAVEL</v>
          </cell>
        </row>
        <row r="288">
          <cell r="O288" t="str">
            <v>Travelling expenses</v>
          </cell>
          <cell r="P288">
            <v>42232.21</v>
          </cell>
          <cell r="R288" t="str">
            <v xml:space="preserve">  TRAVEL</v>
          </cell>
        </row>
        <row r="289">
          <cell r="O289" t="str">
            <v>Travelling expenses</v>
          </cell>
          <cell r="P289">
            <v>192703.95</v>
          </cell>
          <cell r="R289" t="str">
            <v xml:space="preserve">  TRAVEL</v>
          </cell>
        </row>
        <row r="290">
          <cell r="O290" t="str">
            <v>Travelling expenses</v>
          </cell>
          <cell r="P290">
            <v>0</v>
          </cell>
          <cell r="R290" t="str">
            <v xml:space="preserve">  TRAVEL</v>
          </cell>
        </row>
        <row r="291">
          <cell r="O291" t="str">
            <v>Travelling expenses</v>
          </cell>
          <cell r="P291">
            <v>0</v>
          </cell>
          <cell r="R291" t="str">
            <v xml:space="preserve">  TRAVEL</v>
          </cell>
        </row>
        <row r="292">
          <cell r="O292" t="str">
            <v>Travelling expenses</v>
          </cell>
          <cell r="P292">
            <v>118652.39</v>
          </cell>
          <cell r="R292" t="str">
            <v xml:space="preserve">  TRAVEL</v>
          </cell>
        </row>
        <row r="293">
          <cell r="O293" t="str">
            <v>Travelling expenses</v>
          </cell>
          <cell r="P293">
            <v>199269.75</v>
          </cell>
          <cell r="R293" t="str">
            <v xml:space="preserve">  TRAVEL</v>
          </cell>
        </row>
        <row r="294">
          <cell r="O294" t="str">
            <v>Travelling expenses</v>
          </cell>
          <cell r="P294">
            <v>68846.320000000007</v>
          </cell>
          <cell r="R294" t="str">
            <v xml:space="preserve">  TRAVEL</v>
          </cell>
        </row>
        <row r="295">
          <cell r="O295" t="str">
            <v>Travelling expenses</v>
          </cell>
          <cell r="P295">
            <v>187856.72</v>
          </cell>
          <cell r="R295" t="str">
            <v xml:space="preserve">  TRAVEL</v>
          </cell>
        </row>
        <row r="296">
          <cell r="O296" t="str">
            <v>Travelling expenses</v>
          </cell>
          <cell r="P296">
            <v>63335.9</v>
          </cell>
          <cell r="R296" t="str">
            <v xml:space="preserve">  TRAVEL</v>
          </cell>
        </row>
        <row r="297">
          <cell r="O297" t="str">
            <v>Travelling expenses</v>
          </cell>
          <cell r="P297">
            <v>130267.73</v>
          </cell>
          <cell r="R297" t="str">
            <v xml:space="preserve">  TRAVEL</v>
          </cell>
        </row>
        <row r="298">
          <cell r="O298" t="str">
            <v>Travelling expenses</v>
          </cell>
          <cell r="P298">
            <v>38248.15</v>
          </cell>
          <cell r="R298" t="str">
            <v xml:space="preserve">  TRAVEL</v>
          </cell>
        </row>
        <row r="299">
          <cell r="O299" t="str">
            <v>Entertainment</v>
          </cell>
          <cell r="P299">
            <v>93641.06</v>
          </cell>
          <cell r="R299" t="str">
            <v xml:space="preserve">  ENTERTAINMENT</v>
          </cell>
        </row>
        <row r="300">
          <cell r="O300" t="str">
            <v>Entertainment</v>
          </cell>
          <cell r="P300">
            <v>0</v>
          </cell>
          <cell r="R300" t="str">
            <v xml:space="preserve">  ENTERTAINMENT</v>
          </cell>
        </row>
        <row r="301">
          <cell r="O301" t="str">
            <v>Entertainment</v>
          </cell>
          <cell r="P301">
            <v>8476.94</v>
          </cell>
          <cell r="R301" t="str">
            <v xml:space="preserve">  ENTERTAINMENT</v>
          </cell>
        </row>
        <row r="302">
          <cell r="O302" t="str">
            <v>Entertainment</v>
          </cell>
          <cell r="P302">
            <v>3022.95</v>
          </cell>
          <cell r="R302" t="str">
            <v xml:space="preserve">  ENTERTAINMENT</v>
          </cell>
        </row>
        <row r="303">
          <cell r="O303" t="str">
            <v>Entertainment</v>
          </cell>
          <cell r="P303">
            <v>43555.25</v>
          </cell>
          <cell r="R303" t="str">
            <v xml:space="preserve">  ENTERTAINMENT</v>
          </cell>
        </row>
        <row r="304">
          <cell r="O304" t="str">
            <v>Entertainment</v>
          </cell>
          <cell r="P304">
            <v>1895</v>
          </cell>
          <cell r="R304" t="str">
            <v xml:space="preserve">  ENTERTAINMENT</v>
          </cell>
        </row>
        <row r="305">
          <cell r="O305" t="str">
            <v>Telephone, telex, st</v>
          </cell>
          <cell r="P305">
            <v>13368.57</v>
          </cell>
          <cell r="R305" t="str">
            <v xml:space="preserve">  MAIL &amp; POSTAGE</v>
          </cell>
        </row>
        <row r="306">
          <cell r="O306" t="str">
            <v>Telephone, telex, st</v>
          </cell>
          <cell r="P306">
            <v>267758.09999999998</v>
          </cell>
          <cell r="R306" t="str">
            <v xml:space="preserve">  MAIL &amp; POSTAGE</v>
          </cell>
        </row>
        <row r="307">
          <cell r="O307" t="str">
            <v>Telephone, telex, st</v>
          </cell>
          <cell r="P307">
            <v>164215.67999999999</v>
          </cell>
          <cell r="R307" t="str">
            <v xml:space="preserve">  MAIL &amp; POSTAGE</v>
          </cell>
        </row>
        <row r="308">
          <cell r="O308" t="str">
            <v>Telephone, telex, st</v>
          </cell>
          <cell r="P308">
            <v>2927.28</v>
          </cell>
          <cell r="R308" t="str">
            <v xml:space="preserve">  MAIL &amp; POSTAGE</v>
          </cell>
        </row>
        <row r="309">
          <cell r="O309" t="str">
            <v>Telephone, telex, st</v>
          </cell>
          <cell r="P309">
            <v>0</v>
          </cell>
          <cell r="R309" t="str">
            <v xml:space="preserve">  MAIL &amp; POSTAGE</v>
          </cell>
        </row>
        <row r="310">
          <cell r="O310" t="str">
            <v>Telephone, telex, st</v>
          </cell>
          <cell r="P310">
            <v>20902.900000000001</v>
          </cell>
          <cell r="R310" t="str">
            <v xml:space="preserve">  MAIL &amp; POSTAGE</v>
          </cell>
        </row>
        <row r="311">
          <cell r="O311" t="str">
            <v>Telephone, telex, st</v>
          </cell>
          <cell r="P311">
            <v>2504.5100000000002</v>
          </cell>
          <cell r="R311" t="str">
            <v xml:space="preserve">  MAIL &amp; POSTAGE</v>
          </cell>
        </row>
        <row r="312">
          <cell r="O312" t="str">
            <v>Telephone, telex, st</v>
          </cell>
          <cell r="P312">
            <v>300</v>
          </cell>
          <cell r="R312" t="str">
            <v xml:space="preserve">  MAIL &amp; POSTAGE</v>
          </cell>
        </row>
        <row r="313">
          <cell r="O313" t="str">
            <v>Telephone, telex, st</v>
          </cell>
          <cell r="P313">
            <v>12146.16</v>
          </cell>
          <cell r="R313" t="str">
            <v xml:space="preserve">  MAIL &amp; POSTAGE</v>
          </cell>
        </row>
        <row r="314">
          <cell r="O314" t="str">
            <v>Bank handling charge</v>
          </cell>
          <cell r="P314">
            <v>139354.68</v>
          </cell>
          <cell r="R314" t="str">
            <v xml:space="preserve">  MISCELLANEOUS</v>
          </cell>
        </row>
        <row r="315">
          <cell r="O315" t="str">
            <v>Bank handling charge</v>
          </cell>
          <cell r="P315">
            <v>6092.09</v>
          </cell>
          <cell r="R315" t="str">
            <v xml:space="preserve">  MISCELLANEOUS</v>
          </cell>
        </row>
        <row r="316">
          <cell r="O316" t="str">
            <v>Bank handling charge</v>
          </cell>
          <cell r="P316">
            <v>135156.64000000001</v>
          </cell>
          <cell r="R316" t="str">
            <v xml:space="preserve">  MISCELLANEOUS</v>
          </cell>
        </row>
        <row r="317">
          <cell r="O317" t="str">
            <v>Sundries (documentat</v>
          </cell>
          <cell r="P317">
            <v>132761.91</v>
          </cell>
          <cell r="R317" t="str">
            <v xml:space="preserve">  DUES &amp; SUBSCRIPTIONS</v>
          </cell>
        </row>
        <row r="318">
          <cell r="O318" t="str">
            <v>Maintenance &amp; repair</v>
          </cell>
          <cell r="P318">
            <v>25000</v>
          </cell>
          <cell r="R318" t="str">
            <v xml:space="preserve">  REPAIR &amp; MAINTENANCE</v>
          </cell>
        </row>
        <row r="319">
          <cell r="O319" t="str">
            <v>. fees for recruitement</v>
          </cell>
          <cell r="P319">
            <v>59370</v>
          </cell>
          <cell r="R319" t="str">
            <v xml:space="preserve">  RECRUIT TRAINING EXPENSE</v>
          </cell>
        </row>
        <row r="320">
          <cell r="O320" t="str">
            <v>professional trainin</v>
          </cell>
          <cell r="P320">
            <v>157641.1</v>
          </cell>
          <cell r="R320" t="str">
            <v xml:space="preserve">  ENTERPRISE TAX </v>
          </cell>
        </row>
        <row r="321">
          <cell r="O321" t="str">
            <v>building effort</v>
          </cell>
          <cell r="P321">
            <v>44671.24</v>
          </cell>
          <cell r="R321" t="str">
            <v xml:space="preserve">  ENTERPRISE TAX </v>
          </cell>
        </row>
        <row r="322">
          <cell r="O322" t="str">
            <v>apprenticeship tax</v>
          </cell>
          <cell r="P322">
            <v>45476.6</v>
          </cell>
          <cell r="R322" t="str">
            <v xml:space="preserve">  ENTERPRISE TAX </v>
          </cell>
        </row>
        <row r="323">
          <cell r="O323" t="str">
            <v>business licence tax</v>
          </cell>
          <cell r="P323">
            <v>433359</v>
          </cell>
          <cell r="R323" t="str">
            <v xml:space="preserve">  ENTERPRISE TAX </v>
          </cell>
        </row>
        <row r="324">
          <cell r="O324" t="str">
            <v>tax on land and buil</v>
          </cell>
          <cell r="P324">
            <v>43872.42</v>
          </cell>
          <cell r="R324" t="str">
            <v xml:space="preserve">  ENTERPRISE TAX </v>
          </cell>
        </row>
        <row r="325">
          <cell r="O325" t="str">
            <v>tax on company cars</v>
          </cell>
          <cell r="P325">
            <v>56000</v>
          </cell>
          <cell r="R325" t="str">
            <v xml:space="preserve">  ENTERPRISE TAX </v>
          </cell>
        </row>
        <row r="326">
          <cell r="O326" t="str">
            <v>tax on company cars</v>
          </cell>
          <cell r="P326">
            <v>5051</v>
          </cell>
          <cell r="R326" t="str">
            <v xml:space="preserve">  ENTERPRISE TAX </v>
          </cell>
        </row>
        <row r="327">
          <cell r="O327" t="str">
            <v>contribution to join</v>
          </cell>
          <cell r="P327">
            <v>338340</v>
          </cell>
          <cell r="R327" t="str">
            <v xml:space="preserve">  ENTERPRISE TAX </v>
          </cell>
        </row>
        <row r="328">
          <cell r="O328" t="str">
            <v>other taxes</v>
          </cell>
          <cell r="P328">
            <v>32992.089999999997</v>
          </cell>
          <cell r="R328" t="str">
            <v xml:space="preserve">  ENTERPRISE TAX </v>
          </cell>
        </row>
        <row r="329">
          <cell r="O329" t="str">
            <v>other taxes</v>
          </cell>
          <cell r="P329">
            <v>0</v>
          </cell>
          <cell r="R329" t="str">
            <v xml:space="preserve">  ENTERPRISE TAX </v>
          </cell>
        </row>
        <row r="330">
          <cell r="O330" t="str">
            <v>Wages</v>
          </cell>
          <cell r="P330">
            <v>0</v>
          </cell>
          <cell r="R330" t="str">
            <v xml:space="preserve">  SALARIES</v>
          </cell>
        </row>
        <row r="331">
          <cell r="O331" t="str">
            <v>Wages</v>
          </cell>
          <cell r="P331">
            <v>0</v>
          </cell>
          <cell r="R331" t="str">
            <v xml:space="preserve">  SALARIES</v>
          </cell>
        </row>
        <row r="332">
          <cell r="O332" t="str">
            <v>Wages</v>
          </cell>
          <cell r="P332">
            <v>62622.13</v>
          </cell>
          <cell r="R332" t="str">
            <v xml:space="preserve">  SALARIES</v>
          </cell>
        </row>
        <row r="333">
          <cell r="O333" t="str">
            <v>Wages</v>
          </cell>
          <cell r="P333">
            <v>9803112.6099999994</v>
          </cell>
          <cell r="R333" t="str">
            <v xml:space="preserve">  SALARIES</v>
          </cell>
        </row>
        <row r="334">
          <cell r="O334" t="str">
            <v>Wages</v>
          </cell>
          <cell r="P334">
            <v>33829</v>
          </cell>
          <cell r="R334" t="str">
            <v xml:space="preserve">  SALARIES</v>
          </cell>
        </row>
        <row r="335">
          <cell r="O335" t="str">
            <v>Wages</v>
          </cell>
          <cell r="P335">
            <v>-82596.97</v>
          </cell>
          <cell r="R335" t="str">
            <v xml:space="preserve">  SALARIES</v>
          </cell>
        </row>
        <row r="336">
          <cell r="O336" t="str">
            <v>Wages</v>
          </cell>
          <cell r="P336">
            <v>118406.16</v>
          </cell>
          <cell r="R336" t="str">
            <v xml:space="preserve">  SALARIES</v>
          </cell>
        </row>
        <row r="337">
          <cell r="O337" t="str">
            <v xml:space="preserve">Allowances &amp; fringe </v>
          </cell>
          <cell r="P337">
            <v>9703.5</v>
          </cell>
          <cell r="R337" t="str">
            <v xml:space="preserve">  SALARIES</v>
          </cell>
        </row>
        <row r="338">
          <cell r="O338" t="str">
            <v>Social Security (URS</v>
          </cell>
          <cell r="P338">
            <v>2727549.95</v>
          </cell>
          <cell r="R338" t="str">
            <v xml:space="preserve">  STATUTORY WELFARE EXPENSE</v>
          </cell>
        </row>
        <row r="339">
          <cell r="O339" t="str">
            <v>Social Security (URS</v>
          </cell>
          <cell r="P339">
            <v>3651</v>
          </cell>
          <cell r="R339" t="str">
            <v xml:space="preserve">  STATUTORY WELFARE EXPENSE</v>
          </cell>
        </row>
        <row r="340">
          <cell r="O340" t="str">
            <v>Mutual insurance com</v>
          </cell>
          <cell r="P340">
            <v>19209.96</v>
          </cell>
          <cell r="R340" t="str">
            <v xml:space="preserve">  PENSION PREMIUM &amp; RETIREMENT BENEFIT</v>
          </cell>
        </row>
        <row r="341">
          <cell r="O341" t="str">
            <v>Mutual insurance com</v>
          </cell>
          <cell r="P341">
            <v>0</v>
          </cell>
          <cell r="R341" t="str">
            <v xml:space="preserve">  PENSION PREMIUM &amp; RETIREMENT BENEFIT</v>
          </cell>
        </row>
        <row r="342">
          <cell r="O342" t="str">
            <v>Retirement pension f</v>
          </cell>
          <cell r="P342">
            <v>176290.44</v>
          </cell>
          <cell r="R342" t="str">
            <v xml:space="preserve">  PENSION PREMIUM &amp; RETIREMENT BENEFIT</v>
          </cell>
        </row>
        <row r="343">
          <cell r="O343" t="str">
            <v>Mutual insurance com</v>
          </cell>
          <cell r="P343">
            <v>20207.48</v>
          </cell>
          <cell r="R343" t="str">
            <v xml:space="preserve">  PENSION PREMIUM &amp; RETIREMENT BENEFIT</v>
          </cell>
        </row>
        <row r="344">
          <cell r="O344" t="str">
            <v>Retirement pension f</v>
          </cell>
          <cell r="P344">
            <v>88982.64</v>
          </cell>
          <cell r="R344" t="str">
            <v xml:space="preserve">  PENSION PREMIUM &amp; RETIREMENT BENEFIT</v>
          </cell>
        </row>
        <row r="345">
          <cell r="O345" t="str">
            <v>Retirement pension f</v>
          </cell>
          <cell r="P345">
            <v>6806</v>
          </cell>
          <cell r="R345" t="str">
            <v xml:space="preserve">  PENSION PREMIUM &amp; RETIREMENT BENEFIT</v>
          </cell>
        </row>
        <row r="346">
          <cell r="O346" t="str">
            <v>Retirement pension f</v>
          </cell>
          <cell r="P346">
            <v>-194</v>
          </cell>
          <cell r="R346" t="str">
            <v xml:space="preserve">  PENSION PREMIUM &amp; RETIREMENT BENEFIT</v>
          </cell>
        </row>
        <row r="347">
          <cell r="O347" t="str">
            <v>Mutual insurance com</v>
          </cell>
          <cell r="P347">
            <v>199504.36</v>
          </cell>
          <cell r="R347" t="str">
            <v xml:space="preserve">  PENSION PREMIUM &amp; RETIREMENT BENEFIT</v>
          </cell>
        </row>
        <row r="348">
          <cell r="O348" t="str">
            <v>Retirement pension f</v>
          </cell>
          <cell r="P348">
            <v>116846.33</v>
          </cell>
          <cell r="R348" t="str">
            <v xml:space="preserve">  PENSION PREMIUM &amp; RETIREMENT BENEFIT</v>
          </cell>
        </row>
        <row r="349">
          <cell r="O349" t="str">
            <v>Retirement pension f</v>
          </cell>
          <cell r="P349">
            <v>427674.15</v>
          </cell>
          <cell r="R349" t="str">
            <v xml:space="preserve">  PENSION PREMIUM &amp; RETIREMENT BENEFIT</v>
          </cell>
        </row>
        <row r="350">
          <cell r="O350" t="str">
            <v>Mutual insurance com</v>
          </cell>
          <cell r="P350">
            <v>20413</v>
          </cell>
          <cell r="R350" t="str">
            <v xml:space="preserve">  PENSION PREMIUM &amp; RETIREMENT BENEFIT</v>
          </cell>
        </row>
        <row r="351">
          <cell r="O351" t="str">
            <v>Mutual insurance com</v>
          </cell>
          <cell r="P351">
            <v>-244</v>
          </cell>
          <cell r="R351" t="str">
            <v xml:space="preserve">  PENSION PREMIUM &amp; RETIREMENT BENEFIT</v>
          </cell>
        </row>
        <row r="352">
          <cell r="O352" t="str">
            <v>Unemployment (ASSEDI</v>
          </cell>
          <cell r="P352">
            <v>515489.82</v>
          </cell>
          <cell r="R352" t="str">
            <v xml:space="preserve">  STATUTORY WELFARE EXPENSE</v>
          </cell>
        </row>
        <row r="353">
          <cell r="O353" t="str">
            <v>Unemployment (ASSEDI</v>
          </cell>
          <cell r="P353">
            <v>-1094</v>
          </cell>
          <cell r="R353" t="str">
            <v xml:space="preserve">  STATUTORY WELFARE EXPENSE</v>
          </cell>
        </row>
        <row r="354">
          <cell r="O354" t="str">
            <v>Medical costs</v>
          </cell>
          <cell r="P354">
            <v>19371.84</v>
          </cell>
          <cell r="R354" t="str">
            <v xml:space="preserve">  WELFARE EXPENSE</v>
          </cell>
        </row>
        <row r="355">
          <cell r="O355" t="str">
            <v xml:space="preserve">Allowances &amp; fringe </v>
          </cell>
          <cell r="P355">
            <v>0</v>
          </cell>
          <cell r="R355" t="str">
            <v xml:space="preserve">  SALARIES</v>
          </cell>
        </row>
        <row r="356">
          <cell r="O356" t="str">
            <v>Other social charges</v>
          </cell>
          <cell r="P356">
            <v>-31200</v>
          </cell>
          <cell r="R356" t="str">
            <v xml:space="preserve">  SALARIES</v>
          </cell>
        </row>
        <row r="357">
          <cell r="O357" t="str">
            <v>Other social charges</v>
          </cell>
          <cell r="P357">
            <v>0</v>
          </cell>
          <cell r="R357" t="str">
            <v xml:space="preserve">  STATUTORY WELFARE EXPENSE</v>
          </cell>
        </row>
        <row r="358">
          <cell r="O358" t="str">
            <v>Other social charges</v>
          </cell>
          <cell r="P358">
            <v>21460.46</v>
          </cell>
          <cell r="R358" t="str">
            <v xml:space="preserve">  STATUTORY WELFARE EXPENSE</v>
          </cell>
        </row>
        <row r="359">
          <cell r="O359" t="str">
            <v>Other social charges</v>
          </cell>
          <cell r="P359">
            <v>135821.04</v>
          </cell>
          <cell r="R359" t="str">
            <v xml:space="preserve">  STATUTORY WELFARE EXPENSE</v>
          </cell>
        </row>
        <row r="360">
          <cell r="O360" t="str">
            <v>Irrecoverable claims</v>
          </cell>
          <cell r="P360">
            <v>435873.77</v>
          </cell>
          <cell r="R360" t="str">
            <v xml:space="preserve">  BAD DEBT EXPENSE(Sales)</v>
          </cell>
        </row>
        <row r="361">
          <cell r="O361" t="str">
            <v>Autres charges gestion courante</v>
          </cell>
          <cell r="P361">
            <v>11698.29</v>
          </cell>
          <cell r="R361" t="str">
            <v xml:space="preserve">  MISCELLANEOUS</v>
          </cell>
        </row>
        <row r="362">
          <cell r="O362" t="str">
            <v>Interest on overdraf</v>
          </cell>
          <cell r="P362">
            <v>5467.4</v>
          </cell>
          <cell r="R362" t="str">
            <v xml:space="preserve">  INTEREST &amp; DISCOUNTS EXPENSE</v>
          </cell>
        </row>
        <row r="363">
          <cell r="O363" t="str">
            <v>Interests on loans</v>
          </cell>
          <cell r="P363">
            <v>323140.58</v>
          </cell>
          <cell r="R363" t="str">
            <v xml:space="preserve">  INTEREST &amp; DISCOUNTS EXPENSE</v>
          </cell>
        </row>
        <row r="364">
          <cell r="O364" t="str">
            <v>Discounts allowed</v>
          </cell>
          <cell r="P364">
            <v>8302.09</v>
          </cell>
          <cell r="R364" t="str">
            <v xml:space="preserve">  INTEREST &amp; DISCOUNTS EXPENSE</v>
          </cell>
        </row>
        <row r="365">
          <cell r="O365" t="str">
            <v>Discounts allowed</v>
          </cell>
          <cell r="P365">
            <v>1614058.89</v>
          </cell>
          <cell r="R365" t="str">
            <v xml:space="preserve">  INTEREST &amp; DISCOUNTS EXPENSE</v>
          </cell>
        </row>
        <row r="366">
          <cell r="O366" t="str">
            <v>Discounts allowed</v>
          </cell>
          <cell r="P366">
            <v>43315</v>
          </cell>
          <cell r="R366" t="str">
            <v xml:space="preserve">  INTEREST &amp; DISCOUNTS EXPENSE</v>
          </cell>
        </row>
        <row r="367">
          <cell r="O367" t="str">
            <v>LOSS ON EXCHANGE</v>
          </cell>
          <cell r="P367">
            <v>1547.35</v>
          </cell>
          <cell r="R367" t="str">
            <v xml:space="preserve">  EXCHANGE LOSS </v>
          </cell>
        </row>
        <row r="368">
          <cell r="O368" t="str">
            <v>LOSS ON EXCHANGE</v>
          </cell>
          <cell r="P368">
            <v>89600.960000000006</v>
          </cell>
          <cell r="R368" t="str">
            <v xml:space="preserve">  EXCHANGE LOSS </v>
          </cell>
        </row>
        <row r="369">
          <cell r="O369" t="str">
            <v>LOSS ON EXCHANGE</v>
          </cell>
          <cell r="P369">
            <v>0.16</v>
          </cell>
          <cell r="R369" t="str">
            <v xml:space="preserve">  EXCHANGE LOSS </v>
          </cell>
        </row>
        <row r="370">
          <cell r="O370" t="str">
            <v>LOSS ON EXCHANGE</v>
          </cell>
          <cell r="P370">
            <v>9196.2199999999993</v>
          </cell>
          <cell r="R370" t="str">
            <v xml:space="preserve">  EXCHANGE LOSS </v>
          </cell>
        </row>
        <row r="371">
          <cell r="O371" t="str">
            <v>LOSS ON EXCHANGE</v>
          </cell>
          <cell r="P371">
            <v>0</v>
          </cell>
          <cell r="R371" t="str">
            <v xml:space="preserve">  EXCHANGE LOSS </v>
          </cell>
        </row>
        <row r="372">
          <cell r="O372" t="str">
            <v>LOSS ON EXCHANGE</v>
          </cell>
          <cell r="P372">
            <v>0.7</v>
          </cell>
          <cell r="R372" t="str">
            <v xml:space="preserve">  EXCHANGE LOSS </v>
          </cell>
        </row>
        <row r="373">
          <cell r="O373" t="str">
            <v>Others extraordinary cha</v>
          </cell>
          <cell r="P373">
            <v>101.97</v>
          </cell>
          <cell r="R373" t="str">
            <v xml:space="preserve">  OTHER EXTRAORDINARY LOSS</v>
          </cell>
        </row>
        <row r="374">
          <cell r="O374" t="str">
            <v>Penalties</v>
          </cell>
          <cell r="P374">
            <v>108488</v>
          </cell>
          <cell r="R374" t="str">
            <v xml:space="preserve">  OTHER EXTRAORDINARY LOSS</v>
          </cell>
        </row>
        <row r="375">
          <cell r="O375" t="str">
            <v>VNC ON CAPITAL ITEMS</v>
          </cell>
          <cell r="P375">
            <v>477.78000000000065</v>
          </cell>
          <cell r="R375" t="str">
            <v xml:space="preserve">  LOSS ON SALE OF FIXED ASSETS</v>
          </cell>
        </row>
        <row r="376">
          <cell r="O376" t="str">
            <v>VNC ON CAPITAL ITEMS</v>
          </cell>
          <cell r="P376">
            <v>4337.9799999999996</v>
          </cell>
          <cell r="R376" t="str">
            <v xml:space="preserve">  FIXED ASSETS SCRAP LOSS</v>
          </cell>
        </row>
        <row r="377">
          <cell r="O377" t="str">
            <v>on fixed assets</v>
          </cell>
          <cell r="P377">
            <v>187807.54</v>
          </cell>
          <cell r="R377" t="str">
            <v xml:space="preserve">  DEPRECIATION</v>
          </cell>
        </row>
        <row r="378">
          <cell r="O378" t="str">
            <v>on fixed assets</v>
          </cell>
          <cell r="P378">
            <v>668368.57999999996</v>
          </cell>
          <cell r="R378" t="str">
            <v xml:space="preserve">  DEPRECIATION</v>
          </cell>
        </row>
        <row r="379">
          <cell r="O379" t="str">
            <v>For cost of guarante</v>
          </cell>
          <cell r="P379">
            <v>2432000</v>
          </cell>
          <cell r="R379" t="str">
            <v xml:space="preserve">  PROVISION FOR WARRANTY COST(P/L)</v>
          </cell>
        </row>
        <row r="380">
          <cell r="O380" t="str">
            <v>For retirement</v>
          </cell>
          <cell r="P380">
            <v>160059</v>
          </cell>
          <cell r="R380" t="str">
            <v xml:space="preserve">  PROVISION FOR SEVERANCE RETIREMENT BENEFITS</v>
          </cell>
        </row>
        <row r="381">
          <cell r="O381" t="str">
            <v>For other risks</v>
          </cell>
          <cell r="P381">
            <v>2369000</v>
          </cell>
          <cell r="R381" t="str">
            <v xml:space="preserve">  MISCELLANEOUS LOSS </v>
          </cell>
        </row>
        <row r="382">
          <cell r="O382" t="str">
            <v>For dep stock</v>
          </cell>
          <cell r="P382">
            <v>28753</v>
          </cell>
          <cell r="R382" t="str">
            <v xml:space="preserve">  INVENTORY SCRAP LOSS</v>
          </cell>
        </row>
        <row r="383">
          <cell r="O383" t="str">
            <v>For dep stock</v>
          </cell>
          <cell r="P383">
            <v>9566</v>
          </cell>
          <cell r="R383" t="str">
            <v xml:space="preserve">  INVENTORY SCRAP LOSS</v>
          </cell>
        </row>
        <row r="384">
          <cell r="O384" t="str">
            <v>For dep stock</v>
          </cell>
          <cell r="P384">
            <v>612199</v>
          </cell>
          <cell r="R384" t="str">
            <v xml:space="preserve">  INVENTORY SCRAP LOSS</v>
          </cell>
        </row>
        <row r="385">
          <cell r="O385" t="str">
            <v>For dep stock</v>
          </cell>
          <cell r="P385">
            <v>15016</v>
          </cell>
          <cell r="R385" t="str">
            <v xml:space="preserve">  INVENTORY SCRAP LOSS</v>
          </cell>
        </row>
        <row r="386">
          <cell r="O386" t="str">
            <v>For dep stock</v>
          </cell>
          <cell r="P386">
            <v>129</v>
          </cell>
          <cell r="R386" t="str">
            <v xml:space="preserve">  INVENTORY SCRAP LOSS</v>
          </cell>
        </row>
        <row r="387">
          <cell r="O387" t="str">
            <v>For dep customers</v>
          </cell>
          <cell r="P387">
            <v>324967.84999999998</v>
          </cell>
          <cell r="R387" t="str">
            <v xml:space="preserve">  BAD DEBT EXPENSE(Sales)</v>
          </cell>
        </row>
        <row r="388">
          <cell r="O388" t="str">
            <v>For financial risks &amp; charges</v>
          </cell>
          <cell r="P388">
            <v>94223.16</v>
          </cell>
          <cell r="R388" t="str">
            <v xml:space="preserve">  EXCHANGE LOSS </v>
          </cell>
        </row>
        <row r="389">
          <cell r="O389" t="str">
            <v>Others extraordinary cha</v>
          </cell>
          <cell r="P389">
            <v>5067.91</v>
          </cell>
          <cell r="R389" t="str">
            <v xml:space="preserve">  OTHER EXTRAORDINARY LOSS</v>
          </cell>
        </row>
        <row r="390">
          <cell r="O390" t="str">
            <v>Others extraordinary cha</v>
          </cell>
          <cell r="P390">
            <v>0</v>
          </cell>
          <cell r="R390" t="str">
            <v xml:space="preserve">  OTHER EXTRAORDINARY LOSS</v>
          </cell>
        </row>
        <row r="391">
          <cell r="O391" t="str">
            <v>Corporation tax</v>
          </cell>
          <cell r="P391">
            <v>1967470</v>
          </cell>
          <cell r="R391" t="str">
            <v xml:space="preserve">  INCOME TAXES CURRENT</v>
          </cell>
        </row>
        <row r="392">
          <cell r="O392" t="str">
            <v>fr oem other</v>
          </cell>
          <cell r="P392">
            <v>-248000</v>
          </cell>
          <cell r="R392" t="str">
            <v xml:space="preserve">  SALES</v>
          </cell>
          <cell r="S392" t="str">
            <v xml:space="preserve">  SALES</v>
          </cell>
        </row>
        <row r="393">
          <cell r="O393" t="str">
            <v>servicefr lux other</v>
          </cell>
          <cell r="P393">
            <v>-56607.5</v>
          </cell>
          <cell r="R393" t="str">
            <v xml:space="preserve">  SALES</v>
          </cell>
          <cell r="S393" t="str">
            <v xml:space="preserve">  SALES</v>
          </cell>
        </row>
        <row r="394">
          <cell r="O394" t="str">
            <v>serviceexp lux other</v>
          </cell>
          <cell r="P394">
            <v>0</v>
          </cell>
          <cell r="R394" t="str">
            <v xml:space="preserve">  SALES</v>
          </cell>
          <cell r="S394" t="str">
            <v xml:space="preserve">  SALES</v>
          </cell>
        </row>
        <row r="395">
          <cell r="O395" t="str">
            <v>servicefr alp other</v>
          </cell>
          <cell r="P395">
            <v>-326146.92</v>
          </cell>
          <cell r="R395" t="str">
            <v xml:space="preserve">  SALES</v>
          </cell>
          <cell r="S395" t="str">
            <v xml:space="preserve">  SALES</v>
          </cell>
        </row>
        <row r="396">
          <cell r="O396" t="str">
            <v>serviceexp alp other</v>
          </cell>
          <cell r="P396">
            <v>-1807.5</v>
          </cell>
          <cell r="R396" t="str">
            <v xml:space="preserve">  SALES</v>
          </cell>
          <cell r="S396" t="str">
            <v xml:space="preserve">  SALES</v>
          </cell>
        </row>
        <row r="397">
          <cell r="O397" t="str">
            <v>servicefr alp other</v>
          </cell>
          <cell r="P397">
            <v>-7222.5</v>
          </cell>
          <cell r="R397" t="str">
            <v xml:space="preserve">  SALES</v>
          </cell>
          <cell r="S397" t="str">
            <v xml:space="preserve">  SALES</v>
          </cell>
        </row>
        <row r="398">
          <cell r="O398" t="str">
            <v>servicefr oem other</v>
          </cell>
          <cell r="P398">
            <v>-33510.19</v>
          </cell>
          <cell r="R398" t="str">
            <v xml:space="preserve">  SALES</v>
          </cell>
          <cell r="S398" t="str">
            <v xml:space="preserve">  SALES</v>
          </cell>
        </row>
        <row r="399">
          <cell r="O399" t="str">
            <v>servicefr oem cons</v>
          </cell>
          <cell r="P399">
            <v>-7239.22</v>
          </cell>
          <cell r="Q399" t="str">
            <v>ALPINE-JAPAN</v>
          </cell>
          <cell r="R399" t="str">
            <v xml:space="preserve">  SALES(CONS)</v>
          </cell>
          <cell r="S399" t="str">
            <v>ALPINE-JAPAN  SALES(CONS)</v>
          </cell>
        </row>
        <row r="400">
          <cell r="O400" t="str">
            <v>servicefr alp cons</v>
          </cell>
          <cell r="P400">
            <v>-1245</v>
          </cell>
          <cell r="Q400" t="str">
            <v>AOGE</v>
          </cell>
          <cell r="R400" t="str">
            <v xml:space="preserve">  SALES(CONS)</v>
          </cell>
          <cell r="S400" t="str">
            <v>AOGE  SALES(CONS)</v>
          </cell>
        </row>
        <row r="401">
          <cell r="O401" t="str">
            <v>servicefr alp cons</v>
          </cell>
          <cell r="P401">
            <v>-19505</v>
          </cell>
          <cell r="Q401" t="str">
            <v>AOSP</v>
          </cell>
          <cell r="R401" t="str">
            <v xml:space="preserve">  SALES(CONS)</v>
          </cell>
          <cell r="S401" t="str">
            <v>AOSP  SALES(CONS)</v>
          </cell>
        </row>
        <row r="402">
          <cell r="O402" t="str">
            <v>servicefr oem other</v>
          </cell>
          <cell r="P402">
            <v>-49822.3</v>
          </cell>
          <cell r="R402" t="str">
            <v xml:space="preserve">  SALES</v>
          </cell>
          <cell r="S402" t="str">
            <v xml:space="preserve">  SALES</v>
          </cell>
        </row>
        <row r="403">
          <cell r="O403" t="str">
            <v>servicefr alp cons</v>
          </cell>
          <cell r="P403">
            <v>-204695.44</v>
          </cell>
          <cell r="Q403" t="str">
            <v>ALPINE-JAPAN</v>
          </cell>
          <cell r="R403" t="str">
            <v xml:space="preserve">  SALES(CONS)</v>
          </cell>
          <cell r="S403" t="str">
            <v>ALPINE-JAPAN  SALES(CONS)</v>
          </cell>
        </row>
        <row r="404">
          <cell r="O404" t="str">
            <v>servicefr lux other</v>
          </cell>
          <cell r="P404">
            <v>-12676.42</v>
          </cell>
          <cell r="R404" t="str">
            <v xml:space="preserve">  SALES</v>
          </cell>
          <cell r="S404" t="str">
            <v xml:space="preserve">  SALES</v>
          </cell>
        </row>
        <row r="405">
          <cell r="O405" t="str">
            <v>other income</v>
          </cell>
          <cell r="P405">
            <v>-2012310.24</v>
          </cell>
          <cell r="Q405" t="str">
            <v>AOEU</v>
          </cell>
          <cell r="R405" t="str">
            <v xml:space="preserve">  MISCELLANEOUS INCOME(CONS)</v>
          </cell>
          <cell r="S405" t="str">
            <v>AOEU  MISCELLANEOUS INCOME(CONS)706</v>
          </cell>
        </row>
        <row r="406">
          <cell r="O406" t="str">
            <v>other oem income</v>
          </cell>
          <cell r="P406">
            <v>0</v>
          </cell>
          <cell r="Q406" t="str">
            <v>ALPINE-JAPAN</v>
          </cell>
          <cell r="R406" t="str">
            <v xml:space="preserve">  MISCELLANEOUS INCOME(CONS)</v>
          </cell>
          <cell r="S406" t="str">
            <v>ALPINE-JAPAN  MISCELLANEOUS INCOME(CONS)706</v>
          </cell>
        </row>
        <row r="407">
          <cell r="O407" t="str">
            <v>servicefr alp cons</v>
          </cell>
          <cell r="P407">
            <v>-5309.78</v>
          </cell>
          <cell r="Q407" t="str">
            <v>AOUK</v>
          </cell>
          <cell r="R407" t="str">
            <v xml:space="preserve">  SALES(CONS)</v>
          </cell>
          <cell r="S407" t="str">
            <v>AOUK  SALES(CONS)706</v>
          </cell>
        </row>
        <row r="408">
          <cell r="P408">
            <v>0</v>
          </cell>
          <cell r="R408" t="str">
            <v xml:space="preserve">  SALES</v>
          </cell>
          <cell r="S408" t="str">
            <v xml:space="preserve">  SALES</v>
          </cell>
        </row>
        <row r="409">
          <cell r="O409" t="str">
            <v>fr lux other</v>
          </cell>
          <cell r="P409">
            <v>-2833909.61</v>
          </cell>
          <cell r="R409" t="str">
            <v xml:space="preserve">  SALES</v>
          </cell>
          <cell r="S409" t="str">
            <v xml:space="preserve">  SALES</v>
          </cell>
        </row>
        <row r="410">
          <cell r="P410">
            <v>0</v>
          </cell>
          <cell r="R410" t="str">
            <v xml:space="preserve">  SALES</v>
          </cell>
          <cell r="S410" t="str">
            <v xml:space="preserve">  SALES</v>
          </cell>
        </row>
        <row r="411">
          <cell r="O411" t="str">
            <v>exp oem cons</v>
          </cell>
          <cell r="P411">
            <v>-3990</v>
          </cell>
          <cell r="Q411" t="str">
            <v>ALPINE-JAPAN</v>
          </cell>
          <cell r="R411" t="str">
            <v xml:space="preserve">  SALES(CONS)</v>
          </cell>
          <cell r="S411" t="str">
            <v>ALPINE-JAPAN  SALES(CONS)</v>
          </cell>
        </row>
        <row r="412">
          <cell r="O412" t="str">
            <v>exp oem cons</v>
          </cell>
          <cell r="P412">
            <v>-2325</v>
          </cell>
          <cell r="Q412" t="str">
            <v>AOGE</v>
          </cell>
          <cell r="R412" t="str">
            <v xml:space="preserve">  SALES(CONS)</v>
          </cell>
          <cell r="S412" t="str">
            <v>AOGE  SALES(CONS)</v>
          </cell>
        </row>
        <row r="413">
          <cell r="O413" t="str">
            <v>fr oem other</v>
          </cell>
          <cell r="P413">
            <v>-107888713.85000001</v>
          </cell>
          <cell r="R413" t="str">
            <v xml:space="preserve">  SALES</v>
          </cell>
          <cell r="S413" t="str">
            <v xml:space="preserve">  SALES</v>
          </cell>
        </row>
        <row r="414">
          <cell r="O414" t="str">
            <v>fr alp other</v>
          </cell>
          <cell r="P414">
            <v>-128122293.37</v>
          </cell>
          <cell r="R414" t="str">
            <v xml:space="preserve">  SALES</v>
          </cell>
          <cell r="S414" t="str">
            <v xml:space="preserve">  SALES</v>
          </cell>
        </row>
        <row r="415">
          <cell r="O415" t="str">
            <v>fr alp nav other</v>
          </cell>
          <cell r="P415">
            <v>-18858624.640000001</v>
          </cell>
          <cell r="R415" t="str">
            <v xml:space="preserve">  SALES</v>
          </cell>
          <cell r="S415" t="str">
            <v xml:space="preserve">  SALES</v>
          </cell>
        </row>
        <row r="416">
          <cell r="O416" t="str">
            <v>fr alp other</v>
          </cell>
          <cell r="P416">
            <v>-2944636.96</v>
          </cell>
          <cell r="R416" t="str">
            <v xml:space="preserve">  SALES</v>
          </cell>
          <cell r="S416" t="str">
            <v xml:space="preserve">  SALES</v>
          </cell>
        </row>
        <row r="417">
          <cell r="O417" t="str">
            <v>serviceexp lux other</v>
          </cell>
          <cell r="P417">
            <v>0</v>
          </cell>
          <cell r="R417" t="str">
            <v xml:space="preserve">  SALES</v>
          </cell>
          <cell r="S417" t="str">
            <v xml:space="preserve">  SALES</v>
          </cell>
        </row>
        <row r="418">
          <cell r="O418" t="str">
            <v>serviceexp oem cons</v>
          </cell>
          <cell r="P418">
            <v>-116</v>
          </cell>
          <cell r="Q418" t="str">
            <v>AOGE</v>
          </cell>
          <cell r="R418" t="str">
            <v xml:space="preserve">  SALES(CONS)</v>
          </cell>
          <cell r="S418" t="str">
            <v>AOGE  SALES(CONS)</v>
          </cell>
        </row>
        <row r="419">
          <cell r="O419" t="str">
            <v>servicefr alp other</v>
          </cell>
          <cell r="P419">
            <v>-1238914.1499999999</v>
          </cell>
          <cell r="R419" t="str">
            <v xml:space="preserve">  SALES</v>
          </cell>
          <cell r="S419" t="str">
            <v xml:space="preserve">  SALES</v>
          </cell>
        </row>
        <row r="420">
          <cell r="O420" t="str">
            <v>servicefr lux other</v>
          </cell>
          <cell r="P420">
            <v>-134179.89000000001</v>
          </cell>
          <cell r="R420" t="str">
            <v xml:space="preserve">  SALES</v>
          </cell>
          <cell r="S420" t="str">
            <v xml:space="preserve">  SALES</v>
          </cell>
        </row>
        <row r="421">
          <cell r="O421" t="str">
            <v>servicefr nav other</v>
          </cell>
          <cell r="P421">
            <v>-56506.15</v>
          </cell>
          <cell r="R421" t="str">
            <v xml:space="preserve">  SALES</v>
          </cell>
          <cell r="S421" t="str">
            <v xml:space="preserve">  SALES</v>
          </cell>
        </row>
        <row r="422">
          <cell r="O422" t="str">
            <v>servicefr oem other</v>
          </cell>
          <cell r="P422">
            <v>-15453.7</v>
          </cell>
          <cell r="R422" t="str">
            <v xml:space="preserve">  SALES</v>
          </cell>
          <cell r="S422" t="str">
            <v xml:space="preserve">  SALES</v>
          </cell>
        </row>
        <row r="423">
          <cell r="O423" t="str">
            <v>serviceexp alp other</v>
          </cell>
          <cell r="P423">
            <v>-4568.1000000000004</v>
          </cell>
          <cell r="R423" t="str">
            <v xml:space="preserve">  SALES</v>
          </cell>
          <cell r="S423" t="str">
            <v xml:space="preserve">  SALES</v>
          </cell>
        </row>
        <row r="424">
          <cell r="O424" t="str">
            <v>serviceexp lux other</v>
          </cell>
          <cell r="P424">
            <v>-49.6</v>
          </cell>
          <cell r="R424" t="str">
            <v xml:space="preserve">  SALES</v>
          </cell>
          <cell r="S424" t="str">
            <v xml:space="preserve">  SALES</v>
          </cell>
        </row>
        <row r="425">
          <cell r="O425" t="str">
            <v>serviceexp lux other</v>
          </cell>
          <cell r="P425">
            <v>-110</v>
          </cell>
          <cell r="R425" t="str">
            <v xml:space="preserve">  SALES</v>
          </cell>
          <cell r="S425" t="str">
            <v xml:space="preserve">  SALES</v>
          </cell>
        </row>
        <row r="426">
          <cell r="O426" t="str">
            <v>charges transf other</v>
          </cell>
          <cell r="P426">
            <v>0</v>
          </cell>
          <cell r="R426" t="str">
            <v xml:space="preserve">  MISCELLANEOUS INCOME</v>
          </cell>
          <cell r="S426" t="str">
            <v xml:space="preserve">  MISCELLANEOUS INCOME707</v>
          </cell>
        </row>
        <row r="427">
          <cell r="O427" t="str">
            <v>exp alp cons</v>
          </cell>
          <cell r="P427">
            <v>0</v>
          </cell>
          <cell r="Q427" t="str">
            <v>AOGE</v>
          </cell>
          <cell r="R427" t="str">
            <v xml:space="preserve">  SALES(CONS)</v>
          </cell>
          <cell r="S427" t="str">
            <v>AOGE  SALES(CONS)</v>
          </cell>
        </row>
        <row r="428">
          <cell r="O428" t="str">
            <v>exp alp other</v>
          </cell>
          <cell r="P428">
            <v>-441081.56</v>
          </cell>
          <cell r="R428" t="str">
            <v xml:space="preserve">  SALES</v>
          </cell>
          <cell r="S428" t="str">
            <v xml:space="preserve">  SALES</v>
          </cell>
        </row>
        <row r="429">
          <cell r="O429" t="str">
            <v>exp alp nav cons</v>
          </cell>
          <cell r="P429">
            <v>-2300</v>
          </cell>
          <cell r="Q429" t="str">
            <v>AOGE</v>
          </cell>
          <cell r="R429" t="str">
            <v xml:space="preserve">  SALES(CONS)</v>
          </cell>
          <cell r="S429" t="str">
            <v>AOGE  SALES(CONS)</v>
          </cell>
        </row>
        <row r="430">
          <cell r="O430" t="str">
            <v>exp alp nav cons</v>
          </cell>
          <cell r="P430">
            <v>-2300</v>
          </cell>
          <cell r="Q430" t="str">
            <v>AOUK</v>
          </cell>
          <cell r="R430" t="str">
            <v xml:space="preserve">  SALES(CONS)</v>
          </cell>
          <cell r="S430" t="str">
            <v>AOUK  SALES(CONS)</v>
          </cell>
        </row>
        <row r="431">
          <cell r="O431" t="str">
            <v>exp alp other</v>
          </cell>
          <cell r="P431">
            <v>0</v>
          </cell>
          <cell r="R431" t="str">
            <v xml:space="preserve">  SALES</v>
          </cell>
          <cell r="S431" t="str">
            <v xml:space="preserve">  SALES</v>
          </cell>
        </row>
        <row r="432">
          <cell r="O432" t="str">
            <v>exp alp cons</v>
          </cell>
          <cell r="P432">
            <v>0</v>
          </cell>
          <cell r="Q432" t="str">
            <v>AOEU</v>
          </cell>
          <cell r="R432" t="str">
            <v xml:space="preserve">  SALES(CONS)</v>
          </cell>
          <cell r="S432" t="str">
            <v>AOEU  SALES(CONS)</v>
          </cell>
        </row>
        <row r="433">
          <cell r="O433" t="str">
            <v>exp alp cons</v>
          </cell>
          <cell r="P433">
            <v>0</v>
          </cell>
          <cell r="Q433" t="str">
            <v>ALPINE-JAPAN</v>
          </cell>
          <cell r="R433" t="str">
            <v xml:space="preserve">  SALES(CONS)</v>
          </cell>
          <cell r="S433" t="str">
            <v>ALPINE-JAPAN  SALES(CONS)</v>
          </cell>
        </row>
        <row r="434">
          <cell r="O434" t="str">
            <v>exp alp nav cons</v>
          </cell>
          <cell r="P434">
            <v>-4600</v>
          </cell>
          <cell r="Q434" t="str">
            <v>AOGE</v>
          </cell>
          <cell r="R434" t="str">
            <v xml:space="preserve">  SALES(CONS)</v>
          </cell>
          <cell r="S434" t="str">
            <v>AOGE  SALES(CONS)</v>
          </cell>
        </row>
        <row r="435">
          <cell r="O435" t="str">
            <v>exp alp nav cons</v>
          </cell>
          <cell r="P435">
            <v>-4600</v>
          </cell>
          <cell r="Q435" t="str">
            <v>AOSP</v>
          </cell>
          <cell r="R435" t="str">
            <v xml:space="preserve">  SALES(CONS)</v>
          </cell>
          <cell r="S435" t="str">
            <v>AOSP  SALES(CONS)</v>
          </cell>
        </row>
        <row r="436">
          <cell r="O436" t="str">
            <v>exp alp nav cons</v>
          </cell>
          <cell r="P436">
            <v>-3810</v>
          </cell>
          <cell r="Q436" t="str">
            <v>AOGE</v>
          </cell>
          <cell r="R436" t="str">
            <v xml:space="preserve">  SALES(CONS)</v>
          </cell>
          <cell r="S436" t="str">
            <v>AOGE  SALES(CONS)</v>
          </cell>
        </row>
        <row r="437">
          <cell r="O437" t="str">
            <v>other income</v>
          </cell>
          <cell r="P437">
            <v>-337</v>
          </cell>
          <cell r="R437" t="str">
            <v xml:space="preserve">  MISCELLANEOUS INCOME</v>
          </cell>
          <cell r="S437" t="str">
            <v xml:space="preserve">  MISCELLANEOUS INCOME</v>
          </cell>
        </row>
        <row r="438">
          <cell r="O438" t="str">
            <v>serviceexp alp other</v>
          </cell>
          <cell r="P438">
            <v>-1367.6</v>
          </cell>
          <cell r="R438" t="str">
            <v xml:space="preserve">  SALES</v>
          </cell>
          <cell r="S438" t="str">
            <v xml:space="preserve">  SALES</v>
          </cell>
        </row>
        <row r="439">
          <cell r="O439" t="str">
            <v>serviceexp oem other</v>
          </cell>
          <cell r="P439">
            <v>-1822</v>
          </cell>
          <cell r="R439" t="str">
            <v xml:space="preserve">  SALES</v>
          </cell>
          <cell r="S439" t="str">
            <v xml:space="preserve">  SALES</v>
          </cell>
        </row>
        <row r="440">
          <cell r="O440" t="str">
            <v>serviceexp alp other</v>
          </cell>
          <cell r="P440">
            <v>-100</v>
          </cell>
          <cell r="R440" t="str">
            <v xml:space="preserve">  SALES</v>
          </cell>
          <cell r="S440" t="str">
            <v xml:space="preserve">  SALES</v>
          </cell>
        </row>
        <row r="441">
          <cell r="O441" t="str">
            <v>serviceexp lux other</v>
          </cell>
          <cell r="P441">
            <v>0</v>
          </cell>
          <cell r="R441" t="str">
            <v xml:space="preserve">  SALES</v>
          </cell>
          <cell r="S441" t="str">
            <v xml:space="preserve">  SALES</v>
          </cell>
        </row>
        <row r="442">
          <cell r="O442" t="str">
            <v>serviceexp oem cons</v>
          </cell>
          <cell r="P442">
            <v>-40</v>
          </cell>
          <cell r="Q442" t="str">
            <v>AOGE</v>
          </cell>
          <cell r="R442" t="str">
            <v xml:space="preserve">  SALES(CONS)</v>
          </cell>
          <cell r="S442" t="str">
            <v>AOGE  SALES(CONS)</v>
          </cell>
        </row>
        <row r="443">
          <cell r="O443" t="str">
            <v>servicefr alp other</v>
          </cell>
          <cell r="P443">
            <v>-141660.5</v>
          </cell>
          <cell r="R443" t="str">
            <v xml:space="preserve">  SALES</v>
          </cell>
          <cell r="S443" t="str">
            <v xml:space="preserve">  SALES</v>
          </cell>
        </row>
        <row r="444">
          <cell r="O444" t="str">
            <v>servicefr oem other</v>
          </cell>
          <cell r="P444">
            <v>-5019.3</v>
          </cell>
          <cell r="R444" t="str">
            <v xml:space="preserve">  SALES</v>
          </cell>
          <cell r="S444" t="str">
            <v xml:space="preserve">  SALES</v>
          </cell>
        </row>
        <row r="445">
          <cell r="O445" t="str">
            <v>servicefr alp other</v>
          </cell>
          <cell r="P445">
            <v>-149338.26999999999</v>
          </cell>
          <cell r="R445" t="str">
            <v xml:space="preserve">  SALES</v>
          </cell>
          <cell r="S445" t="str">
            <v xml:space="preserve">  SALES</v>
          </cell>
        </row>
        <row r="446">
          <cell r="O446" t="str">
            <v>servicefr lux other</v>
          </cell>
          <cell r="P446">
            <v>-18988.2</v>
          </cell>
          <cell r="R446" t="str">
            <v xml:space="preserve">  SALES</v>
          </cell>
          <cell r="S446" t="str">
            <v xml:space="preserve">  SALES</v>
          </cell>
        </row>
        <row r="447">
          <cell r="O447" t="str">
            <v>servicefr nav other</v>
          </cell>
          <cell r="P447">
            <v>-1784.1</v>
          </cell>
          <cell r="R447" t="str">
            <v xml:space="preserve">  SALES</v>
          </cell>
          <cell r="S447" t="str">
            <v xml:space="preserve">  SALES</v>
          </cell>
        </row>
        <row r="448">
          <cell r="O448" t="str">
            <v>servicefr nav other</v>
          </cell>
          <cell r="P448">
            <v>-720</v>
          </cell>
          <cell r="R448" t="str">
            <v xml:space="preserve">  SALES</v>
          </cell>
          <cell r="S448" t="str">
            <v xml:space="preserve">  SALES</v>
          </cell>
        </row>
        <row r="449">
          <cell r="O449" t="str">
            <v>fr lux other</v>
          </cell>
          <cell r="P449">
            <v>80077.53</v>
          </cell>
          <cell r="R449" t="str">
            <v xml:space="preserve">  SALES</v>
          </cell>
          <cell r="S449" t="str">
            <v xml:space="preserve">  SALES</v>
          </cell>
        </row>
        <row r="450">
          <cell r="O450" t="str">
            <v>fr alp other</v>
          </cell>
          <cell r="P450">
            <v>290980.17</v>
          </cell>
          <cell r="R450" t="str">
            <v xml:space="preserve">  SALES</v>
          </cell>
          <cell r="S450" t="str">
            <v xml:space="preserve">  SALES</v>
          </cell>
        </row>
        <row r="451">
          <cell r="O451" t="str">
            <v>fr alp other</v>
          </cell>
          <cell r="P451">
            <v>3359926.17</v>
          </cell>
          <cell r="R451" t="str">
            <v xml:space="preserve">  SALES</v>
          </cell>
          <cell r="S451" t="str">
            <v xml:space="preserve">  SALES</v>
          </cell>
        </row>
        <row r="452">
          <cell r="O452" t="str">
            <v>fr alp nav other</v>
          </cell>
          <cell r="P452">
            <v>25208.84</v>
          </cell>
          <cell r="R452" t="str">
            <v xml:space="preserve">  SALES</v>
          </cell>
          <cell r="S452" t="str">
            <v xml:space="preserve">  SALES</v>
          </cell>
        </row>
        <row r="453">
          <cell r="O453" t="str">
            <v>fr oem other</v>
          </cell>
          <cell r="P453">
            <v>410000</v>
          </cell>
          <cell r="R453" t="str">
            <v xml:space="preserve">  SALES</v>
          </cell>
          <cell r="S453" t="str">
            <v xml:space="preserve">  SALES</v>
          </cell>
        </row>
        <row r="454">
          <cell r="O454" t="str">
            <v>prod fixed assets</v>
          </cell>
          <cell r="P454">
            <v>-11156.84</v>
          </cell>
          <cell r="R454" t="str">
            <v xml:space="preserve">  MISCELLANEOUS INCOME</v>
          </cell>
          <cell r="S454" t="str">
            <v xml:space="preserve">  MISCELLANEOUS INCOME722</v>
          </cell>
        </row>
        <row r="455">
          <cell r="O455" t="str">
            <v>other income</v>
          </cell>
          <cell r="P455">
            <v>-145.68</v>
          </cell>
          <cell r="R455" t="str">
            <v xml:space="preserve">  MISCELLANEOUS INCOME</v>
          </cell>
          <cell r="S455" t="str">
            <v xml:space="preserve">  MISCELLANEOUS INCOME758</v>
          </cell>
        </row>
        <row r="456">
          <cell r="O456" t="str">
            <v>Late interest</v>
          </cell>
          <cell r="P456">
            <v>-523.82000000000005</v>
          </cell>
          <cell r="R456" t="str">
            <v xml:space="preserve">  INTEREST INCOME</v>
          </cell>
          <cell r="S456" t="str">
            <v xml:space="preserve">  INTEREST INCOME</v>
          </cell>
        </row>
        <row r="457">
          <cell r="O457" t="str">
            <v>Late interest</v>
          </cell>
          <cell r="P457">
            <v>-2081.9899999999998</v>
          </cell>
          <cell r="R457" t="str">
            <v xml:space="preserve">  INTEREST INCOME</v>
          </cell>
          <cell r="S457" t="str">
            <v xml:space="preserve">  INTEREST INCOME</v>
          </cell>
        </row>
        <row r="458">
          <cell r="O458" t="str">
            <v>Late interest</v>
          </cell>
          <cell r="P458">
            <v>-845.58</v>
          </cell>
          <cell r="R458" t="str">
            <v xml:space="preserve">  INTEREST INCOME</v>
          </cell>
          <cell r="S458" t="str">
            <v xml:space="preserve">  INTEREST INCOME</v>
          </cell>
        </row>
        <row r="459">
          <cell r="O459" t="str">
            <v>fr alp other</v>
          </cell>
          <cell r="P459">
            <v>0</v>
          </cell>
          <cell r="R459" t="str">
            <v xml:space="preserve">  INTEREST INCOME</v>
          </cell>
          <cell r="S459" t="str">
            <v xml:space="preserve">  INTEREST INCOME</v>
          </cell>
        </row>
        <row r="460">
          <cell r="O460" t="str">
            <v>PROFIT ON EXCHANGE</v>
          </cell>
          <cell r="P460">
            <v>-1008.49</v>
          </cell>
          <cell r="R460" t="str">
            <v xml:space="preserve">  EXCHANGE GAIN</v>
          </cell>
          <cell r="S460" t="str">
            <v xml:space="preserve">  EXCHANGE GAIN</v>
          </cell>
        </row>
        <row r="461">
          <cell r="O461" t="str">
            <v>PROFIT ON EXCHANGE</v>
          </cell>
          <cell r="P461">
            <v>-12602.11</v>
          </cell>
          <cell r="R461" t="str">
            <v xml:space="preserve">  EXCHANGE GAIN</v>
          </cell>
          <cell r="S461" t="str">
            <v xml:space="preserve">  EXCHANGE GAIN</v>
          </cell>
        </row>
        <row r="462">
          <cell r="O462" t="str">
            <v>PROFIT ON EXCHANGE</v>
          </cell>
          <cell r="P462">
            <v>-0.08</v>
          </cell>
          <cell r="R462" t="str">
            <v xml:space="preserve">  EXCHANGE GAIN</v>
          </cell>
          <cell r="S462" t="str">
            <v xml:space="preserve">  EXCHANGE GAIN</v>
          </cell>
        </row>
        <row r="463">
          <cell r="O463" t="str">
            <v>PROFIT ON EXCHANGE</v>
          </cell>
          <cell r="P463">
            <v>-4270.21</v>
          </cell>
          <cell r="R463" t="str">
            <v xml:space="preserve">  EXCHANGE GAIN</v>
          </cell>
          <cell r="S463" t="str">
            <v xml:space="preserve">  EXCHANGE GAIN</v>
          </cell>
        </row>
        <row r="464">
          <cell r="O464" t="str">
            <v>PROFIT ON EXCHANGE</v>
          </cell>
          <cell r="P464">
            <v>-4.34</v>
          </cell>
          <cell r="R464" t="str">
            <v xml:space="preserve">  EXCHANGE GAIN</v>
          </cell>
          <cell r="S464" t="str">
            <v xml:space="preserve">  EXCHANGE GAIN</v>
          </cell>
        </row>
        <row r="465">
          <cell r="O465" t="str">
            <v>Other extraordinary inc</v>
          </cell>
          <cell r="P465">
            <v>-0.57999999999999996</v>
          </cell>
          <cell r="R465" t="str">
            <v xml:space="preserve">  OTHER EXTRAORDINARY INCOME</v>
          </cell>
          <cell r="S465" t="str">
            <v xml:space="preserve">  OTHER EXTRAORDINARY INCOME</v>
          </cell>
        </row>
        <row r="466">
          <cell r="O466" t="str">
            <v>Other extraordinary inc</v>
          </cell>
          <cell r="P466">
            <v>0</v>
          </cell>
          <cell r="R466" t="str">
            <v xml:space="preserve">  OTHER EXTRAORDINARY INCOME</v>
          </cell>
          <cell r="S466" t="str">
            <v xml:space="preserve">  OTHER EXTRAORDINARY INCOME</v>
          </cell>
        </row>
        <row r="467">
          <cell r="O467" t="str">
            <v>Other extraordinary inc</v>
          </cell>
          <cell r="P467">
            <v>-3000</v>
          </cell>
          <cell r="R467" t="str">
            <v xml:space="preserve">  OTHER EXTRAORDINARY INCOME</v>
          </cell>
          <cell r="S467" t="str">
            <v xml:space="preserve">  OTHER EXTRAORDINARY INCOME</v>
          </cell>
        </row>
        <row r="468">
          <cell r="O468" t="str">
            <v>Other extraordinary inc</v>
          </cell>
          <cell r="P468">
            <v>-1361</v>
          </cell>
          <cell r="R468" t="str">
            <v xml:space="preserve">  OTHER EXTRAORDINARY INCOME</v>
          </cell>
          <cell r="S468" t="str">
            <v xml:space="preserve">  OTHER EXTRAORDINARY INCOME</v>
          </cell>
        </row>
        <row r="469">
          <cell r="O469" t="str">
            <v>Prod cession immo</v>
          </cell>
          <cell r="P469">
            <v>-18000</v>
          </cell>
          <cell r="R469" t="str">
            <v xml:space="preserve">  GAIN ON SALE OF FIXED ASSETS</v>
          </cell>
          <cell r="S469" t="str">
            <v xml:space="preserve">  GAIN ON SALE OF FIXED ASSETS</v>
          </cell>
        </row>
        <row r="470">
          <cell r="O470" t="str">
            <v>Prod cession immo</v>
          </cell>
          <cell r="P470">
            <v>-8000</v>
          </cell>
          <cell r="R470" t="str">
            <v xml:space="preserve">  GAIN ON SALE OF FIXED ASSETS</v>
          </cell>
          <cell r="S470" t="str">
            <v xml:space="preserve">  GAIN ON SALE OF FIXED ASSETS</v>
          </cell>
        </row>
        <row r="471">
          <cell r="O471" t="str">
            <v>wb after sales</v>
          </cell>
          <cell r="P471">
            <v>-2725000</v>
          </cell>
          <cell r="R471" t="str">
            <v xml:space="preserve">  PROVISION FOR WARRANTY COST(P/L)</v>
          </cell>
          <cell r="S471" t="str">
            <v xml:space="preserve">  PROVISION FOR WARRANTY COST(P/L)</v>
          </cell>
        </row>
        <row r="472">
          <cell r="O472" t="str">
            <v>wb stock</v>
          </cell>
          <cell r="P472">
            <v>-1323000</v>
          </cell>
          <cell r="R472" t="str">
            <v xml:space="preserve">  INVENTORY SCRAP LOSS</v>
          </cell>
          <cell r="S472" t="str">
            <v xml:space="preserve">  INVENTORY SCRAP LOSS</v>
          </cell>
        </row>
        <row r="473">
          <cell r="O473" t="str">
            <v>wb stock</v>
          </cell>
          <cell r="P473">
            <v>0</v>
          </cell>
          <cell r="R473" t="str">
            <v xml:space="preserve">  INVENTORY SCRAP LOSS</v>
          </cell>
          <cell r="S473" t="str">
            <v xml:space="preserve">  INVENTORY SCRAP LOSS</v>
          </cell>
        </row>
        <row r="474">
          <cell r="O474" t="str">
            <v>wb stock</v>
          </cell>
          <cell r="P474">
            <v>0</v>
          </cell>
          <cell r="R474" t="str">
            <v xml:space="preserve">  INVENTORY SCRAP LOSS</v>
          </cell>
          <cell r="S474" t="str">
            <v xml:space="preserve">  INVENTORY SCRAP LOSS</v>
          </cell>
        </row>
        <row r="475">
          <cell r="O475" t="str">
            <v>wb stock</v>
          </cell>
          <cell r="P475">
            <v>-551953</v>
          </cell>
          <cell r="R475" t="str">
            <v xml:space="preserve">  INVENTORY SCRAP LOSS</v>
          </cell>
          <cell r="S475" t="str">
            <v xml:space="preserve">  INVENTORY SCRAP LOSS</v>
          </cell>
        </row>
        <row r="476">
          <cell r="O476" t="str">
            <v>wb stock</v>
          </cell>
          <cell r="P476">
            <v>0</v>
          </cell>
          <cell r="R476" t="str">
            <v xml:space="preserve">  INVENTORY SCRAP LOSS</v>
          </cell>
          <cell r="S476" t="str">
            <v xml:space="preserve">  INVENTORY SCRAP LOSS</v>
          </cell>
        </row>
        <row r="477">
          <cell r="O477" t="str">
            <v>wb stock</v>
          </cell>
          <cell r="P477">
            <v>-20242</v>
          </cell>
          <cell r="R477" t="str">
            <v xml:space="preserve">  INVENTORY SCRAP LOSS</v>
          </cell>
          <cell r="S477" t="str">
            <v xml:space="preserve">  INVENTORY SCRAP LOSS</v>
          </cell>
        </row>
        <row r="478">
          <cell r="O478" t="str">
            <v>wb doubtful</v>
          </cell>
          <cell r="P478">
            <v>-544296.07999999996</v>
          </cell>
          <cell r="R478" t="str">
            <v xml:space="preserve">  BAD DEBT EXPENSE(Sales)</v>
          </cell>
          <cell r="S478" t="str">
            <v xml:space="preserve">  BAD DEBT EXPENSE(Sales)</v>
          </cell>
        </row>
        <row r="479">
          <cell r="O479" t="str">
            <v>Rep For financial risks</v>
          </cell>
          <cell r="P479">
            <v>-9341.61</v>
          </cell>
          <cell r="R479" t="str">
            <v xml:space="preserve">  EXCHANGE GAIN</v>
          </cell>
          <cell r="S479" t="str">
            <v xml:space="preserve">  EXCHANGE GAIN</v>
          </cell>
        </row>
        <row r="480">
          <cell r="O480" t="str">
            <v>wb extraordinary provisions</v>
          </cell>
          <cell r="P480">
            <v>-67614</v>
          </cell>
          <cell r="R480" t="str">
            <v xml:space="preserve">  OTHER EXTRAORDINARY INCOME</v>
          </cell>
          <cell r="S480" t="str">
            <v xml:space="preserve">  OTHER EXTRAORDINARY INCOME</v>
          </cell>
        </row>
        <row r="481">
          <cell r="O481" t="str">
            <v>charges transf cons</v>
          </cell>
          <cell r="P481">
            <v>-35589.980000000003</v>
          </cell>
          <cell r="Q481" t="str">
            <v>AOEU</v>
          </cell>
          <cell r="R481" t="str">
            <v xml:space="preserve">  MISCELLANEOUS INCOME(CONS)</v>
          </cell>
          <cell r="S481" t="str">
            <v>AOEU  MISCELLANEOUS INCOME(CONS)791</v>
          </cell>
        </row>
        <row r="482">
          <cell r="O482" t="str">
            <v>charges transf cons</v>
          </cell>
          <cell r="P482">
            <v>-79898</v>
          </cell>
          <cell r="Q482" t="str">
            <v>ALPINE-JAPAN</v>
          </cell>
          <cell r="R482" t="str">
            <v xml:space="preserve">  MISCELLANEOUS INCOME(CONS)</v>
          </cell>
          <cell r="S482" t="str">
            <v>ALPINE-JAPAN  MISCELLANEOUS INCOME(CONS)791</v>
          </cell>
        </row>
        <row r="483">
          <cell r="O483" t="str">
            <v>charges transf cons</v>
          </cell>
          <cell r="P483">
            <v>-2600</v>
          </cell>
          <cell r="Q483" t="str">
            <v>AOAM</v>
          </cell>
          <cell r="R483" t="str">
            <v xml:space="preserve">  MISCELLANEOUS INCOME(CONS)</v>
          </cell>
          <cell r="S483" t="str">
            <v>AOAM  MISCELLANEOUS INCOME(CONS)791</v>
          </cell>
        </row>
        <row r="484">
          <cell r="O484" t="str">
            <v>charges transf cons</v>
          </cell>
          <cell r="P484">
            <v>-128853</v>
          </cell>
          <cell r="Q484" t="str">
            <v>ALPINE-JAPAN</v>
          </cell>
          <cell r="R484" t="str">
            <v xml:space="preserve">  MISCELLANEOUS INCOME(CONS)</v>
          </cell>
          <cell r="S484" t="str">
            <v>ALPINE-JAPAN  MISCELLANEOUS INCOME(CONS)791</v>
          </cell>
        </row>
        <row r="485">
          <cell r="O485" t="str">
            <v>charges transf cons</v>
          </cell>
          <cell r="P485">
            <v>-6071.8299999999872</v>
          </cell>
          <cell r="Q485" t="str">
            <v>AOEU</v>
          </cell>
          <cell r="R485" t="str">
            <v xml:space="preserve">  MISCELLANEOUS INCOME(CONS)</v>
          </cell>
          <cell r="S485" t="str">
            <v>AOEU  MISCELLANEOUS INCOME(CONS)791</v>
          </cell>
        </row>
        <row r="486">
          <cell r="O486" t="str">
            <v>charges transf cons</v>
          </cell>
          <cell r="P486">
            <v>-350</v>
          </cell>
          <cell r="Q486" t="str">
            <v>AOGE</v>
          </cell>
          <cell r="R486" t="str">
            <v xml:space="preserve">  MISCELLANEOUS INCOME(CONS)</v>
          </cell>
          <cell r="S486" t="str">
            <v>AOGE  MISCELLANEOUS INCOME(CONS)791</v>
          </cell>
        </row>
        <row r="487">
          <cell r="O487" t="str">
            <v>charges transf other</v>
          </cell>
          <cell r="P487">
            <v>-1000</v>
          </cell>
          <cell r="R487" t="str">
            <v xml:space="preserve">  MISCELLANEOUS INCOME</v>
          </cell>
          <cell r="S487" t="str">
            <v xml:space="preserve">  MISCELLANEOUS INCOME791</v>
          </cell>
        </row>
        <row r="488">
          <cell r="O488" t="str">
            <v>charges transf other</v>
          </cell>
          <cell r="P488">
            <v>-161643.79</v>
          </cell>
          <cell r="R488" t="str">
            <v xml:space="preserve">  MISCELLANEOUS INCOME</v>
          </cell>
          <cell r="S488" t="str">
            <v xml:space="preserve">  MISCELLANEOUS INCOME791</v>
          </cell>
        </row>
        <row r="489">
          <cell r="O489" t="str">
            <v>charges transf other</v>
          </cell>
          <cell r="P489">
            <v>-34872.47</v>
          </cell>
          <cell r="R489" t="str">
            <v xml:space="preserve">  MISCELLANEOUS INCOME</v>
          </cell>
          <cell r="S489" t="str">
            <v xml:space="preserve">  MISCELLANEOUS INCOME791</v>
          </cell>
        </row>
        <row r="490">
          <cell r="O490" t="str">
            <v>charges transf other</v>
          </cell>
          <cell r="P490">
            <v>-1197.04</v>
          </cell>
          <cell r="R490" t="str">
            <v xml:space="preserve">  MISCELLANEOUS INCOME</v>
          </cell>
          <cell r="S490" t="str">
            <v xml:space="preserve">  MISCELLANEOUS INCOME791</v>
          </cell>
        </row>
        <row r="491">
          <cell r="O491" t="str">
            <v>charges transf</v>
          </cell>
          <cell r="P491">
            <v>0</v>
          </cell>
          <cell r="R491" t="str">
            <v xml:space="preserve">  MISCELLANEOUS INCOME</v>
          </cell>
          <cell r="S491" t="str">
            <v xml:space="preserve">  MISCELLANEOUS INCOME799</v>
          </cell>
        </row>
      </sheetData>
      <sheetData sheetId="2" refreshError="1">
        <row r="316">
          <cell r="E316">
            <v>0</v>
          </cell>
        </row>
        <row r="323">
          <cell r="E323">
            <v>141954.74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e sheet"/>
      <sheetName val="Situation"/>
      <sheetName val="P&amp;L monthly"/>
      <sheetName val="DETBIL"/>
    </sheetNames>
    <sheetDataSet>
      <sheetData sheetId="0" refreshError="1"/>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PROJECT BRIEF(EX.NEW)"/>
      <sheetName val="Elemental Breakdown-Original"/>
      <sheetName val="Assumptions"/>
      <sheetName val="PJ_Import"/>
      <sheetName val="Prop_Summary"/>
      <sheetName val="I. Assumptions"/>
      <sheetName val="Situation"/>
      <sheetName val="완성차 미수금"/>
      <sheetName val="Ext. Stone-P"/>
      <sheetName val="Sheet5"/>
      <sheetName val="Area"/>
      <sheetName val="Balance"/>
      <sheetName val="DETBIL"/>
      <sheetName val="General"/>
      <sheetName val="15.Op. Activities"/>
      <sheetName val="13.Op. Activities"/>
      <sheetName val="한국중공업보안"/>
      <sheetName val="9-1차이내역"/>
      <sheetName val="Basic_Information"/>
      <sheetName val="조명율표"/>
      <sheetName val="Total-STALLION"/>
      <sheetName val="Sheet2"/>
      <sheetName val="PROJECT_BRIEF(EX_NEW)"/>
      <sheetName val="Elemental_Breakdown-Original"/>
      <sheetName val="I__Assumptions"/>
      <sheetName val="완성차_미수금"/>
      <sheetName val="Ext__Stone-P"/>
      <sheetName val="15_Op__Activities"/>
      <sheetName val="13_Op__Activities"/>
      <sheetName val="2.Summary-cash"/>
      <sheetName val="인원계획-미화"/>
      <sheetName val="Master Sheet"/>
      <sheetName val="C_Sum(2)"/>
      <sheetName val="P1 Br Overall KPI"/>
      <sheetName val="Cash Flow"/>
      <sheetName val="Source"/>
      <sheetName val="Variable"/>
      <sheetName val="yakumo"/>
      <sheetName val="Prices"/>
      <sheetName val="내역"/>
      <sheetName val="Sales"/>
      <sheetName val="APOD"/>
      <sheetName val="BP Summary"/>
      <sheetName val="2.주요계수총괄"/>
      <sheetName val="간선계산"/>
      <sheetName val="Initial Input Variable"/>
      <sheetName val="Fin_Assumption"/>
      <sheetName val="제세금외"/>
      <sheetName val="ControlBox"/>
      <sheetName val="매각가치"/>
      <sheetName val="건축면적"/>
      <sheetName val="Unit"/>
      <sheetName val="RBFC-BS"/>
      <sheetName val="anaysis_sheet"/>
      <sheetName val="S&amp;R"/>
      <sheetName val="BS"/>
      <sheetName val="적용률"/>
      <sheetName val="건설"/>
      <sheetName val="Data(인원)"/>
      <sheetName val="2004SS"/>
      <sheetName val="2004CJ"/>
      <sheetName val="재무가정"/>
      <sheetName val="1Month+Sheet2!"/>
      <sheetName val="98지급계획"/>
      <sheetName val="マスタ"/>
      <sheetName val="2. Summary-cash"/>
      <sheetName val="2000.05"/>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Simulation"/>
      <sheetName val="리츠"/>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Facility Information"/>
      <sheetName val="Training"/>
      <sheetName val="Risk"/>
      <sheetName val="People"/>
      <sheetName val="Instructions"/>
      <sheetName val="Quality"/>
      <sheetName val="내역서"/>
      <sheetName val="Journal"/>
      <sheetName val="VA요약(가정 및 배당)"/>
      <sheetName val="총무팀"/>
      <sheetName val="마포-임현"/>
      <sheetName val="남양시작동자105노65기1.3화1.2"/>
      <sheetName val="BP_Summary"/>
      <sheetName val="2_주요계수총괄"/>
      <sheetName val="Initial_Input_Variable"/>
      <sheetName val="2__Summary-cash"/>
      <sheetName val="2000_05"/>
      <sheetName val="1"/>
      <sheetName val="TOT"/>
      <sheetName val="energy 7.15"/>
      <sheetName val="ROE(FI)"/>
      <sheetName val="총투자비산정"/>
      <sheetName val="기본가정"/>
      <sheetName val="총투자비"/>
      <sheetName val="요약&amp;결과"/>
      <sheetName val="총투자비(총괄)"/>
      <sheetName val="차수"/>
      <sheetName val="2002.1~2003.10월(1)"/>
      <sheetName val="설직재-1"/>
      <sheetName val="수입"/>
      <sheetName val="Sheet1"/>
      <sheetName val="내역서(갑지)"/>
      <sheetName val="시화점실행"/>
      <sheetName val="97계획(96.11"/>
      <sheetName val="실행철강하도"/>
      <sheetName val="3본사"/>
      <sheetName val="#REF"/>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Rückstände-rent arrears"/>
      <sheetName val="OHU"/>
      <sheetName val="YOEMAGUM"/>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VA요약(가정_및_배당)"/>
      <sheetName val="남양시작동자105노65기1_3화1_2"/>
      <sheetName val="2002_1~2003_10월(1)"/>
      <sheetName val="energy_7_15"/>
      <sheetName val="수지차(년)"/>
      <sheetName val="국내"/>
      <sheetName val="Summary"/>
      <sheetName val="BID"/>
      <sheetName val="Secured Master"/>
      <sheetName val="SRC-B3U2"/>
      <sheetName val="차액보증"/>
      <sheetName val="한국중공업보안.XLS"/>
      <sheetName val="%ED%95%9C%EA%B5%AD%EC%A4%91%EA%"/>
      <sheetName val="Foreclosure"/>
      <sheetName val="이익잉여금처분계산서"/>
      <sheetName val="재무상태변동표"/>
      <sheetName val="제조원가명세서"/>
      <sheetName val="현금흐름표"/>
      <sheetName val="Assumption"/>
      <sheetName val="Id"/>
      <sheetName val="Intro2"/>
      <sheetName val="노임단가"/>
      <sheetName val="단가조사"/>
      <sheetName val="민감도"/>
      <sheetName val="품종별월계"/>
      <sheetName val="Budget 2005(DW)"/>
      <sheetName val="익월작업계힉"/>
      <sheetName val="이자율"/>
      <sheetName val="현금"/>
      <sheetName val="지급어음(일별)"/>
      <sheetName val="식음료"/>
      <sheetName val="OPREV(대한)"/>
      <sheetName val="현장"/>
      <sheetName val="출자한도"/>
      <sheetName val="Template"/>
      <sheetName val="단기차입금(200006)"/>
      <sheetName val="연습"/>
      <sheetName val="목록"/>
      <sheetName val="중기"/>
      <sheetName val="CostApp."/>
      <sheetName val="Lookup"/>
      <sheetName val="매출"/>
      <sheetName val="1.0"/>
      <sheetName val="Current"/>
      <sheetName val="CostData"/>
      <sheetName val="IncomeData"/>
      <sheetName val="PropertyData"/>
      <sheetName val="CAP EXP"/>
      <sheetName val="MOTOR"/>
      <sheetName val="RM목표&amp;실적"/>
      <sheetName val="XLUTIL"/>
      <sheetName val="GenLedger BalSht"/>
      <sheetName val="지급보증금74"/>
      <sheetName val="부대대비"/>
      <sheetName val="냉연집계"/>
      <sheetName val="Section 1.3"/>
      <sheetName val="INMD1198"/>
      <sheetName val="Control"/>
      <sheetName val="Cover"/>
      <sheetName val="5.2-1Tenancy Schedule "/>
      <sheetName val="지수"/>
      <sheetName val="설 계"/>
      <sheetName val="설계"/>
      <sheetName val="품셈TABLE"/>
      <sheetName val="접속도로1"/>
      <sheetName val="임대료산정(자동계산)"/>
      <sheetName val="CodeTable"/>
      <sheetName val="산업은행 경영지표"/>
      <sheetName val="10월 (2)"/>
      <sheetName val="종합-임현"/>
      <sheetName val="2분기 체크리스트.xlsx"/>
      <sheetName val="Budget 2004(DW)"/>
      <sheetName val="공용시설내역"/>
      <sheetName val="주차"/>
      <sheetName val="신우"/>
      <sheetName val="'94자산"/>
      <sheetName val="인원"/>
      <sheetName val="VA요약(가정_및_배당)1"/>
      <sheetName val="교각1"/>
      <sheetName val="Data&amp;Result"/>
      <sheetName val="2002매출"/>
      <sheetName val="원효펌프교체020812"/>
      <sheetName val="건물대사"/>
      <sheetName val="여과지동"/>
      <sheetName val="기초자료"/>
      <sheetName val="OO사옥 청소"/>
      <sheetName val="OO사옥 경비"/>
      <sheetName val="OO사옥 주차"/>
      <sheetName val="1ST"/>
      <sheetName val="963인원"/>
      <sheetName val="Reversion Calcs"/>
      <sheetName val="Setup"/>
      <sheetName val="Sensitivity Analysis"/>
      <sheetName val="Summery"/>
      <sheetName val="구분"/>
      <sheetName val="일위대가"/>
      <sheetName val="손익계산"/>
      <sheetName val="213"/>
      <sheetName val="자재단가비교표"/>
      <sheetName val="노임이"/>
      <sheetName val="정부노임단가"/>
      <sheetName val="학교기부"/>
      <sheetName val="직접인원"/>
      <sheetName val="참조2"/>
      <sheetName val="ｸﾚｰﾑﾘｽﾄ"/>
      <sheetName val="k"/>
      <sheetName val="Prop"/>
      <sheetName val="1 Cash Flow Analysis"/>
      <sheetName val="FX Rates"/>
      <sheetName val="賃料等一覧"/>
      <sheetName val="J直材4"/>
      <sheetName val="N賃率-職"/>
      <sheetName val="공정"/>
      <sheetName val="준공내역(을)"/>
      <sheetName val="갑지(추정)"/>
      <sheetName val="GAEYO"/>
      <sheetName val="회사정보"/>
      <sheetName val="1.표지"/>
      <sheetName val="현금흐름"/>
      <sheetName val="종합"/>
      <sheetName val="1_0"/>
      <sheetName val="CostApp_"/>
      <sheetName val="CAP_EXP"/>
      <sheetName val="Secured_Master"/>
      <sheetName val="Sensitivity"/>
      <sheetName val="옥외외등집계표"/>
      <sheetName val="개업비"/>
      <sheetName val="P &amp;L"/>
      <sheetName val="영업.일1"/>
      <sheetName val="전신환매도율"/>
      <sheetName val="공통"/>
      <sheetName val="효용적수"/>
      <sheetName val="설치공사비"/>
      <sheetName val="Collateral"/>
      <sheetName val="입력변수"/>
      <sheetName val="DurationCalc"/>
      <sheetName val="Reinv"/>
      <sheetName val="0.0ControlSheet"/>
      <sheetName val="Ownership Percentages"/>
      <sheetName val="Hunt Mud-Trucking $4.99 Units"/>
      <sheetName val="간접재료비산출표-27-30"/>
      <sheetName val="수정사항"/>
      <sheetName val="본관내역서"/>
      <sheetName val="평자재단가"/>
      <sheetName val="세입세출표"/>
      <sheetName val="Import_FX"/>
      <sheetName val="FX"/>
      <sheetName val="YTD"/>
      <sheetName val="_94자산"/>
      <sheetName val="Rent Roll"/>
      <sheetName val="임테블"/>
      <sheetName val="9612서울"/>
      <sheetName val="물량"/>
      <sheetName val="재료"/>
      <sheetName val="설치자재"/>
      <sheetName val="Forecloser"/>
      <sheetName val="Price Level"/>
      <sheetName val="Location"/>
      <sheetName val="Comment"/>
      <sheetName val="Physical"/>
      <sheetName val="Total"/>
      <sheetName val="Stacking"/>
      <sheetName val="신상자료"/>
      <sheetName val="경율산정.XLS"/>
      <sheetName val="Cash receipt"/>
      <sheetName val="시설총괄"/>
      <sheetName val="수정분개"/>
      <sheetName val="day"/>
      <sheetName val="PL"/>
      <sheetName val="급여대장(관리)"/>
      <sheetName val="2.대외공문"/>
      <sheetName val="표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Situation"/>
      <sheetName val="Cash Flow"/>
      <sheetName val="Source"/>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인원계획-미화"/>
      <sheetName val="Intro2"/>
      <sheetName val="Id"/>
      <sheetName val="Lookup"/>
      <sheetName val="기준시가"/>
      <sheetName val="Pricing"/>
      <sheetName val="Debt Service Schedule"/>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OPREV(대한)"/>
      <sheetName val="Balance"/>
      <sheetName val="P &amp;L"/>
      <sheetName val="PROJECT BRIEF(EX.NEW)"/>
      <sheetName val="0.0ControlSheet"/>
      <sheetName val="2. Summary-cash"/>
      <sheetName val="Sales Proceeds"/>
      <sheetName val="マスタ"/>
      <sheetName val="품목"/>
      <sheetName val="Fin_Assumption"/>
      <sheetName val="건축내역"/>
      <sheetName val="Sheet2"/>
      <sheetName val="내역서"/>
      <sheetName val="Assumption"/>
      <sheetName val="anaysis_sheet"/>
      <sheetName val="Sheet1"/>
      <sheetName val="yakumo"/>
      <sheetName val="BSLA"/>
      <sheetName val="Area"/>
      <sheetName val="Initial Input Variable"/>
      <sheetName val="2.주요계수총괄"/>
      <sheetName val="익월작업계힉"/>
      <sheetName val="Reversion Calcs"/>
      <sheetName val="Setup"/>
      <sheetName val="Sensitivity Analysis"/>
      <sheetName val="재무가정"/>
      <sheetName val="Quality"/>
      <sheetName val="People"/>
      <sheetName val="Risk"/>
      <sheetName val="Training"/>
      <sheetName val="General"/>
      <sheetName val="Instructions"/>
      <sheetName val="2000.05"/>
      <sheetName val="지출일정(4)"/>
      <sheetName val="I. Assumption"/>
      <sheetName val="Ⅲ.CF_5yr_Qtr"/>
      <sheetName val="별제권_정리담보권1"/>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I__Assumptions1"/>
      <sheetName val="15_Op__Activities1"/>
      <sheetName val="Cash_Flow1"/>
      <sheetName val="Sheet1_(2)"/>
      <sheetName val="0_0ControlSheet"/>
      <sheetName val="P_&amp;L"/>
      <sheetName val="2__Summary-cash"/>
      <sheetName val="要旨"/>
      <sheetName val="1 Cash Flow Analysis"/>
      <sheetName val="Summary"/>
      <sheetName val="내역"/>
      <sheetName val="Sales_Proceeds"/>
      <sheetName val="Debt_Service_Schedule"/>
      <sheetName val="Initial_Input_Variable"/>
      <sheetName val="2_주요계수총괄"/>
      <sheetName val="Reversion_Calcs"/>
      <sheetName val="Sensitivity_Analysis"/>
      <sheetName val="I__Assumption"/>
      <sheetName val="Ⅲ_CF_5yr_Qtr"/>
      <sheetName val="2000_05"/>
      <sheetName val="Elemental Breakdown-Original"/>
      <sheetName val="DETBIL"/>
      <sheetName val="Data&amp;Result"/>
      <sheetName val="energy 8.18"/>
      <sheetName val="Facility Information"/>
      <sheetName val="ROE(FI)"/>
      <sheetName val="총투자비산정"/>
      <sheetName val="기본가정"/>
      <sheetName val="총투자비"/>
      <sheetName val="요약&amp;결과"/>
      <sheetName val="차수"/>
      <sheetName val="일위대가(가설)"/>
      <sheetName val="철탑공사"/>
      <sheetName val="명단"/>
      <sheetName val="점수계산1-2"/>
      <sheetName val="원본"/>
      <sheetName val="붙임2-1  지급조서명세서(2001년분)"/>
      <sheetName val="목록"/>
      <sheetName val="중기"/>
      <sheetName val="회사정보"/>
      <sheetName val="賃料等一覧"/>
      <sheetName val="상가매매0115"/>
      <sheetName val="상가임대0115"/>
      <sheetName val="Template"/>
      <sheetName val="1ST"/>
      <sheetName val="10월 급여"/>
      <sheetName val="업무용유지비실적"/>
      <sheetName val="붙임2-1__지급조서명세서(2001년분)"/>
      <sheetName val="주요가정"/>
      <sheetName val="민감도"/>
      <sheetName val="Frame"/>
      <sheetName val="평당가_매매_유형별"/>
      <sheetName val="빌딩코드"/>
      <sheetName val="건재양식"/>
      <sheetName val="설-원가"/>
      <sheetName val="설치자재"/>
      <sheetName val="단중"/>
      <sheetName val="일위대가"/>
      <sheetName val="01AC"/>
      <sheetName val="총무팀"/>
      <sheetName val="마포-임현"/>
      <sheetName val="조건"/>
      <sheetName val="K-4A"/>
      <sheetName val="K-4C"/>
      <sheetName val="K-4K"/>
      <sheetName val="K-4L"/>
      <sheetName val="K-4F"/>
      <sheetName val="K-4I"/>
      <sheetName val="K-4H"/>
      <sheetName val="K-4D"/>
      <sheetName val="K-4E"/>
      <sheetName val="K-4B"/>
      <sheetName val="K-4J"/>
      <sheetName val="공사별5"/>
      <sheetName val="Valuation"/>
      <sheetName val="1월"/>
      <sheetName val="받을어음"/>
      <sheetName val="S&amp;R"/>
      <sheetName val="BID"/>
      <sheetName val="실행철강하도"/>
      <sheetName val="בית השקעות"/>
      <sheetName val="2004CJ"/>
      <sheetName val="I. Assump"/>
      <sheetName val="CostData"/>
      <sheetName val="IncomeData"/>
      <sheetName val="PropertyData"/>
      <sheetName val="data"/>
      <sheetName val="지분법(지분수정전)"/>
      <sheetName val="Assumptions"/>
      <sheetName val="Building 1"/>
      <sheetName val="Acquisition Costs- Base Case"/>
      <sheetName val="CASHFLOW"/>
      <sheetName val="리츠"/>
      <sheetName val="1Month+Sheet2!"/>
      <sheetName val="이자율"/>
      <sheetName val="Parameter"/>
      <sheetName val="수지차(년)"/>
      <sheetName val="98지급계획"/>
      <sheetName val="3본사"/>
      <sheetName val="품셈TABLE"/>
      <sheetName val="BSD (2)"/>
      <sheetName val="ADJ - RATE"/>
      <sheetName val="시설장비"/>
      <sheetName val="노임이"/>
      <sheetName val="인트라넷시스템근거"/>
      <sheetName val="영업.일1"/>
      <sheetName val="Config"/>
      <sheetName val="완성차 미수금"/>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Ext__Stone-P1"/>
      <sheetName val="I__Assumptions2"/>
      <sheetName val="15_Op__Activities2"/>
      <sheetName val="Cash_Flow2"/>
      <sheetName val="P_&amp;L1"/>
      <sheetName val="Sheet1_(2)1"/>
      <sheetName val="PROJECT_BRIEF(EX_NEW)1"/>
      <sheetName val="0_0ControlSheet1"/>
      <sheetName val="2__Summary-cash1"/>
      <sheetName val="Sales_Proceeds1"/>
      <sheetName val="Debt_Service_Schedule1"/>
      <sheetName val="Initial_Input_Variable1"/>
      <sheetName val="2_주요계수총괄1"/>
      <sheetName val="Reversion_Calcs1"/>
      <sheetName val="Sensitivity_Analysis1"/>
      <sheetName val="I__Assumption1"/>
      <sheetName val="Ⅲ_CF_5yr_Qtr1"/>
      <sheetName val="2000_051"/>
      <sheetName val="1_Cash_Flow_Analysis"/>
      <sheetName val="Elemental_Breakdown-Original"/>
      <sheetName val="Facility_Information"/>
      <sheetName val="energy_8_18"/>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Budget 2005(DW)"/>
      <sheetName val="結果（２年後１億円振り替え）"/>
      <sheetName val="Summary-P"/>
      <sheetName val="BASE P.L OWNER"/>
      <sheetName val="INVEST CALC"/>
      <sheetName val="2004SS"/>
      <sheetName val="CHECK LIST"/>
      <sheetName val="YTD"/>
      <sheetName val="Dental City 가정"/>
      <sheetName val="상환계획(선순위)(Q)"/>
      <sheetName val="단기차입금(200006)"/>
      <sheetName val="본관내역서"/>
      <sheetName val="MEM수율입고"/>
      <sheetName val="해외세목"/>
      <sheetName val="상세내역"/>
      <sheetName val="경율산정.XLS"/>
      <sheetName val="산업은행 경영지표"/>
      <sheetName val="이우(hd)"/>
      <sheetName val="Building_1"/>
      <sheetName val="Acquisition_Costs-_Base_Case"/>
      <sheetName val="Tenants"/>
      <sheetName val="주요기준"/>
      <sheetName val="경율산정_XLS"/>
      <sheetName val="Budget_2005(DW)"/>
      <sheetName val="산업은행_경영지표"/>
      <sheetName val="국내"/>
      <sheetName val="Data(인원)"/>
      <sheetName val="0.1keyAssumption"/>
      <sheetName val="등록자료"/>
      <sheetName val="설직재-1"/>
      <sheetName val="인건비"/>
      <sheetName val="실행내역"/>
      <sheetName val="1.표지"/>
      <sheetName val="설 계"/>
      <sheetName val="tsuga"/>
      <sheetName val="단가"/>
      <sheetName val="@RISK Correlations"/>
      <sheetName val="급여대장(관리)"/>
      <sheetName val="예산(한화)"/>
      <sheetName val="COVERSHEET"/>
      <sheetName val="MGT OFFICE"/>
      <sheetName val="g. Rent Roll"/>
      <sheetName val="붙임2-1__지급조서명세서(2001년분)1"/>
      <sheetName val="10월_급여"/>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효용적수"/>
      <sheetName val="2.Summary-cash"/>
      <sheetName val="인테리어견적(내역서)"/>
      <sheetName val="하자 Check"/>
      <sheetName val="산출내역서"/>
      <sheetName val="공사기성"/>
      <sheetName val="Cover Sheet"/>
      <sheetName val="Property Information Summary"/>
      <sheetName val="Sys Config"/>
      <sheetName val="총괄표"/>
      <sheetName val="Cash Flow "/>
      <sheetName val="지장물"/>
      <sheetName val="점별(추정)"/>
      <sheetName val="자재(원원+원대)"/>
      <sheetName val="N賃率-職"/>
      <sheetName val="入力用(家賃)"/>
      <sheetName val="入力用(駐車)"/>
      <sheetName val="일위_파일"/>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I__Assump"/>
      <sheetName val="Rent_Roll"/>
      <sheetName val="급여표"/>
      <sheetName val="D01"/>
      <sheetName val="호텔부담분 산정식"/>
      <sheetName val="요율"/>
      <sheetName val="2001년12월"/>
      <sheetName val="base"/>
      <sheetName val="9-1차이내역"/>
      <sheetName val="Project Brief"/>
      <sheetName val=" 견적서"/>
      <sheetName val="공사현황"/>
      <sheetName val="リスト"/>
      <sheetName val="설치공사비"/>
      <sheetName val="בית_השקעות"/>
      <sheetName val="Master_List_and_Strats"/>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현장"/>
      <sheetName val="설계"/>
      <sheetName val="임대료산정(자동계산)"/>
      <sheetName val="CodeTable"/>
      <sheetName val="Utility Usage 한솔엠닷컴"/>
      <sheetName val="경상비내역"/>
      <sheetName val="FS"/>
      <sheetName val="Basic_Information"/>
      <sheetName val="Cases"/>
      <sheetName val="Control Page"/>
      <sheetName val="DCF Input"/>
      <sheetName val="Earnings"/>
      <sheetName val="집계표"/>
      <sheetName val="Ⅰ-3.1"/>
      <sheetName val="Rent Roll_py"/>
      <sheetName val="업무분장 "/>
      <sheetName val="퇴직금추계ot"/>
      <sheetName val="Cover"/>
      <sheetName val="CAPEX(3yrs)"/>
      <sheetName val="식대견적"/>
      <sheetName val="사직서"/>
      <sheetName val="간접재료비산출표-27-30"/>
      <sheetName val="주관사업"/>
      <sheetName val="기준자료"/>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comparables"/>
      <sheetName val="Deduction"/>
      <sheetName val="other"/>
      <sheetName val="conclusion"/>
      <sheetName val="결정단가"/>
      <sheetName val="XXXXXXXX"/>
      <sheetName val="위치조서"/>
      <sheetName val="2000전체분"/>
      <sheetName val="2000년1차"/>
      <sheetName val="g__Rent_Roll"/>
      <sheetName val="GAAP Pru"/>
      <sheetName val="Ex_-_FRFsp"/>
      <sheetName val="Price_Level"/>
      <sheetName val="2_Summary-cash"/>
      <sheetName val="Data Sheet"/>
      <sheetName val="경율산정_XLS1"/>
      <sheetName val="Budget_2005(DW)1"/>
      <sheetName val="산업은행_경영지표1"/>
      <sheetName val="1_표지"/>
      <sheetName val="설_계"/>
      <sheetName val="Menu"/>
      <sheetName val="NM-LEVMODEL"/>
      <sheetName val="LevModel"/>
      <sheetName val="NM-Financial"/>
      <sheetName val="Financial"/>
      <sheetName val="Rent Roll Summary"/>
      <sheetName val="Tax"/>
      <sheetName val="2016년07월"/>
      <sheetName val="ASP"/>
      <sheetName val="위스키3"/>
      <sheetName val="주류전체2"/>
      <sheetName val="유동자산"/>
      <sheetName val="12.수도광열비"/>
      <sheetName val="Operational Activities"/>
      <sheetName val="RECIEPT&amp;PAYMENT"/>
      <sheetName val="WREK자산임대현황-1(2월06일) "/>
      <sheetName val="본부별매출"/>
      <sheetName val="97년추정손익계산서"/>
      <sheetName val="도급FORM"/>
      <sheetName val="전선 및 전선관"/>
      <sheetName val="RM목표&amp;실적"/>
      <sheetName val="물량"/>
      <sheetName val="2015년11월"/>
      <sheetName val="예총"/>
      <sheetName val="부문손익"/>
      <sheetName val="부서실적"/>
      <sheetName val="Budget"/>
      <sheetName val="디앤엠3월+연말"/>
      <sheetName val="pivot"/>
      <sheetName val="CMD"/>
      <sheetName val="CMD H"/>
      <sheetName val="Coating"/>
      <sheetName val="Coating H"/>
      <sheetName val="Gases"/>
      <sheetName val="Gases H"/>
      <sheetName val="Pharm"/>
      <sheetName val="Pharm H"/>
      <sheetName val="Vacuum"/>
      <sheetName val="Vacuum H"/>
      <sheetName val="VTC"/>
      <sheetName val="VTC H"/>
      <sheetName val="Workings"/>
      <sheetName val="Supplement"/>
      <sheetName val="Payment Schedule"/>
      <sheetName val="BS_임대료"/>
      <sheetName val="BS_보증금"/>
      <sheetName val="매출세금계산서합계"/>
      <sheetName val="매출계산서합계"/>
      <sheetName val="현금영수증"/>
      <sheetName val="비용"/>
      <sheetName val="IS"/>
      <sheetName val="TB"/>
      <sheetName val="미수금"/>
      <sheetName val="간주부가세"/>
      <sheetName val="SD"/>
      <sheetName val="Statistuc"/>
      <sheetName val=""/>
      <sheetName val="BS(기초沅ࡢ䠁"/>
      <sheetName val="식음료"/>
      <sheetName val="Code"/>
      <sheetName val="#5"/>
      <sheetName val="#3"/>
      <sheetName val="ｸﾚｰﾑﾘｽﾄ"/>
      <sheetName val="내역서(갑지)"/>
      <sheetName val="명세참조"/>
      <sheetName val="Utility Usage YTN TOWER"/>
      <sheetName val="광-단가"/>
      <sheetName val="대-단가"/>
      <sheetName val="준공내역(을)"/>
      <sheetName val="건물대사"/>
      <sheetName val="원본(그룹제외)"/>
      <sheetName val=" 2013년 우체국사 관리지원 업무위탁 기본계약(안) 금"/>
      <sheetName val="XL4Poppy"/>
      <sheetName val="选择报表"/>
      <sheetName val="납부서"/>
      <sheetName val="기본입력사항"/>
      <sheetName val="TEMP2"/>
      <sheetName val="TEMP"/>
      <sheetName val="JA"/>
      <sheetName val="금융"/>
      <sheetName val="은행"/>
      <sheetName val="리스"/>
      <sheetName val="보험"/>
      <sheetName val="입력항목"/>
      <sheetName val="감가상각"/>
      <sheetName val="12月二级试算表"/>
      <sheetName val="BREP Share Working"/>
      <sheetName val="관계회사거래내역및 채권채무잔액 99"/>
      <sheetName val="US Cod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sheetData sheetId="394"/>
      <sheetData sheetId="395"/>
      <sheetData sheetId="396"/>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Area"/>
      <sheetName val="한국중공업시설"/>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 Assumptions"/>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nitial Input Variable"/>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BA"/>
      <sheetName val="BB"/>
      <sheetName val="BC"/>
      <sheetName val="BD"/>
      <sheetName val="BE"/>
      <sheetName val="Module"/>
      <sheetName val="Situation"/>
    </sheetNames>
    <sheetDataSet>
      <sheetData sheetId="0"/>
      <sheetData sheetId="1">
        <row r="2">
          <cell r="B2" t="str">
            <v>한일산업주식회사</v>
          </cell>
        </row>
      </sheetData>
      <sheetData sheetId="2"/>
      <sheetData sheetId="3"/>
      <sheetData sheetId="4"/>
      <sheetData sheetId="5"/>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Report(kamco-jv-amc) 이게 진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Assumption"/>
      <sheetName val="conclusion"/>
      <sheetName val="결정단가"/>
      <sheetName val="comparables"/>
      <sheetName val="Deduction"/>
      <sheetName val="other"/>
      <sheetName val="BA"/>
      <sheetName val="Set_Up"/>
      <sheetName val="B _Controls_"/>
      <sheetName val="List"/>
      <sheetName val="회사개요(2)"/>
      <sheetName val="노무비"/>
      <sheetName val="S&amp;R"/>
      <sheetName val="Macro Codes"/>
      <sheetName val="Input"/>
      <sheetName val="확인서"/>
      <sheetName val="Area"/>
      <sheetName val="基本データ"/>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Base CF"/>
      <sheetName val=" Chart"/>
    </sheetNames>
    <sheetDataSet>
      <sheetData sheetId="0" refreshError="1"/>
      <sheetData sheetId="1" refreshError="1"/>
      <sheetData sheetId="2" refreshError="1"/>
      <sheetData sheetId="3" refreshError="1"/>
      <sheetData sheetId="4" refreshError="1"/>
      <sheetData sheetId="5" refreshError="1">
        <row r="23">
          <cell r="D23">
            <v>0.03</v>
          </cell>
        </row>
      </sheetData>
      <sheetData sheetId="6" refreshError="1"/>
      <sheetData sheetId="7" refreshError="1">
        <row r="36">
          <cell r="Z36">
            <v>-73148</v>
          </cell>
          <cell r="AA36">
            <v>-153856</v>
          </cell>
          <cell r="AB36">
            <v>-184368</v>
          </cell>
          <cell r="AC36">
            <v>-259019</v>
          </cell>
          <cell r="AD36">
            <v>-75954</v>
          </cell>
          <cell r="AE36">
            <v>-65482</v>
          </cell>
          <cell r="AF36">
            <v>-172387</v>
          </cell>
          <cell r="AG36">
            <v>-169781</v>
          </cell>
          <cell r="AH36">
            <v>-370932</v>
          </cell>
          <cell r="AI36">
            <v>-90045</v>
          </cell>
        </row>
        <row r="108">
          <cell r="M108">
            <v>1.4999999999999999E-2</v>
          </cell>
        </row>
      </sheetData>
      <sheetData sheetId="8" refreshError="1"/>
      <sheetData sheetId="9" refreshError="1"/>
      <sheetData sheetId="10" refreshError="1"/>
      <sheetData sheetId="11" refreshError="1"/>
      <sheetData sheetId="12" refreshError="1">
        <row r="8">
          <cell r="L8">
            <v>2002</v>
          </cell>
          <cell r="M8">
            <v>2003</v>
          </cell>
          <cell r="N8">
            <v>2004</v>
          </cell>
          <cell r="O8">
            <v>2005</v>
          </cell>
          <cell r="P8">
            <v>2006</v>
          </cell>
          <cell r="Q8">
            <v>2007</v>
          </cell>
        </row>
        <row r="13">
          <cell r="L13">
            <v>0.03</v>
          </cell>
          <cell r="M13">
            <v>0.03</v>
          </cell>
          <cell r="N13">
            <v>0.03</v>
          </cell>
          <cell r="O13">
            <v>0.03</v>
          </cell>
          <cell r="P13">
            <v>0.03</v>
          </cell>
          <cell r="Q13">
            <v>0.03</v>
          </cell>
        </row>
        <row r="86">
          <cell r="E86">
            <v>0.2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urtAuction"/>
      <sheetName val="Cost"/>
      <sheetName val="sale"/>
      <sheetName val="Income-1"/>
      <sheetName val="Income-2"/>
      <sheetName val="Development"/>
      <sheetName val="PropertyData"/>
      <sheetName val="CourtAuctionData"/>
      <sheetName val="CostData"/>
      <sheetName val="SalesData"/>
      <sheetName val="IncomeData"/>
      <sheetName val="DevelopData"/>
      <sheetName val="Conclusion"/>
      <sheetName val="CheckList"/>
      <sheetName val="Assumption"/>
      <sheetName val="1-1"/>
      <sheetName val="1 Cash Flow Analysis"/>
      <sheetName val="Set-Up"/>
      <sheetName val="B (Controls)"/>
      <sheetName val="SALE&amp;COST"/>
      <sheetName val="Customer"/>
      <sheetName val="노무비"/>
      <sheetName val="Com%"/>
      <sheetName val="AKL"/>
      <sheetName val="comparables"/>
      <sheetName val="Deduction"/>
      <sheetName val="other"/>
      <sheetName val="결정단가"/>
      <sheetName val="TB"/>
      <sheetName val="1_Cash_Flow_Analysis"/>
      <sheetName val="B_(Controls)"/>
      <sheetName val="List"/>
      <sheetName val="확인서"/>
      <sheetName val="Cash Flow"/>
      <sheetName val="Source"/>
      <sheetName val="COMPAQ-LIST"/>
      <sheetName val="Code"/>
      <sheetName val="Macro Codes"/>
      <sheetName val="Input"/>
      <sheetName val="Templete_CA_Valuation Form"/>
      <sheetName val="Assumptions"/>
      <sheetName val="Control"/>
      <sheetName val="DB_1"/>
      <sheetName val="Config"/>
      <sheetName val="レポート用"/>
      <sheetName val="Voucher"/>
      <sheetName val="200004"/>
      <sheetName val="200008"/>
      <sheetName val="200002"/>
      <sheetName val="200001"/>
      <sheetName val="200007"/>
      <sheetName val="200006"/>
      <sheetName val="200003"/>
      <sheetName val="200005"/>
      <sheetName val="200011"/>
      <sheetName val="200010"/>
      <sheetName val="200009"/>
      <sheetName val="내역서"/>
      <sheetName val="Initial Input Variable"/>
      <sheetName val="Rent Roll"/>
      <sheetName val="I. Assumptions"/>
      <sheetName val="감사회사"/>
      <sheetName val="1_Cash_Flow_Analysis1"/>
      <sheetName val="B_(Controls)1"/>
      <sheetName val="Cash_Flow"/>
      <sheetName val="Templete_CA_Valuation_Form"/>
      <sheetName val="회사개요(2)"/>
      <sheetName val="인원계획-미화"/>
      <sheetName val="부산4"/>
      <sheetName val="대차대조표"/>
      <sheetName val="基本データ"/>
      <sheetName val="CoA map"/>
      <sheetName val="경락률"/>
      <sheetName val="법원비용"/>
      <sheetName val="LoanList"/>
      <sheetName val="잔존년수"/>
      <sheetName val="항고구분"/>
      <sheetName val="경매회차하락률"/>
      <sheetName val="ベース"/>
      <sheetName val="물가자료"/>
      <sheetName val="1월"/>
      <sheetName val="Carepaq"/>
      <sheetName val="OPT"/>
      <sheetName val="슬래브(유곡)"/>
      <sheetName val="진주방향"/>
      <sheetName val="Parking RR"/>
      <sheetName val="マスタ"/>
      <sheetName val="program"/>
      <sheetName val="KMT물량"/>
      <sheetName val=" Chart"/>
      <sheetName val="Sheet2"/>
      <sheetName val="CHECKSHEET"/>
      <sheetName val="지급어음(일별)"/>
      <sheetName val="Case"/>
      <sheetName val="Area"/>
      <sheetName val="Intro Page"/>
      <sheetName val="Price Data"/>
      <sheetName val="VXXXXXX"/>
      <sheetName val="ABUT수량-A1"/>
      <sheetName val="변수"/>
      <sheetName val="2월가격"/>
      <sheetName val="지장물"/>
      <sheetName val="편입조서"/>
      <sheetName val="Cap Table"/>
      <sheetName val="Inputs"/>
      <sheetName val="BS"/>
      <sheetName val="DCOH"/>
      <sheetName val="PL"/>
      <sheetName val="내역서(갑지)"/>
      <sheetName val="Expense Schedule (4)"/>
      <sheetName val="Names"/>
    </sheetNames>
    <sheetDataSet>
      <sheetData sheetId="0" refreshError="1">
        <row r="1">
          <cell r="D1">
            <v>10</v>
          </cell>
        </row>
      </sheetData>
      <sheetData sheetId="1" refreshError="1"/>
      <sheetData sheetId="2" refreshError="1"/>
      <sheetData sheetId="3" refreshError="1"/>
      <sheetData sheetId="4">
        <row r="1">
          <cell r="D1" t="str">
            <v>Identity</v>
          </cell>
        </row>
      </sheetData>
      <sheetData sheetId="5">
        <row r="1">
          <cell r="D1" t="str">
            <v>Land Comp.1</v>
          </cell>
        </row>
      </sheetData>
      <sheetData sheetId="6">
        <row r="1">
          <cell r="D1">
            <v>10</v>
          </cell>
        </row>
      </sheetData>
      <sheetData sheetId="7" refreshError="1">
        <row r="1">
          <cell r="D1" t="str">
            <v>Identity</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Zoning Data</v>
          </cell>
          <cell r="BL1" t="str">
            <v>Comment</v>
          </cell>
          <cell r="BO1" t="str">
            <v>Accessibility</v>
          </cell>
          <cell r="BV1" t="str">
            <v>Neighborhood</v>
          </cell>
          <cell r="CE1" t="str">
            <v>Court Auction Info.</v>
          </cell>
          <cell r="CO1" t="str">
            <v>Machinery Info.</v>
          </cell>
        </row>
        <row r="2">
          <cell r="A2" t="str">
            <v>Index No</v>
          </cell>
          <cell r="B2" t="str">
            <v>Valuator</v>
          </cell>
          <cell r="C2" t="str">
            <v>Valuedate</v>
          </cell>
          <cell r="D2" t="str">
            <v>Portfolio</v>
          </cell>
          <cell r="E2" t="str">
            <v>Pool</v>
          </cell>
          <cell r="F2" t="str">
            <v>Borr. #</v>
          </cell>
          <cell r="G2" t="str">
            <v>Borr. Name</v>
          </cell>
          <cell r="H2" t="str">
            <v>Coll. #</v>
          </cell>
          <cell r="I2" t="str">
            <v>Type ID</v>
          </cell>
          <cell r="J2" t="str">
            <v>GeneralType</v>
          </cell>
          <cell r="K2" t="str">
            <v>DetailType</v>
          </cell>
          <cell r="L2" t="str">
            <v>Appraisal Co.</v>
          </cell>
          <cell r="M2" t="str">
            <v>Appraiser</v>
          </cell>
          <cell r="N2" t="str">
            <v>Exit Strategy</v>
          </cell>
          <cell r="O2" t="str">
            <v>Holding Period (Month)</v>
          </cell>
          <cell r="P2" t="str">
            <v>Addr_City(도/광역시)</v>
          </cell>
          <cell r="Q2" t="str">
            <v>Addr_Gu(시/구/군)</v>
          </cell>
          <cell r="R2" t="str">
            <v>Addr_Dong(읍/면/동)</v>
          </cell>
          <cell r="S2" t="str">
            <v>Addr_Detail</v>
          </cell>
          <cell r="T2" t="str">
            <v>Land Total</v>
          </cell>
          <cell r="U2" t="str">
            <v>Land Subject</v>
          </cell>
          <cell r="V2" t="str">
            <v>Bldg Total</v>
          </cell>
          <cell r="W2" t="str">
            <v>Bldg Subject</v>
          </cell>
          <cell r="X2" t="str">
            <v>4F &amp; Above</v>
          </cell>
          <cell r="Y2" t="str">
            <v>3F</v>
          </cell>
          <cell r="Z2" t="str">
            <v>2F</v>
          </cell>
          <cell r="AA2" t="str">
            <v>1F</v>
          </cell>
          <cell r="AB2" t="str">
            <v>B1</v>
          </cell>
          <cell r="AC2" t="str">
            <v>B2 &amp; Below</v>
          </cell>
          <cell r="AD2" t="str">
            <v>4F &amp; Above</v>
          </cell>
          <cell r="AE2" t="str">
            <v>3F</v>
          </cell>
          <cell r="AF2" t="str">
            <v>2F</v>
          </cell>
          <cell r="AG2" t="str">
            <v>1F</v>
          </cell>
          <cell r="AH2" t="str">
            <v>B1</v>
          </cell>
          <cell r="AI2" t="str">
            <v>B2 &amp; Below</v>
          </cell>
          <cell r="AJ2" t="str">
            <v>4F &amp; Above</v>
          </cell>
          <cell r="AK2" t="str">
            <v>3F</v>
          </cell>
          <cell r="AL2" t="str">
            <v>2F</v>
          </cell>
          <cell r="AM2" t="str">
            <v>1F</v>
          </cell>
          <cell r="AN2" t="str">
            <v>B1</v>
          </cell>
          <cell r="AO2" t="str">
            <v>B2 &amp; Below</v>
          </cell>
          <cell r="AP2" t="str">
            <v>4F &amp; Above</v>
          </cell>
          <cell r="AQ2" t="str">
            <v>3F</v>
          </cell>
          <cell r="AR2" t="str">
            <v>2F</v>
          </cell>
          <cell r="AS2" t="str">
            <v>1F</v>
          </cell>
          <cell r="AT2" t="str">
            <v>B1</v>
          </cell>
          <cell r="AU2" t="str">
            <v>B2 &amp; Below</v>
          </cell>
          <cell r="AV2" t="str">
            <v>Year Built</v>
          </cell>
          <cell r="AW2" t="str">
            <v>Stories</v>
          </cell>
          <cell r="AX2" t="str">
            <v>Bldg Condition</v>
          </cell>
          <cell r="AY2" t="str">
            <v>Primary Tenants</v>
          </cell>
          <cell r="AZ2" t="str">
            <v>Structure</v>
          </cell>
          <cell r="BA2" t="str">
            <v>Roof</v>
          </cell>
          <cell r="BB2" t="str">
            <v>Exteria</v>
          </cell>
          <cell r="BC2" t="str">
            <v>Current Occupancy</v>
          </cell>
          <cell r="BD2" t="str">
            <v>Land Shape</v>
          </cell>
          <cell r="BE2" t="str">
            <v>Topography</v>
          </cell>
          <cell r="BF2" t="str">
            <v>Site Layout</v>
          </cell>
          <cell r="BG2" t="str">
            <v>L.P.T.A.</v>
          </cell>
          <cell r="BH2" t="str">
            <v>Current Zoning</v>
          </cell>
          <cell r="BI2" t="str">
            <v>Planned</v>
          </cell>
          <cell r="BJ2" t="str">
            <v>Permitted B.C.R.</v>
          </cell>
          <cell r="BK2" t="str">
            <v>Current B.C.R.</v>
          </cell>
          <cell r="BL2" t="str">
            <v>Permitted F.A.R.</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Trend</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Appraisal Value</v>
          </cell>
          <cell r="CI2" t="str">
            <v>Appraisal Date</v>
          </cell>
          <cell r="CJ2" t="str">
            <v>1st Auction Date</v>
          </cell>
          <cell r="CK2" t="str">
            <v>Latest Auction Date</v>
          </cell>
          <cell r="CL2" t="str">
            <v>No of Auction Failure</v>
          </cell>
          <cell r="CM2" t="str">
            <v>Next Minimum Bid Price</v>
          </cell>
          <cell r="CN2" t="str">
            <v>Court Award Value</v>
          </cell>
          <cell r="CO2" t="str">
            <v>Appraisal Value</v>
          </cell>
          <cell r="CP2" t="str">
            <v>Appraisal Date</v>
          </cell>
          <cell r="CQ2" t="str">
            <v>Operation Status of Factory</v>
          </cell>
          <cell r="CR2" t="str">
            <v>Residual Rate(%)</v>
          </cell>
          <cell r="CS2" t="str">
            <v>Unit's</v>
          </cell>
          <cell r="CT2" t="str">
            <v>Condition</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8">
        <row r="1">
          <cell r="D1" t="str">
            <v>Land Comp.1</v>
          </cell>
        </row>
      </sheetData>
      <sheetData sheetId="9" refreshError="1">
        <row r="1">
          <cell r="D1" t="str">
            <v>Land Comp.1</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row>
        <row r="2">
          <cell r="A2" t="str">
            <v>Index</v>
          </cell>
          <cell r="B2" t="str">
            <v>Borr #</v>
          </cell>
          <cell r="C2" t="str">
            <v>Coll #</v>
          </cell>
          <cell r="D2" t="str">
            <v>Address</v>
          </cell>
          <cell r="E2" t="str">
            <v>Information Source</v>
          </cell>
          <cell r="F2" t="str">
            <v>Court Appraisal Value</v>
          </cell>
          <cell r="G2" t="str">
            <v>Primary Usage</v>
          </cell>
          <cell r="H2" t="str">
            <v>Zoning</v>
          </cell>
          <cell r="I2" t="str">
            <v>Land Shape</v>
          </cell>
          <cell r="J2" t="str">
            <v>Road Width/Lane</v>
          </cell>
          <cell r="K2" t="str">
            <v>Sale Date</v>
          </cell>
          <cell r="L2" t="str">
            <v>Sale Price</v>
          </cell>
          <cell r="M2" t="str">
            <v>Land Area</v>
          </cell>
          <cell r="N2" t="str">
            <v>Market Condition</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Road Width/Lane</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Weight</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Location</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Effective Age</v>
          </cell>
          <cell r="BK2" t="str">
            <v>Other Dep.</v>
          </cell>
          <cell r="BL2" t="str">
            <v>Cost Comment</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10">
        <row r="1">
          <cell r="D1" t="str">
            <v>Land Comp.1</v>
          </cell>
        </row>
      </sheetData>
      <sheetData sheetId="11" refreshError="1">
        <row r="1">
          <cell r="D1">
            <v>10</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cell r="BO1" t="str">
            <v>Accessibility</v>
          </cell>
          <cell r="BV1" t="str">
            <v>Neighborhood</v>
          </cell>
          <cell r="CE1" t="str">
            <v>Court Auction Info.</v>
          </cell>
          <cell r="CH1" t="str">
            <v>Revenue</v>
          </cell>
          <cell r="CO1" t="str">
            <v>Machinery Info.</v>
          </cell>
          <cell r="CU1" t="str">
            <v>PGI Commercial</v>
          </cell>
          <cell r="CZ1" t="str">
            <v>PGI Hotel</v>
          </cell>
          <cell r="DH1" t="str">
            <v>DCF Method</v>
          </cell>
        </row>
        <row r="2">
          <cell r="A2" t="str">
            <v>Index</v>
          </cell>
          <cell r="B2" t="str">
            <v>Borr #</v>
          </cell>
          <cell r="C2" t="str">
            <v>Coll #</v>
          </cell>
          <cell r="D2" t="str">
            <v>Address</v>
          </cell>
          <cell r="E2" t="str">
            <v>Information Source</v>
          </cell>
          <cell r="F2" t="str">
            <v>Court Appraisal Value</v>
          </cell>
          <cell r="G2" t="str">
            <v>Rent Subject</v>
          </cell>
          <cell r="H2" t="str">
            <v>Zoning</v>
          </cell>
          <cell r="I2" t="str">
            <v>Land Shape</v>
          </cell>
          <cell r="J2" t="str">
            <v>Road Width/Lane</v>
          </cell>
          <cell r="K2" t="str">
            <v>Sale Date</v>
          </cell>
          <cell r="L2" t="str">
            <v>Sale Price</v>
          </cell>
          <cell r="M2" t="str">
            <v>Land Area</v>
          </cell>
          <cell r="N2" t="str">
            <v>Rent Comp1</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Adjustment</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Rent Comp2</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Adjustment(%)</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Rent Comp3</v>
          </cell>
          <cell r="BK2" t="str">
            <v>Other Dep.</v>
          </cell>
          <cell r="BL2" t="str">
            <v>Cost Comment</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Adjustment(%)</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Floor Area(sq.m.)</v>
          </cell>
          <cell r="CI2" t="str">
            <v>Appraisal Date</v>
          </cell>
          <cell r="CJ2" t="str">
            <v>1st Auction Date</v>
          </cell>
          <cell r="CK2" t="str">
            <v>Latest Auction Date</v>
          </cell>
          <cell r="CL2" t="str">
            <v>No of Auction Failure</v>
          </cell>
          <cell r="CM2" t="str">
            <v>Next Minimum Bid Price</v>
          </cell>
          <cell r="CN2" t="str">
            <v>Court Award Value</v>
          </cell>
          <cell r="CO2" t="str">
            <v>Floor Index(%)</v>
          </cell>
          <cell r="CP2" t="str">
            <v>Appraisal Date</v>
          </cell>
          <cell r="CQ2" t="str">
            <v>Operation Status of Factory</v>
          </cell>
          <cell r="CR2" t="str">
            <v>Residual Rate(%)</v>
          </cell>
          <cell r="CS2" t="str">
            <v>Unit's</v>
          </cell>
          <cell r="CT2" t="str">
            <v>Condition</v>
          </cell>
          <cell r="CU2" t="str">
            <v>M to M</v>
          </cell>
          <cell r="CV2" t="str">
            <v>LB Concluded</v>
          </cell>
          <cell r="CZ2" t="str">
            <v>Mark To Market</v>
          </cell>
          <cell r="DD2" t="str">
            <v>LB Concluded</v>
          </cell>
          <cell r="DH2" t="str">
            <v>Appraiser</v>
          </cell>
          <cell r="DT2" t="str">
            <v>LB</v>
          </cell>
          <cell r="EH2" t="str">
            <v>Other Expense</v>
          </cell>
        </row>
        <row r="3">
          <cell r="A3" t="str">
            <v>Index</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cell r="BM3" t="str">
            <v>Floor</v>
          </cell>
          <cell r="BN3" t="str">
            <v>No of Story</v>
          </cell>
          <cell r="BO3" t="str">
            <v>Occupancy Rate(%)</v>
          </cell>
          <cell r="BP3" t="str">
            <v>Primary Usage</v>
          </cell>
          <cell r="BQ3" t="str">
            <v>Contract Date</v>
          </cell>
          <cell r="BR3" t="str">
            <v>Free Parking Space</v>
          </cell>
          <cell r="BS3" t="str">
            <v>Monthly Parking Space</v>
          </cell>
          <cell r="BT3" t="str">
            <v>Monthly Parking Fee/Space</v>
          </cell>
          <cell r="BU3" t="str">
            <v>Maintenance Fee</v>
          </cell>
          <cell r="BV3" t="str">
            <v>Security Deposit</v>
          </cell>
          <cell r="BW3" t="str">
            <v>Monthly Rent</v>
          </cell>
          <cell r="BX3" t="str">
            <v>Market Condition</v>
          </cell>
          <cell r="BY3" t="str">
            <v>Rent Condition</v>
          </cell>
          <cell r="BZ3" t="str">
            <v>Location</v>
          </cell>
          <cell r="CA3" t="str">
            <v>Accessibility</v>
          </cell>
          <cell r="CB3" t="str">
            <v>Bldg Quality</v>
          </cell>
          <cell r="CC3" t="str">
            <v>Bldg Maintenance</v>
          </cell>
          <cell r="CD3" t="str">
            <v>Floor</v>
          </cell>
          <cell r="CE3" t="str">
            <v>Others</v>
          </cell>
          <cell r="CF3" t="str">
            <v>Weight</v>
          </cell>
          <cell r="CG3" t="str">
            <v>Comment</v>
          </cell>
          <cell r="CH3" t="str">
            <v>4F &amp; Above</v>
          </cell>
          <cell r="CI3" t="str">
            <v>3F</v>
          </cell>
          <cell r="CJ3" t="str">
            <v>2F</v>
          </cell>
          <cell r="CK3" t="str">
            <v>1F</v>
          </cell>
          <cell r="CL3" t="str">
            <v>B1</v>
          </cell>
          <cell r="CM3" t="str">
            <v>B2 &amp; Below</v>
          </cell>
          <cell r="CN3" t="str">
            <v>Common Area</v>
          </cell>
          <cell r="CO3" t="str">
            <v>4F &amp; Above</v>
          </cell>
          <cell r="CP3" t="str">
            <v>3F</v>
          </cell>
          <cell r="CQ3" t="str">
            <v>2F</v>
          </cell>
          <cell r="CR3" t="str">
            <v>1F</v>
          </cell>
          <cell r="CS3" t="str">
            <v>B1</v>
          </cell>
          <cell r="CT3" t="str">
            <v>B2 &amp; Below</v>
          </cell>
          <cell r="CU3" t="str">
            <v>Other Revenue</v>
          </cell>
          <cell r="CV3" t="str">
            <v>Total Annual Rent</v>
          </cell>
          <cell r="CW3" t="str">
            <v>Parking Fee</v>
          </cell>
          <cell r="CX3" t="str">
            <v>Maintenance Fee</v>
          </cell>
          <cell r="CY3" t="str">
            <v>Other Revenue</v>
          </cell>
          <cell r="CZ3" t="str">
            <v>Room #</v>
          </cell>
          <cell r="DA3" t="str">
            <v>A.D.R.</v>
          </cell>
          <cell r="DB3" t="str">
            <v>Food/Beverage</v>
          </cell>
          <cell r="DC3" t="str">
            <v>Other Revenue</v>
          </cell>
          <cell r="DD3" t="str">
            <v>Room #</v>
          </cell>
          <cell r="DE3" t="str">
            <v>A.D.R.</v>
          </cell>
          <cell r="DF3" t="str">
            <v>Food/Beverage</v>
          </cell>
          <cell r="DG3" t="str">
            <v>Other Revenue</v>
          </cell>
          <cell r="DH3" t="str">
            <v>Rent Increased Rate</v>
          </cell>
          <cell r="DI3" t="str">
            <v>Discount Rate</v>
          </cell>
          <cell r="DJ3" t="str">
            <v>Operating Exp. Rate</v>
          </cell>
          <cell r="DK3" t="str">
            <v>Expense Increase Rate</v>
          </cell>
          <cell r="DL3" t="str">
            <v>Overall Cap Rate</v>
          </cell>
          <cell r="DM3" t="str">
            <v>Terminal Cap Rate</v>
          </cell>
          <cell r="DN3" t="str">
            <v>Tax &amp; Insu. Increase Rate</v>
          </cell>
          <cell r="DO3" t="str">
            <v>Selling Cost Rate</v>
          </cell>
          <cell r="DP3" t="str">
            <v>Capital Expenses</v>
          </cell>
          <cell r="DQ3" t="str">
            <v>Vacancy Rate(1st Year)</v>
          </cell>
          <cell r="DR3" t="str">
            <v>Stablilized Vacancy Rate</v>
          </cell>
          <cell r="DS3" t="str">
            <v>Stablilized Year</v>
          </cell>
          <cell r="DT3" t="str">
            <v>Deposit Convertion Rate</v>
          </cell>
          <cell r="DU3" t="str">
            <v>Rent Increased Rate</v>
          </cell>
          <cell r="DV3" t="str">
            <v>Discount Rate</v>
          </cell>
          <cell r="DW3" t="str">
            <v>Monthly Main. Exp. Rate</v>
          </cell>
          <cell r="DX3" t="str">
            <v>Expense Increase Rate</v>
          </cell>
          <cell r="DY3" t="str">
            <v>Overall Cap Rate</v>
          </cell>
          <cell r="DZ3" t="str">
            <v>Terminal Cap Rate</v>
          </cell>
          <cell r="EA3" t="str">
            <v>Tax &amp; Insu. Increase Rate</v>
          </cell>
          <cell r="EB3" t="str">
            <v>Selling Cost Rate</v>
          </cell>
          <cell r="EC3" t="str">
            <v>Capital Expenses</v>
          </cell>
          <cell r="ED3" t="str">
            <v>Vacancy Rate(1st Year)</v>
          </cell>
          <cell r="EE3" t="str">
            <v>Stablilized Vacancy Rate</v>
          </cell>
          <cell r="EF3" t="str">
            <v>Stablilized Year</v>
          </cell>
          <cell r="EG3" t="str">
            <v>Rental Revenue (Only Hotel)</v>
          </cell>
          <cell r="EH3" t="str">
            <v>Year 1</v>
          </cell>
          <cell r="EI3" t="str">
            <v>Year 2</v>
          </cell>
          <cell r="EJ3" t="str">
            <v>Year 3</v>
          </cell>
          <cell r="EK3" t="str">
            <v>Year 4</v>
          </cell>
          <cell r="EL3" t="str">
            <v>Year 5</v>
          </cell>
          <cell r="EM3" t="str">
            <v>Year 6</v>
          </cell>
          <cell r="EN3" t="str">
            <v>Bldg. Tax Adjusted S.A.</v>
          </cell>
          <cell r="EO3" t="str">
            <v>Income Final Value</v>
          </cell>
          <cell r="EP3" t="str">
            <v>Income Comment</v>
          </cell>
        </row>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row r="24">
          <cell r="A24">
            <v>21</v>
          </cell>
        </row>
        <row r="25">
          <cell r="A25">
            <v>22</v>
          </cell>
        </row>
        <row r="26">
          <cell r="A26">
            <v>23</v>
          </cell>
        </row>
        <row r="27">
          <cell r="A27">
            <v>24</v>
          </cell>
        </row>
        <row r="28">
          <cell r="A28">
            <v>25</v>
          </cell>
        </row>
        <row r="29">
          <cell r="A29">
            <v>26</v>
          </cell>
        </row>
        <row r="30">
          <cell r="A30">
            <v>27</v>
          </cell>
        </row>
        <row r="31">
          <cell r="A31">
            <v>28</v>
          </cell>
        </row>
        <row r="32">
          <cell r="A32">
            <v>29</v>
          </cell>
        </row>
        <row r="33">
          <cell r="A33">
            <v>30</v>
          </cell>
        </row>
        <row r="34">
          <cell r="A34">
            <v>31</v>
          </cell>
        </row>
        <row r="35">
          <cell r="A35">
            <v>32</v>
          </cell>
        </row>
        <row r="36">
          <cell r="A36">
            <v>33</v>
          </cell>
        </row>
        <row r="37">
          <cell r="A37">
            <v>34</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60</v>
          </cell>
        </row>
        <row r="64">
          <cell r="A64">
            <v>61</v>
          </cell>
        </row>
        <row r="65">
          <cell r="A65">
            <v>62</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row r="80">
          <cell r="A80">
            <v>77</v>
          </cell>
        </row>
        <row r="81">
          <cell r="A81">
            <v>78</v>
          </cell>
        </row>
        <row r="82">
          <cell r="A82">
            <v>79</v>
          </cell>
        </row>
        <row r="83">
          <cell r="A83">
            <v>80</v>
          </cell>
        </row>
        <row r="84">
          <cell r="A84">
            <v>81</v>
          </cell>
        </row>
        <row r="85">
          <cell r="A85">
            <v>82</v>
          </cell>
        </row>
        <row r="86">
          <cell r="A86">
            <v>83</v>
          </cell>
        </row>
        <row r="87">
          <cell r="A87">
            <v>84</v>
          </cell>
        </row>
        <row r="88">
          <cell r="A88">
            <v>85</v>
          </cell>
        </row>
        <row r="89">
          <cell r="A89">
            <v>86</v>
          </cell>
        </row>
        <row r="90">
          <cell r="A90">
            <v>87</v>
          </cell>
        </row>
        <row r="91">
          <cell r="A91">
            <v>88</v>
          </cell>
        </row>
        <row r="92">
          <cell r="A92">
            <v>89</v>
          </cell>
        </row>
        <row r="93">
          <cell r="A93">
            <v>90</v>
          </cell>
        </row>
        <row r="94">
          <cell r="A94">
            <v>91</v>
          </cell>
        </row>
        <row r="95">
          <cell r="A95">
            <v>92</v>
          </cell>
        </row>
        <row r="96">
          <cell r="A96">
            <v>93</v>
          </cell>
        </row>
        <row r="97">
          <cell r="A97">
            <v>94</v>
          </cell>
        </row>
        <row r="98">
          <cell r="A98">
            <v>95</v>
          </cell>
        </row>
        <row r="99">
          <cell r="A99">
            <v>96</v>
          </cell>
        </row>
        <row r="100">
          <cell r="A100">
            <v>97</v>
          </cell>
        </row>
        <row r="101">
          <cell r="A101">
            <v>98</v>
          </cell>
        </row>
        <row r="102">
          <cell r="A102">
            <v>99</v>
          </cell>
        </row>
        <row r="103">
          <cell r="A103">
            <v>100</v>
          </cell>
        </row>
        <row r="104">
          <cell r="A104">
            <v>101</v>
          </cell>
        </row>
        <row r="105">
          <cell r="A105">
            <v>102</v>
          </cell>
        </row>
        <row r="106">
          <cell r="A106">
            <v>103</v>
          </cell>
        </row>
        <row r="107">
          <cell r="A107">
            <v>104</v>
          </cell>
        </row>
        <row r="108">
          <cell r="A108">
            <v>105</v>
          </cell>
        </row>
        <row r="109">
          <cell r="A109">
            <v>106</v>
          </cell>
        </row>
        <row r="110">
          <cell r="A110">
            <v>107</v>
          </cell>
        </row>
        <row r="111">
          <cell r="A111">
            <v>108</v>
          </cell>
        </row>
        <row r="112">
          <cell r="A112">
            <v>109</v>
          </cell>
        </row>
        <row r="113">
          <cell r="A113">
            <v>110</v>
          </cell>
        </row>
        <row r="114">
          <cell r="A114">
            <v>111</v>
          </cell>
        </row>
        <row r="115">
          <cell r="A115">
            <v>112</v>
          </cell>
        </row>
        <row r="116">
          <cell r="A116">
            <v>113</v>
          </cell>
        </row>
        <row r="117">
          <cell r="A117">
            <v>114</v>
          </cell>
        </row>
        <row r="118">
          <cell r="A118">
            <v>115</v>
          </cell>
        </row>
        <row r="119">
          <cell r="A119">
            <v>116</v>
          </cell>
        </row>
        <row r="120">
          <cell r="A120">
            <v>117</v>
          </cell>
        </row>
        <row r="121">
          <cell r="A121">
            <v>118</v>
          </cell>
        </row>
        <row r="122">
          <cell r="A122">
            <v>119</v>
          </cell>
        </row>
        <row r="123">
          <cell r="A123">
            <v>120</v>
          </cell>
        </row>
        <row r="124">
          <cell r="A124">
            <v>121</v>
          </cell>
        </row>
        <row r="125">
          <cell r="A125">
            <v>122</v>
          </cell>
        </row>
        <row r="126">
          <cell r="A126">
            <v>123</v>
          </cell>
        </row>
        <row r="127">
          <cell r="A127">
            <v>124</v>
          </cell>
        </row>
        <row r="128">
          <cell r="A128">
            <v>125</v>
          </cell>
        </row>
        <row r="129">
          <cell r="A129">
            <v>126</v>
          </cell>
        </row>
        <row r="130">
          <cell r="A130">
            <v>127</v>
          </cell>
        </row>
        <row r="131">
          <cell r="A131">
            <v>128</v>
          </cell>
        </row>
        <row r="132">
          <cell r="A132">
            <v>129</v>
          </cell>
        </row>
        <row r="133">
          <cell r="A133">
            <v>130</v>
          </cell>
        </row>
        <row r="134">
          <cell r="A134">
            <v>131</v>
          </cell>
        </row>
        <row r="135">
          <cell r="A135">
            <v>132</v>
          </cell>
        </row>
        <row r="136">
          <cell r="A136">
            <v>133</v>
          </cell>
        </row>
        <row r="137">
          <cell r="A137">
            <v>134</v>
          </cell>
        </row>
        <row r="138">
          <cell r="A138">
            <v>135</v>
          </cell>
        </row>
        <row r="139">
          <cell r="A139">
            <v>136</v>
          </cell>
        </row>
        <row r="140">
          <cell r="A140">
            <v>137</v>
          </cell>
        </row>
        <row r="141">
          <cell r="A141">
            <v>138</v>
          </cell>
        </row>
        <row r="142">
          <cell r="A142">
            <v>139</v>
          </cell>
        </row>
        <row r="143">
          <cell r="A143">
            <v>140</v>
          </cell>
        </row>
        <row r="144">
          <cell r="A144">
            <v>141</v>
          </cell>
        </row>
        <row r="145">
          <cell r="A145">
            <v>142</v>
          </cell>
        </row>
        <row r="146">
          <cell r="A146">
            <v>143</v>
          </cell>
        </row>
        <row r="147">
          <cell r="A147">
            <v>144</v>
          </cell>
        </row>
        <row r="148">
          <cell r="A148">
            <v>145</v>
          </cell>
        </row>
        <row r="149">
          <cell r="A149">
            <v>146</v>
          </cell>
        </row>
        <row r="150">
          <cell r="A150">
            <v>147</v>
          </cell>
        </row>
        <row r="151">
          <cell r="A151">
            <v>148</v>
          </cell>
        </row>
        <row r="152">
          <cell r="A152">
            <v>149</v>
          </cell>
        </row>
        <row r="153">
          <cell r="A153">
            <v>150</v>
          </cell>
        </row>
        <row r="154">
          <cell r="A154">
            <v>151</v>
          </cell>
        </row>
        <row r="155">
          <cell r="A155">
            <v>152</v>
          </cell>
        </row>
        <row r="156">
          <cell r="A156">
            <v>153</v>
          </cell>
        </row>
        <row r="157">
          <cell r="A157">
            <v>154</v>
          </cell>
        </row>
        <row r="158">
          <cell r="A158">
            <v>155</v>
          </cell>
        </row>
        <row r="159">
          <cell r="A159">
            <v>156</v>
          </cell>
        </row>
        <row r="160">
          <cell r="A160">
            <v>157</v>
          </cell>
        </row>
        <row r="161">
          <cell r="A161">
            <v>158</v>
          </cell>
        </row>
        <row r="162">
          <cell r="A162">
            <v>159</v>
          </cell>
        </row>
        <row r="163">
          <cell r="A163">
            <v>160</v>
          </cell>
        </row>
        <row r="164">
          <cell r="A164">
            <v>161</v>
          </cell>
        </row>
        <row r="165">
          <cell r="A165">
            <v>162</v>
          </cell>
        </row>
        <row r="166">
          <cell r="A166">
            <v>163</v>
          </cell>
        </row>
        <row r="167">
          <cell r="A167">
            <v>164</v>
          </cell>
        </row>
        <row r="168">
          <cell r="A168">
            <v>165</v>
          </cell>
        </row>
        <row r="169">
          <cell r="A169">
            <v>166</v>
          </cell>
        </row>
        <row r="170">
          <cell r="A170">
            <v>167</v>
          </cell>
        </row>
        <row r="171">
          <cell r="A171">
            <v>168</v>
          </cell>
        </row>
        <row r="172">
          <cell r="A172">
            <v>169</v>
          </cell>
        </row>
        <row r="173">
          <cell r="A173">
            <v>170</v>
          </cell>
        </row>
        <row r="174">
          <cell r="A174">
            <v>171</v>
          </cell>
        </row>
        <row r="175">
          <cell r="A175">
            <v>172</v>
          </cell>
        </row>
        <row r="176">
          <cell r="A176">
            <v>173</v>
          </cell>
        </row>
        <row r="177">
          <cell r="A177">
            <v>174</v>
          </cell>
        </row>
        <row r="178">
          <cell r="A178">
            <v>175</v>
          </cell>
        </row>
        <row r="179">
          <cell r="A179">
            <v>176</v>
          </cell>
        </row>
        <row r="180">
          <cell r="A180">
            <v>177</v>
          </cell>
        </row>
        <row r="181">
          <cell r="A181">
            <v>178</v>
          </cell>
        </row>
        <row r="182">
          <cell r="A182">
            <v>179</v>
          </cell>
        </row>
        <row r="183">
          <cell r="A183">
            <v>180</v>
          </cell>
        </row>
        <row r="184">
          <cell r="A184">
            <v>181</v>
          </cell>
        </row>
        <row r="185">
          <cell r="A185">
            <v>182</v>
          </cell>
        </row>
        <row r="186">
          <cell r="A186">
            <v>183</v>
          </cell>
        </row>
        <row r="187">
          <cell r="A187">
            <v>184</v>
          </cell>
        </row>
        <row r="188">
          <cell r="A188">
            <v>185</v>
          </cell>
        </row>
        <row r="189">
          <cell r="A189">
            <v>186</v>
          </cell>
        </row>
        <row r="190">
          <cell r="A190">
            <v>187</v>
          </cell>
        </row>
        <row r="191">
          <cell r="A191">
            <v>188</v>
          </cell>
        </row>
        <row r="192">
          <cell r="A192">
            <v>189</v>
          </cell>
        </row>
        <row r="193">
          <cell r="A193">
            <v>190</v>
          </cell>
        </row>
        <row r="194">
          <cell r="A194">
            <v>191</v>
          </cell>
        </row>
        <row r="195">
          <cell r="A195">
            <v>192</v>
          </cell>
        </row>
        <row r="196">
          <cell r="A196">
            <v>193</v>
          </cell>
        </row>
        <row r="197">
          <cell r="A197">
            <v>194</v>
          </cell>
        </row>
        <row r="198">
          <cell r="A198">
            <v>195</v>
          </cell>
        </row>
        <row r="199">
          <cell r="A199">
            <v>196</v>
          </cell>
        </row>
        <row r="200">
          <cell r="A200">
            <v>197</v>
          </cell>
        </row>
        <row r="201">
          <cell r="A201">
            <v>198</v>
          </cell>
        </row>
        <row r="202">
          <cell r="A202">
            <v>199</v>
          </cell>
        </row>
        <row r="203">
          <cell r="A203">
            <v>200</v>
          </cell>
        </row>
      </sheetData>
      <sheetData sheetId="12"/>
      <sheetData sheetId="13">
        <row r="2">
          <cell r="A2" t="str">
            <v>Index</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France Budget 2003"/>
      <sheetName val="Balance"/>
      <sheetName val="P&amp;L monthly"/>
      <sheetName val="BA"/>
      <sheetName val="1 Cash Flow Analysis"/>
      <sheetName val="Set-Up"/>
      <sheetName val="B (Controls)"/>
      <sheetName val="Situation"/>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전기"/>
      <sheetName val="Tickmarks"/>
      <sheetName val="재무상태표"/>
      <sheetName val="CostData"/>
      <sheetName val="IncomeData"/>
      <sheetName val="Summary"/>
      <sheetName val="PropertyData"/>
      <sheetName val="Balance"/>
    </sheetNames>
    <sheetDataSet>
      <sheetData sheetId="0" refreshError="1">
        <row r="2">
          <cell r="H2">
            <v>0.2</v>
          </cell>
        </row>
        <row r="3">
          <cell r="I3">
            <v>288160000</v>
          </cell>
        </row>
      </sheetData>
      <sheetData sheetId="1">
        <row r="2">
          <cell r="G2">
            <v>0.2</v>
          </cell>
        </row>
        <row r="3">
          <cell r="H3">
            <v>144080000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orum DB"/>
      <sheetName val="Rent Roll-For Block Sale"/>
      <sheetName val="Total Rent Roll"/>
      <sheetName val="Database"/>
      <sheetName val="Size Distribution"/>
      <sheetName val="Size by Floors"/>
      <sheetName val="Common Area Size"/>
      <sheetName val="Floor Plan"/>
      <sheetName val="Sales Price"/>
      <sheetName val="Sales Price(sum)"/>
      <sheetName val="Floor Plan (2)"/>
      <sheetName val="Main"/>
      <sheetName val="Assumptions"/>
      <sheetName val="CostData"/>
      <sheetName val="IncomeData"/>
      <sheetName val="PropertyData"/>
      <sheetName val="Stac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이분석"/>
      <sheetName val="M_checking"/>
      <sheetName val="보고서"/>
      <sheetName val="Index"/>
      <sheetName val="S&amp;R"/>
      <sheetName val="FA"/>
      <sheetName val="CAPEX"/>
      <sheetName val="취득"/>
      <sheetName val="FCF_월"/>
      <sheetName val="FCF_연 "/>
      <sheetName val="BS_월"/>
      <sheetName val="BS_연"/>
      <sheetName val="IS_월"/>
      <sheetName val="IS_연"/>
      <sheetName val="CF_월"/>
      <sheetName val="CF_연"/>
      <sheetName val="EQ_월"/>
      <sheetName val="EQ_연"/>
      <sheetName val="임대수익"/>
      <sheetName val="관리수익"/>
      <sheetName val="보증금"/>
      <sheetName val="Opex"/>
      <sheetName val="보유세"/>
      <sheetName val="매각가"/>
      <sheetName val="재원조달(월)"/>
      <sheetName val="재원조달(연간)"/>
      <sheetName val="감가"/>
      <sheetName val="기타수입"/>
      <sheetName val="계약"/>
      <sheetName val="임대조건"/>
      <sheetName val="주차수익"/>
      <sheetName val="기타제세공과"/>
      <sheetName val="Balance"/>
      <sheetName val="노무비"/>
      <sheetName val="Development"/>
      <sheetName val="Total"/>
      <sheetName val="CostData"/>
      <sheetName val="IncomeData"/>
      <sheetName val="Summary"/>
      <sheetName val="PropertyData"/>
      <sheetName val="Proj Assum"/>
      <sheetName val="6월실적"/>
      <sheetName val="CASHFLOW"/>
      <sheetName val="Assumptions"/>
      <sheetName val="인원계획-미화"/>
      <sheetName val="Facility Information"/>
      <sheetName val="General"/>
      <sheetName val="Instructions"/>
      <sheetName val="People"/>
      <sheetName val="Quality"/>
      <sheetName val="Risk"/>
      <sheetName val="Training"/>
      <sheetName val="Project Assumptions"/>
      <sheetName val="Development Costs"/>
      <sheetName val="Y-WORK"/>
      <sheetName val="Pricing"/>
      <sheetName val="FCF_연_"/>
      <sheetName val="의왕F사"/>
      <sheetName val="가공사"/>
      <sheetName val="신구계정대사표"/>
      <sheetName val="Setup Fields"/>
      <sheetName val="공사현황"/>
      <sheetName val="일위대가"/>
      <sheetName val="표지 (2)"/>
      <sheetName val="comparables"/>
      <sheetName val="Deduction"/>
      <sheetName val="other"/>
      <sheetName val="Conclusion"/>
      <sheetName val="결정단가"/>
      <sheetName val="맵스14호_20050825-final"/>
      <sheetName val="총무팀"/>
      <sheetName val="마포-임현"/>
      <sheetName val="Budget 2005(DW)"/>
      <sheetName val="Expense Schedule (4)"/>
      <sheetName val="Facility_Information"/>
      <sheetName val="Project_Assumptions"/>
      <sheetName val="Development_Costs"/>
      <sheetName val="Proj_Assum"/>
      <sheetName val="FCF_연_1"/>
      <sheetName val="Facility_Information1"/>
      <sheetName val="Project_Assumptions1"/>
      <sheetName val="Development_Costs1"/>
      <sheetName val="Proj_Assum1"/>
      <sheetName val="Intro2"/>
      <sheetName val="Id"/>
      <sheetName val="Forum DB"/>
      <sheetName val="1.우편집중내역서"/>
      <sheetName val="Assumption"/>
      <sheetName val="1 Cash Flow Analysis"/>
      <sheetName val="Set-Up"/>
      <sheetName val="B (Controls)"/>
      <sheetName val="지급어음(일별)"/>
    </sheetNames>
    <sheetDataSet>
      <sheetData sheetId="0" refreshError="1"/>
      <sheetData sheetId="1" refreshError="1"/>
      <sheetData sheetId="2" refreshError="1"/>
      <sheetData sheetId="3" refreshError="1"/>
      <sheetData sheetId="4" refreshError="1">
        <row r="1">
          <cell r="M1" t="str">
            <v>스타디아</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CostData"/>
      <sheetName val="IncomeData"/>
      <sheetName val="PropertyData"/>
      <sheetName val="정리"/>
      <sheetName val="Summary"/>
      <sheetName val="S&amp;R"/>
      <sheetName val="Facility Information"/>
      <sheetName val="Instructions"/>
      <sheetName val="대차대조표"/>
      <sheetName val="손익계산서"/>
      <sheetName val="Balance"/>
      <sheetName val="Assumptions "/>
      <sheetName val="Development"/>
      <sheetName val="Income"/>
      <sheetName val="Total"/>
      <sheetName val="한국중공업시설"/>
      <sheetName val="공사현황"/>
      <sheetName val="일위대가"/>
      <sheetName val="Area"/>
      <sheetName val="Assumption"/>
      <sheetName val="1 Cash Flow Analysis"/>
      <sheetName val="Set-Up"/>
      <sheetName val="B (Contro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공문"/>
      <sheetName val="세부내역"/>
      <sheetName val="C"/>
    </sheetNames>
    <definedNames>
      <definedName name="Dongjin"/>
      <definedName name="GVF"/>
      <definedName name="ㅠㅎ"/>
      <definedName name="요금"/>
    </definedNames>
    <sheetDataSet>
      <sheetData sheetId="0"/>
      <sheetData sheetId="1"/>
      <sheetData sheetId="2"/>
      <sheetData sheetId="3" refreshError="1"/>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Balance"/>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비"/>
      <sheetName val="Development"/>
      <sheetName val="Income"/>
      <sheetName val="Total"/>
      <sheetName val="S&amp;R"/>
    </sheetNames>
    <sheetDataSet>
      <sheetData sheetId="0" refreshError="1">
        <row r="3">
          <cell r="AA3">
            <v>1300</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설총괄"/>
      <sheetName val="시설총괄 (2)"/>
      <sheetName val="시설총괄대비"/>
      <sheetName val="사당"/>
      <sheetName val="덕산"/>
      <sheetName val="양정"/>
      <sheetName val="Area"/>
      <sheetName val="科目ﾘｽﾄ"/>
      <sheetName val="Initial Input Variable"/>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Area"/>
      <sheetName val="인원계획-미화"/>
      <sheetName val="Office only Letup"/>
      <sheetName val="노무비"/>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Customer Databas"/>
      <sheetName val="Area"/>
      <sheetName val="Input Screen"/>
      <sheetName val="Operational Activities"/>
      <sheetName val="노무비"/>
      <sheetName val="Customer_Databas"/>
      <sheetName val="Input_Screen"/>
      <sheetName val="Operational_Activities"/>
      <sheetName val="Jupiter"/>
      <sheetName val="인원계획-미화"/>
      <sheetName val="Budget을 위한 SAC사업분석- 작업중"/>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건물현황"/>
      <sheetName val="Cash Flows"/>
      <sheetName val="감가상각"/>
      <sheetName val="내역"/>
      <sheetName val="요약BS"/>
      <sheetName val="상가매매0115"/>
      <sheetName val="상가임대0115"/>
      <sheetName val="공통가설"/>
      <sheetName val="Customer_Databas2"/>
      <sheetName val="Input_Screen2"/>
      <sheetName val="Operational_Activities2"/>
      <sheetName val="Budget을_위한_SAC사업분석-_작업중"/>
      <sheetName val="Office_only_Letup1"/>
      <sheetName val="년간손익실적"/>
      <sheetName val="차수"/>
      <sheetName val="CostApp."/>
      <sheetName val="Lookup"/>
      <sheetName val="95WBS"/>
      <sheetName val="0.1keyAssumption"/>
      <sheetName val="0.0ControlSheet"/>
      <sheetName val="업무용유지비실적"/>
      <sheetName val="賃料等一覧"/>
      <sheetName val="간접비계산"/>
      <sheetName val="GenLedger BalSht"/>
      <sheetName val="XLUTIL"/>
      <sheetName val="목록"/>
      <sheetName val="중기"/>
      <sheetName val="CostApp_"/>
      <sheetName val="0_1keyAssumption"/>
      <sheetName val="0_0ControlSheet"/>
      <sheetName val="차액보증"/>
      <sheetName val="설-원가"/>
      <sheetName val="설치자재"/>
      <sheetName val="단중"/>
      <sheetName val="MOTOR"/>
      <sheetName val="RM목표&amp;실적"/>
      <sheetName val="CostApp_1"/>
      <sheetName val="0_1keyAssumption1"/>
      <sheetName val="0_0ControlSheet1"/>
      <sheetName val="GenLedger_BalSht"/>
      <sheetName val="Data Sheet"/>
      <sheetName val="빌딩코드"/>
      <sheetName val="anaysis_sheet"/>
      <sheetName val="Global Assumption"/>
      <sheetName val="Template"/>
      <sheetName val="Total"/>
      <sheetName val="리츠"/>
      <sheetName val="Assumptions"/>
      <sheetName val="이우(hd)"/>
      <sheetName val="식재수량표"/>
      <sheetName val="Daten_ME"/>
      <sheetName val="2004SS"/>
      <sheetName val="2004CJ"/>
      <sheetName val="회사정보"/>
      <sheetName val="건재양식"/>
      <sheetName val="견적기준"/>
      <sheetName val="수익률"/>
      <sheetName val="Sim"/>
      <sheetName val="가정 및 결과"/>
      <sheetName val="배당"/>
      <sheetName val="수익"/>
      <sheetName val="Sheet5"/>
      <sheetName val="EQUIP-H"/>
      <sheetName val="CostData"/>
      <sheetName val="IncomeData"/>
      <sheetName val="Summary"/>
      <sheetName val="PropertyData"/>
      <sheetName val="1Month+Sheet2!"/>
      <sheetName val="Training"/>
      <sheetName val="총무팀"/>
      <sheetName val="마포-임현"/>
      <sheetName val="익월작업계힉"/>
      <sheetName val="98지급계획"/>
      <sheetName val="3본사"/>
      <sheetName val="국내"/>
      <sheetName val="2월가격표"/>
      <sheetName val="품셈TABLE"/>
      <sheetName val="10. 임차사 재무건전성 분석"/>
      <sheetName val="수익01"/>
      <sheetName val="Assumption"/>
      <sheetName val="수량산출"/>
      <sheetName val="1_當期시산표"/>
      <sheetName val="NH농협캐피탈_임,_관리비_수익추정_'14_05_~_'1"/>
      <sheetName val="Initial_Input_Variable"/>
      <sheetName val="Cash_Flows"/>
      <sheetName val="@RISK Correlations"/>
      <sheetName val="광주운남을"/>
      <sheetName val="수량산출서 (2)"/>
      <sheetName val="보일러"/>
      <sheetName val="RE9604"/>
      <sheetName val="Cost bd-&quot;A&quot;"/>
      <sheetName val="임대료산정(자동계산)"/>
      <sheetName val="VA요약(가정 및 배당)"/>
      <sheetName val="CostApp_2"/>
      <sheetName val="0_1keyAssumption2"/>
      <sheetName val="0_0ControlSheet2"/>
      <sheetName val="Budget을_위한_SAC사업분석-_작업중1"/>
      <sheetName val="GenLedger_BalSht1"/>
      <sheetName val="Data_Sheet"/>
      <sheetName val="Global_Assumption"/>
      <sheetName val="Cash Flow"/>
      <sheetName val="Source"/>
      <sheetName val="Foreclosure"/>
      <sheetName val="sheets"/>
      <sheetName val="FCU (2)"/>
      <sheetName val="가정_및_결과"/>
      <sheetName val="본관내역서"/>
      <sheetName val="Utility Usage엠닷컴 26"/>
      <sheetName val="Secured Master"/>
      <sheetName val="평자재단가"/>
      <sheetName val="10__임차사_재무건전성_분석"/>
      <sheetName val="4-3. 냉수 사용량"/>
      <sheetName val="4-4. 온수 사용량"/>
      <sheetName val="4-5. 상하수도 사용량"/>
      <sheetName val="Collateral"/>
      <sheetName val="1"/>
      <sheetName val="賃貸条件"/>
      <sheetName val="転記用"/>
      <sheetName val="이자율"/>
      <sheetName val="1.표지"/>
      <sheetName val="현장"/>
      <sheetName val="Budget 2005(DW)"/>
      <sheetName val="Utilities"/>
      <sheetName val="서울경제 신문 1,500평.xlsx"/>
      <sheetName val="도급자재"/>
      <sheetName val="급여대장"/>
      <sheetName val="I一般比"/>
      <sheetName val="Replacement"/>
      <sheetName val="Rent Roll"/>
      <sheetName val="Construction"/>
      <sheetName val="INFO"/>
      <sheetName val="Intro2"/>
      <sheetName val="실행내역"/>
      <sheetName val="2분기 체크리스트.xlsx"/>
      <sheetName val="월별생산"/>
      <sheetName val="준공내역(을)"/>
      <sheetName val="수지차(년)"/>
      <sheetName val="Parameter"/>
      <sheetName val="値付くん"/>
      <sheetName val="이익잉여금처분계산서"/>
      <sheetName val="재무상태변동표"/>
      <sheetName val="제조원가명세서"/>
      <sheetName val="현금흐름표"/>
      <sheetName val="BID"/>
      <sheetName val="Macro Codes"/>
      <sheetName val="Work"/>
      <sheetName val="확약서"/>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基本データ"/>
      <sheetName val="wall"/>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Area"/>
      <sheetName val="시설총괄"/>
      <sheetName val="Customer Databas"/>
      <sheetName val="TEL"/>
      <sheetName val="을"/>
      <sheetName val="6월실적"/>
      <sheetName val="인원계획-미화"/>
      <sheetName val="2000년1차"/>
      <sheetName val="2000전체분"/>
      <sheetName val="노무비"/>
      <sheetName val="Sheet5"/>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Beforesyy"/>
      <sheetName val="Foreclosure"/>
      <sheetName val="Area"/>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Template"/>
      <sheetName val="설계명세서"/>
      <sheetName val="Foreclosure"/>
      <sheetName val="간이연락"/>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Analysis"/>
      <sheetName val="Rent Sensitivity"/>
      <sheetName val="Operating Summary"/>
      <sheetName val="Operating CF"/>
      <sheetName val="Rent Roll Worksheet"/>
      <sheetName val="Comps"/>
      <sheetName val="Building R&amp;M"/>
      <sheetName val="Insurance &amp; CAPEX"/>
      <sheetName val="Taxes"/>
      <sheetName val="Calcs"/>
      <sheetName val="Forum DB"/>
      <sheetName val="Assumption"/>
    </sheetNames>
    <sheetDataSet>
      <sheetData sheetId="0" refreshError="1"/>
      <sheetData sheetId="1" refreshError="1"/>
      <sheetData sheetId="2" refreshError="1">
        <row r="4">
          <cell r="F4">
            <v>3031.18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Assumption"/>
      <sheetName val="Beforesyy"/>
      <sheetName val="Foreclosure"/>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Operating Summary"/>
      <sheetName val="Assumption"/>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2004CJ"/>
      <sheetName val="Assumption"/>
      <sheetName val="1 Cash Flow Analysis"/>
      <sheetName val="재무가정"/>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xml:space="preserve">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xml:space="preserve">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임대료산정(자동계산)"/>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2004SS"/>
      <sheetName val="2004CJ"/>
      <sheetName val="Intro2"/>
      <sheetName val="Id"/>
      <sheetName val="Assumption"/>
      <sheetName val="summary"/>
      <sheetName val="노무비"/>
      <sheetName val="회사정보"/>
      <sheetName val="간접재료비산출표-27-30"/>
      <sheetName val="FX Rates"/>
      <sheetName val="ASSUM"/>
      <sheetName val=" 견적서"/>
      <sheetName val="재무가정"/>
      <sheetName val="tsuga"/>
      <sheetName val="経費一覧(income)"/>
      <sheetName val="経費一覧(Payment)"/>
      <sheetName val="Tier 1"/>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
      <sheetName val="2004予算"/>
      <sheetName val="System settings"/>
      <sheetName val="Ikegami_Rent Roll  "/>
      <sheetName val="HONG KONG"/>
      <sheetName val="LONDON"/>
      <sheetName val="New York"/>
      <sheetName val="h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2">
          <cell r="E102">
            <v>0</v>
          </cell>
          <cell r="F102">
            <v>0</v>
          </cell>
          <cell r="G102">
            <v>0</v>
          </cell>
          <cell r="H102">
            <v>0</v>
          </cell>
          <cell r="I102">
            <v>0</v>
          </cell>
          <cell r="J102">
            <v>0</v>
          </cell>
          <cell r="K102">
            <v>0</v>
          </cell>
          <cell r="L102">
            <v>0</v>
          </cell>
          <cell r="M102">
            <v>0</v>
          </cell>
          <cell r="N102">
            <v>0</v>
          </cell>
          <cell r="O102">
            <v>0</v>
          </cell>
          <cell r="P102">
            <v>0</v>
          </cell>
          <cell r="Q102">
            <v>0</v>
          </cell>
          <cell r="R102">
            <v>64462.835161124916</v>
          </cell>
          <cell r="S102">
            <v>51986.860862706606</v>
          </cell>
          <cell r="T102">
            <v>106498.07835219578</v>
          </cell>
          <cell r="U102">
            <v>192420.13424849883</v>
          </cell>
          <cell r="V102">
            <v>335495.42746156233</v>
          </cell>
          <cell r="W102">
            <v>463596.4716894895</v>
          </cell>
          <cell r="X102">
            <v>495461.53396917135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 val="Area"/>
      <sheetName val="1 Cash Flow Analysis"/>
      <sheetName val="CF"/>
      <sheetName val="민감도"/>
      <sheetName val="기본가정"/>
      <sheetName val="Sim"/>
      <sheetName val="Macro!"/>
      <sheetName val="Id"/>
      <sheetName val="Intro2"/>
    </sheetNames>
    <sheetDataSet>
      <sheetData sheetId="0"/>
      <sheetData sheetId="1" refreshError="1">
        <row r="3">
          <cell r="A3">
            <v>681110</v>
          </cell>
          <cell r="C3">
            <v>279.33</v>
          </cell>
        </row>
        <row r="4">
          <cell r="A4">
            <v>681120</v>
          </cell>
          <cell r="C4">
            <v>50845.84</v>
          </cell>
        </row>
        <row r="5">
          <cell r="A5">
            <v>280510</v>
          </cell>
          <cell r="D5">
            <v>279.33</v>
          </cell>
        </row>
        <row r="6">
          <cell r="A6">
            <v>281570</v>
          </cell>
          <cell r="D6">
            <v>2733.97</v>
          </cell>
        </row>
        <row r="7">
          <cell r="A7">
            <v>281820</v>
          </cell>
          <cell r="D7">
            <v>31508.43</v>
          </cell>
        </row>
        <row r="8">
          <cell r="A8">
            <v>281830</v>
          </cell>
          <cell r="D8">
            <v>1206.8900000000001</v>
          </cell>
        </row>
        <row r="9">
          <cell r="A9">
            <v>281831</v>
          </cell>
          <cell r="D9">
            <v>8520.76</v>
          </cell>
        </row>
        <row r="10">
          <cell r="A10">
            <v>281832</v>
          </cell>
          <cell r="D10">
            <v>1080.02</v>
          </cell>
        </row>
        <row r="11">
          <cell r="A11">
            <v>281833</v>
          </cell>
          <cell r="D11">
            <v>3919.9</v>
          </cell>
        </row>
        <row r="12">
          <cell r="A12">
            <v>281840</v>
          </cell>
          <cell r="D12">
            <v>1875.87</v>
          </cell>
        </row>
        <row r="13">
          <cell r="A13">
            <v>631200</v>
          </cell>
          <cell r="C13">
            <v>431</v>
          </cell>
        </row>
        <row r="14">
          <cell r="A14">
            <v>631201</v>
          </cell>
          <cell r="C14">
            <v>598</v>
          </cell>
        </row>
        <row r="15">
          <cell r="A15">
            <v>631202</v>
          </cell>
          <cell r="C15">
            <v>309</v>
          </cell>
        </row>
        <row r="16">
          <cell r="A16">
            <v>631203</v>
          </cell>
          <cell r="C16">
            <v>151</v>
          </cell>
        </row>
        <row r="17">
          <cell r="A17">
            <v>631204</v>
          </cell>
          <cell r="C17">
            <v>245</v>
          </cell>
        </row>
        <row r="18">
          <cell r="A18">
            <v>631205</v>
          </cell>
          <cell r="C18">
            <v>279</v>
          </cell>
        </row>
        <row r="19">
          <cell r="A19">
            <v>631206</v>
          </cell>
          <cell r="C19">
            <v>392</v>
          </cell>
        </row>
        <row r="20">
          <cell r="A20">
            <v>631207</v>
          </cell>
          <cell r="C20">
            <v>23</v>
          </cell>
        </row>
        <row r="21">
          <cell r="A21">
            <v>631209</v>
          </cell>
          <cell r="C21">
            <v>204</v>
          </cell>
        </row>
        <row r="22">
          <cell r="A22">
            <v>631300</v>
          </cell>
          <cell r="C22">
            <v>216</v>
          </cell>
        </row>
        <row r="23">
          <cell r="A23">
            <v>631301</v>
          </cell>
          <cell r="C23">
            <v>299</v>
          </cell>
        </row>
        <row r="24">
          <cell r="A24">
            <v>631302</v>
          </cell>
          <cell r="C24">
            <v>154</v>
          </cell>
        </row>
        <row r="25">
          <cell r="A25">
            <v>631303</v>
          </cell>
          <cell r="C25">
            <v>76</v>
          </cell>
        </row>
        <row r="26">
          <cell r="A26">
            <v>631304</v>
          </cell>
          <cell r="C26">
            <v>123</v>
          </cell>
        </row>
        <row r="27">
          <cell r="A27">
            <v>631305</v>
          </cell>
          <cell r="C27">
            <v>139</v>
          </cell>
        </row>
        <row r="28">
          <cell r="A28">
            <v>631306</v>
          </cell>
          <cell r="C28">
            <v>196</v>
          </cell>
        </row>
        <row r="29">
          <cell r="A29">
            <v>631307</v>
          </cell>
          <cell r="C29">
            <v>12</v>
          </cell>
        </row>
        <row r="30">
          <cell r="A30">
            <v>631309</v>
          </cell>
          <cell r="C30">
            <v>102</v>
          </cell>
        </row>
        <row r="31">
          <cell r="A31">
            <v>448600</v>
          </cell>
          <cell r="D31">
            <v>3949</v>
          </cell>
        </row>
        <row r="32">
          <cell r="A32">
            <v>606100</v>
          </cell>
          <cell r="C32">
            <v>165</v>
          </cell>
        </row>
        <row r="33">
          <cell r="A33">
            <v>613500</v>
          </cell>
          <cell r="C33">
            <v>515</v>
          </cell>
        </row>
        <row r="34">
          <cell r="A34">
            <v>615100</v>
          </cell>
          <cell r="C34">
            <v>38</v>
          </cell>
        </row>
        <row r="35">
          <cell r="A35">
            <v>615300</v>
          </cell>
          <cell r="C35">
            <v>439</v>
          </cell>
        </row>
        <row r="36">
          <cell r="A36">
            <v>622610</v>
          </cell>
          <cell r="C36">
            <v>2000</v>
          </cell>
        </row>
        <row r="37">
          <cell r="A37">
            <v>622620</v>
          </cell>
          <cell r="C37">
            <v>6174</v>
          </cell>
        </row>
        <row r="38">
          <cell r="A38">
            <v>623130</v>
          </cell>
          <cell r="C38">
            <v>4310</v>
          </cell>
        </row>
        <row r="39">
          <cell r="A39">
            <v>624000</v>
          </cell>
          <cell r="C39">
            <v>600</v>
          </cell>
        </row>
        <row r="40">
          <cell r="A40">
            <v>625140</v>
          </cell>
          <cell r="C40">
            <v>919</v>
          </cell>
        </row>
        <row r="41">
          <cell r="A41">
            <v>625700</v>
          </cell>
          <cell r="C41">
            <v>500</v>
          </cell>
        </row>
        <row r="42">
          <cell r="A42">
            <v>626000</v>
          </cell>
          <cell r="C42">
            <v>852</v>
          </cell>
        </row>
        <row r="43">
          <cell r="A43">
            <v>626250</v>
          </cell>
          <cell r="C43">
            <v>232</v>
          </cell>
        </row>
        <row r="44">
          <cell r="A44">
            <v>625100</v>
          </cell>
          <cell r="C44">
            <v>13850</v>
          </cell>
        </row>
        <row r="45">
          <cell r="A45">
            <v>626220</v>
          </cell>
        </row>
        <row r="46">
          <cell r="A46">
            <v>408100</v>
          </cell>
          <cell r="D46">
            <v>30594</v>
          </cell>
        </row>
        <row r="47">
          <cell r="A47">
            <v>486000</v>
          </cell>
          <cell r="C47">
            <v>19070</v>
          </cell>
        </row>
        <row r="48">
          <cell r="A48">
            <v>616100</v>
          </cell>
          <cell r="D48">
            <v>487</v>
          </cell>
        </row>
        <row r="49">
          <cell r="A49">
            <v>616300</v>
          </cell>
          <cell r="D49">
            <v>135</v>
          </cell>
        </row>
        <row r="50">
          <cell r="A50">
            <v>613200</v>
          </cell>
          <cell r="D50">
            <v>16343</v>
          </cell>
        </row>
        <row r="51">
          <cell r="A51">
            <v>613210</v>
          </cell>
          <cell r="D51">
            <v>2105</v>
          </cell>
        </row>
        <row r="52">
          <cell r="A52">
            <v>623500</v>
          </cell>
          <cell r="C52">
            <v>32553</v>
          </cell>
        </row>
        <row r="53">
          <cell r="A53">
            <v>408100</v>
          </cell>
          <cell r="D53">
            <v>32553</v>
          </cell>
        </row>
        <row r="54">
          <cell r="A54">
            <v>766000</v>
          </cell>
          <cell r="D54">
            <v>24236</v>
          </cell>
        </row>
        <row r="55">
          <cell r="A55">
            <v>455110</v>
          </cell>
          <cell r="C55">
            <v>24236</v>
          </cell>
        </row>
        <row r="56">
          <cell r="A56">
            <v>635420</v>
          </cell>
          <cell r="C56">
            <v>1300</v>
          </cell>
        </row>
        <row r="57">
          <cell r="A57">
            <v>637100</v>
          </cell>
          <cell r="C57">
            <v>894</v>
          </cell>
        </row>
        <row r="58">
          <cell r="A58">
            <v>635110</v>
          </cell>
          <cell r="C58">
            <v>20581</v>
          </cell>
        </row>
        <row r="59">
          <cell r="A59">
            <v>635120</v>
          </cell>
          <cell r="C59">
            <v>466</v>
          </cell>
        </row>
        <row r="60">
          <cell r="A60">
            <v>448600</v>
          </cell>
          <cell r="D60">
            <v>23241</v>
          </cell>
        </row>
        <row r="61">
          <cell r="A61">
            <v>486000</v>
          </cell>
          <cell r="C61">
            <v>5096.3999999999996</v>
          </cell>
        </row>
        <row r="62">
          <cell r="A62">
            <v>623310</v>
          </cell>
          <cell r="D62">
            <v>5096.3999999999996</v>
          </cell>
        </row>
        <row r="63">
          <cell r="A63">
            <v>616800</v>
          </cell>
          <cell r="C63">
            <v>1522</v>
          </cell>
        </row>
        <row r="64">
          <cell r="A64">
            <v>408100</v>
          </cell>
          <cell r="D64">
            <v>1522</v>
          </cell>
        </row>
        <row r="65">
          <cell r="A65">
            <v>616800</v>
          </cell>
          <cell r="C65">
            <v>3429.08</v>
          </cell>
        </row>
        <row r="66">
          <cell r="A66">
            <v>616300</v>
          </cell>
          <cell r="D66">
            <v>3429.08</v>
          </cell>
        </row>
        <row r="67">
          <cell r="A67">
            <v>616800</v>
          </cell>
          <cell r="C67">
            <v>1200</v>
          </cell>
        </row>
        <row r="68">
          <cell r="A68">
            <v>408100</v>
          </cell>
          <cell r="D68">
            <v>1200</v>
          </cell>
        </row>
        <row r="69">
          <cell r="A69">
            <v>623110</v>
          </cell>
          <cell r="C69">
            <v>4056.7951318458418</v>
          </cell>
        </row>
        <row r="70">
          <cell r="A70">
            <v>623150</v>
          </cell>
          <cell r="C70">
            <v>5070.9939148073026</v>
          </cell>
        </row>
        <row r="71">
          <cell r="A71">
            <v>623500</v>
          </cell>
          <cell r="C71">
            <v>14000</v>
          </cell>
        </row>
        <row r="72">
          <cell r="A72">
            <v>408100</v>
          </cell>
          <cell r="D72">
            <v>23127.79</v>
          </cell>
        </row>
        <row r="73">
          <cell r="A73">
            <v>486000</v>
          </cell>
        </row>
        <row r="74">
          <cell r="A74">
            <v>616800</v>
          </cell>
        </row>
        <row r="75">
          <cell r="A75">
            <v>625100</v>
          </cell>
        </row>
        <row r="76">
          <cell r="A76">
            <v>408100</v>
          </cell>
        </row>
        <row r="77">
          <cell r="A77">
            <v>606400</v>
          </cell>
        </row>
        <row r="78">
          <cell r="A78">
            <v>408100</v>
          </cell>
        </row>
        <row r="79">
          <cell r="A79">
            <v>444000</v>
          </cell>
        </row>
        <row r="80">
          <cell r="A80">
            <v>695100</v>
          </cell>
        </row>
        <row r="81">
          <cell r="A81">
            <v>623000</v>
          </cell>
        </row>
        <row r="82">
          <cell r="A82">
            <v>625700</v>
          </cell>
        </row>
        <row r="83">
          <cell r="A83">
            <v>623000</v>
          </cell>
        </row>
        <row r="84">
          <cell r="A84">
            <v>625700</v>
          </cell>
        </row>
        <row r="85">
          <cell r="A85">
            <v>486000</v>
          </cell>
        </row>
        <row r="86">
          <cell r="A86">
            <v>635120</v>
          </cell>
        </row>
        <row r="87">
          <cell r="A87">
            <v>428600</v>
          </cell>
          <cell r="C87">
            <v>58365.11</v>
          </cell>
        </row>
        <row r="88">
          <cell r="A88">
            <v>641300</v>
          </cell>
          <cell r="D88">
            <v>58365.11</v>
          </cell>
        </row>
        <row r="89">
          <cell r="A89">
            <v>645803</v>
          </cell>
          <cell r="D89">
            <v>23346</v>
          </cell>
        </row>
        <row r="90">
          <cell r="A90">
            <v>438600</v>
          </cell>
          <cell r="C90">
            <v>23346</v>
          </cell>
        </row>
        <row r="91">
          <cell r="A91">
            <v>151510</v>
          </cell>
          <cell r="C91">
            <v>20783.87</v>
          </cell>
        </row>
        <row r="92">
          <cell r="A92">
            <v>787510</v>
          </cell>
          <cell r="D92">
            <v>20783.87</v>
          </cell>
        </row>
        <row r="93">
          <cell r="A93">
            <v>616800</v>
          </cell>
        </row>
        <row r="94">
          <cell r="A94">
            <v>623500</v>
          </cell>
        </row>
        <row r="95">
          <cell r="A95">
            <v>623110</v>
          </cell>
        </row>
        <row r="96">
          <cell r="A96">
            <v>616100</v>
          </cell>
        </row>
        <row r="97">
          <cell r="A97">
            <v>623310</v>
          </cell>
        </row>
        <row r="98">
          <cell r="A98">
            <v>408100</v>
          </cell>
        </row>
        <row r="99">
          <cell r="A99">
            <v>641110</v>
          </cell>
          <cell r="C99">
            <v>10444</v>
          </cell>
        </row>
        <row r="100">
          <cell r="A100">
            <v>641111</v>
          </cell>
        </row>
        <row r="101">
          <cell r="A101">
            <v>641112</v>
          </cell>
        </row>
        <row r="102">
          <cell r="A102">
            <v>641113</v>
          </cell>
          <cell r="C102">
            <v>1829</v>
          </cell>
        </row>
        <row r="103">
          <cell r="A103">
            <v>641114</v>
          </cell>
          <cell r="C103">
            <v>3260</v>
          </cell>
        </row>
        <row r="104">
          <cell r="A104">
            <v>641115</v>
          </cell>
          <cell r="C104">
            <v>5267</v>
          </cell>
        </row>
        <row r="105">
          <cell r="A105">
            <v>641116</v>
          </cell>
          <cell r="C105">
            <v>8232</v>
          </cell>
        </row>
        <row r="106">
          <cell r="A106">
            <v>641119</v>
          </cell>
          <cell r="C106">
            <v>2744</v>
          </cell>
        </row>
        <row r="107">
          <cell r="A107">
            <v>421000</v>
          </cell>
          <cell r="D107">
            <v>31776</v>
          </cell>
        </row>
        <row r="108">
          <cell r="A108">
            <v>645100</v>
          </cell>
          <cell r="C108">
            <v>4491</v>
          </cell>
        </row>
        <row r="109">
          <cell r="A109">
            <v>645101</v>
          </cell>
        </row>
        <row r="110">
          <cell r="A110">
            <v>645102</v>
          </cell>
        </row>
        <row r="111">
          <cell r="A111">
            <v>645103</v>
          </cell>
          <cell r="C111">
            <v>787</v>
          </cell>
        </row>
        <row r="112">
          <cell r="A112">
            <v>645104</v>
          </cell>
          <cell r="C112">
            <v>1402</v>
          </cell>
        </row>
        <row r="113">
          <cell r="A113">
            <v>645105</v>
          </cell>
          <cell r="C113">
            <v>2265</v>
          </cell>
        </row>
        <row r="114">
          <cell r="A114">
            <v>645106</v>
          </cell>
          <cell r="C114">
            <v>3540</v>
          </cell>
        </row>
        <row r="115">
          <cell r="A115">
            <v>645109</v>
          </cell>
          <cell r="C115">
            <v>1180</v>
          </cell>
        </row>
        <row r="116">
          <cell r="A116">
            <v>431000</v>
          </cell>
          <cell r="D116">
            <v>13665</v>
          </cell>
        </row>
        <row r="117">
          <cell r="A117">
            <v>623310</v>
          </cell>
        </row>
        <row r="118">
          <cell r="A118">
            <v>486000</v>
          </cell>
        </row>
        <row r="120">
          <cell r="A120">
            <v>401000</v>
          </cell>
        </row>
        <row r="121">
          <cell r="A121">
            <v>623000</v>
          </cell>
        </row>
        <row r="122">
          <cell r="A122">
            <v>623150</v>
          </cell>
        </row>
        <row r="123">
          <cell r="A123">
            <v>408100</v>
          </cell>
        </row>
        <row r="126">
          <cell r="A126">
            <v>641115</v>
          </cell>
        </row>
        <row r="127">
          <cell r="A127">
            <v>641116</v>
          </cell>
        </row>
        <row r="128">
          <cell r="A128">
            <v>641117</v>
          </cell>
        </row>
        <row r="129">
          <cell r="A129">
            <v>641111</v>
          </cell>
        </row>
        <row r="130">
          <cell r="A130">
            <v>645102</v>
          </cell>
        </row>
        <row r="131">
          <cell r="A131">
            <v>645103</v>
          </cell>
        </row>
        <row r="132">
          <cell r="A132">
            <v>645104</v>
          </cell>
        </row>
        <row r="133">
          <cell r="A133">
            <v>645105</v>
          </cell>
        </row>
        <row r="134">
          <cell r="A134">
            <v>645106</v>
          </cell>
        </row>
        <row r="135">
          <cell r="A135">
            <v>645107</v>
          </cell>
        </row>
        <row r="136">
          <cell r="A136">
            <v>428600</v>
          </cell>
        </row>
        <row r="137">
          <cell r="A137">
            <v>641119</v>
          </cell>
        </row>
        <row r="138">
          <cell r="A138">
            <v>641112</v>
          </cell>
        </row>
        <row r="139">
          <cell r="A139">
            <v>641113</v>
          </cell>
        </row>
        <row r="140">
          <cell r="A140">
            <v>641114</v>
          </cell>
        </row>
        <row r="141">
          <cell r="A141">
            <v>641115</v>
          </cell>
        </row>
        <row r="142">
          <cell r="A142">
            <v>641116</v>
          </cell>
        </row>
        <row r="143">
          <cell r="A143">
            <v>641111</v>
          </cell>
        </row>
        <row r="144">
          <cell r="A144">
            <v>641300</v>
          </cell>
        </row>
        <row r="145">
          <cell r="A145">
            <v>645103</v>
          </cell>
        </row>
        <row r="146">
          <cell r="A146">
            <v>645104</v>
          </cell>
        </row>
        <row r="147">
          <cell r="A147">
            <v>645105</v>
          </cell>
        </row>
        <row r="148">
          <cell r="A148">
            <v>645106</v>
          </cell>
        </row>
        <row r="149">
          <cell r="A149">
            <v>645109</v>
          </cell>
        </row>
        <row r="150">
          <cell r="A150">
            <v>645102</v>
          </cell>
        </row>
        <row r="151">
          <cell r="A151">
            <v>645101</v>
          </cell>
        </row>
        <row r="152">
          <cell r="A152">
            <v>645803</v>
          </cell>
        </row>
        <row r="153">
          <cell r="A153">
            <v>645101</v>
          </cell>
        </row>
        <row r="154">
          <cell r="A154">
            <v>486000</v>
          </cell>
        </row>
        <row r="155">
          <cell r="A155">
            <v>623310</v>
          </cell>
        </row>
        <row r="156">
          <cell r="A156">
            <v>486000</v>
          </cell>
        </row>
        <row r="157">
          <cell r="A157">
            <v>623000</v>
          </cell>
        </row>
        <row r="158">
          <cell r="A158">
            <v>455110</v>
          </cell>
          <cell r="C158">
            <v>3369.6</v>
          </cell>
        </row>
        <row r="159">
          <cell r="A159">
            <v>623400</v>
          </cell>
          <cell r="D159">
            <v>3369.6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1 Cash Flow Analysis"/>
      <sheetName val="2004SS"/>
      <sheetName val="2004CJ"/>
      <sheetName val="Journal"/>
      <sheetName val="1.0"/>
      <sheetName val="Summary"/>
      <sheetName val="argl(1)"/>
      <sheetName val="Budget 2005(DW)"/>
      <sheetName val="Customer Databas"/>
      <sheetName val="F"/>
      <sheetName val="Table"/>
      <sheetName val="노무비"/>
      <sheetName val="Assumptions"/>
      <sheetName val="Id"/>
      <sheetName val="Intro2"/>
      <sheetName val="현금"/>
      <sheetName val="Assumption"/>
      <sheetName val="#REF"/>
      <sheetName val="Köpfe"/>
      <sheetName val="Initial Input Variable"/>
      <sheetName val="재무가정"/>
      <sheetName val="MOTOR"/>
      <sheetName val="Deal Assumptions"/>
      <sheetName val="민감도"/>
      <sheetName val="COVER"/>
      <sheetName val="차액보증"/>
      <sheetName val="Sheet1"/>
      <sheetName val="FX Rates"/>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인원계획_미화"/>
      <sheetName val="Assumptions"/>
      <sheetName val="노무비"/>
      <sheetName val="001"/>
      <sheetName val="Initial Input Variable"/>
      <sheetName val="재무가정"/>
      <sheetName val="MOTOR"/>
      <sheetName val="S&amp;R"/>
      <sheetName val="일위대가목차"/>
      <sheetName val="공사개요"/>
      <sheetName val="Customer Databas"/>
      <sheetName val="Instructions"/>
      <sheetName val="익월작업계힉"/>
      <sheetName val="Template"/>
      <sheetName val="1 Cash Flow Analysis"/>
      <sheetName val="조직및_인원계획"/>
      <sheetName val="견적내역-미화_(2)"/>
      <sheetName val="견적내역-보안_(2)"/>
      <sheetName val="Initial_Input_Variable"/>
      <sheetName val="Customer_Databas"/>
      <sheetName val="2004SS"/>
      <sheetName val="2004CJ"/>
      <sheetName val="Id"/>
      <sheetName val="ASP"/>
      <sheetName val="Budget 2005(DW)"/>
      <sheetName val="내역"/>
      <sheetName val="Area"/>
      <sheetName val="Summary"/>
      <sheetName val="상가매매0115"/>
      <sheetName val="상가임대0115"/>
      <sheetName val="2. Summary-cash"/>
      <sheetName val="98년매출액및매출원가"/>
      <sheetName val="손익계산서(가로)"/>
      <sheetName val="견적과실행예산"/>
      <sheetName val="GenLedger BalSht"/>
      <sheetName val="차액보증"/>
      <sheetName val="0.1keyAssumption"/>
      <sheetName val="0.0ControlSheet"/>
      <sheetName val="Intro2"/>
      <sheetName val="เงินกู้ MGC"/>
      <sheetName val="เงินกู้ธนชาติ"/>
      <sheetName val="Trial Balance"/>
      <sheetName val="A-4"/>
      <sheetName val="로담코총괄제안견적3"/>
      <sheetName val="Sens&amp;Anal"/>
      <sheetName val="ROE(FI)"/>
      <sheetName val="총투자비산정"/>
      <sheetName val="정부노임단가"/>
      <sheetName val="XL4Poppy"/>
      <sheetName val="품의서"/>
      <sheetName val="Journal"/>
      <sheetName val="99판매상세"/>
      <sheetName val="공통"/>
      <sheetName val="nr030112"/>
      <sheetName val="제품수불"/>
      <sheetName val="1.0"/>
      <sheetName val="F"/>
      <sheetName val="Table"/>
      <sheetName val="Sheet1"/>
      <sheetName val="2 Harajuku Jimusho"/>
      <sheetName val="2월"/>
      <sheetName val="소비자가"/>
      <sheetName val="BS"/>
      <sheetName val="***********************00"/>
      <sheetName val="회사정보"/>
      <sheetName val="UW_A"/>
      <sheetName val=" 견적서"/>
      <sheetName val="인건비"/>
      <sheetName val="FX Rates"/>
      <sheetName val="Assumption"/>
      <sheetName val="Office only Letup"/>
      <sheetName val="Development"/>
      <sheetName val="품목명"/>
      <sheetName val="Tenants"/>
      <sheetName val="시설총괄"/>
      <sheetName val="조직및_인원계획1"/>
      <sheetName val="견적내역-미화_(2)1"/>
      <sheetName val="견적내역-보안_(2)1"/>
      <sheetName val="Initial_Input_Variable1"/>
      <sheetName val="Customer_Databas1"/>
      <sheetName val="Budget_2005(DW)"/>
      <sheetName val="1_Cash_Flow_Analysis"/>
      <sheetName val="2__Summary-cash"/>
      <sheetName val="GenLedger_BalSht"/>
      <sheetName val="0_1keyAssumption"/>
      <sheetName val="0_0ControlSheet"/>
      <sheetName val="เงินกู้_MGC"/>
      <sheetName val="Trial_Balance"/>
      <sheetName val="1_0"/>
      <sheetName val="2_Harajuku_Jimusho"/>
      <sheetName val="_견적서"/>
      <sheetName val="FX_Rates"/>
      <sheetName val="일위대가목록"/>
      <sheetName val="관람석제출"/>
      <sheetName val="내역서"/>
      <sheetName val="anaysis_sheet"/>
      <sheetName val="argl(1)"/>
      <sheetName val="WFGInfo"/>
      <sheetName val="CostData"/>
      <sheetName val="IncomeData"/>
      <sheetName val="PropertyData"/>
      <sheetName val="연구인원내역"/>
      <sheetName val="추가시설-시설팀"/>
      <sheetName val="Budget 2004(DW)"/>
      <sheetName val="VL"/>
      <sheetName val="TEL"/>
      <sheetName val="96수출"/>
      <sheetName val="K1자재(3차등)"/>
      <sheetName val="교비지출"/>
      <sheetName val="II. Assumptions"/>
      <sheetName val="Assumptions "/>
      <sheetName val="1ST"/>
      <sheetName val="담보명세"/>
      <sheetName val="전선 및 전선관"/>
      <sheetName val="WBS98"/>
      <sheetName val="Collateral"/>
      <sheetName val="받을어음"/>
      <sheetName val="현장"/>
      <sheetName val="상품입고집계"/>
      <sheetName val="データ"/>
      <sheetName val="시나리오"/>
      <sheetName val="토지가격산출기초"/>
      <sheetName val="공시지가"/>
      <sheetName val="Data Sheet"/>
      <sheetName val="Valuation"/>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국내"/>
      <sheetName val="3본사"/>
      <sheetName val="Project_CF"/>
      <sheetName val="직원자료입력"/>
      <sheetName val="2.Summary-cash"/>
      <sheetName val="최종"/>
      <sheetName val="0103"/>
      <sheetName val="외화금융(97-03)"/>
      <sheetName val="산업은행 경영지표"/>
      <sheetName val="Expense Schedule (4)"/>
      <sheetName val="현장관리비"/>
      <sheetName val="기타수익"/>
      <sheetName val="SCH03"/>
      <sheetName val="내역서 제출"/>
      <sheetName val="入力用(家賃)"/>
      <sheetName val="入力用(駐車)"/>
      <sheetName val="실행철강하도"/>
      <sheetName val="Income"/>
      <sheetName val="Total"/>
      <sheetName val="Data(인원)"/>
      <sheetName val="구분"/>
      <sheetName val="CT"/>
      <sheetName val="주요가정"/>
      <sheetName val="Utility Usage 한솔엠닷컴"/>
      <sheetName val="ｂｌｕｅ"/>
      <sheetName val="6월실적"/>
      <sheetName val="2F 회의실견적(5_14 일대)"/>
      <sheetName val="BSD (2)"/>
      <sheetName val="조도계산서 (도서)"/>
      <sheetName val="세목별"/>
      <sheetName val="wall"/>
      <sheetName val="데이타"/>
      <sheetName val="DATA"/>
      <sheetName val="I一般比"/>
      <sheetName val="RM목표&amp;실적"/>
      <sheetName val="조회총괄"/>
      <sheetName val="SETUP"/>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영업.일1"/>
      <sheetName val="Cash Flow"/>
      <sheetName val="Source"/>
      <sheetName val="임대료산정(자동계산)"/>
      <sheetName val="단가"/>
      <sheetName val="Ⅰ-3"/>
      <sheetName val="Occupancy Scenario"/>
      <sheetName val="품명"/>
      <sheetName val="종합"/>
      <sheetName val="점코드"/>
      <sheetName val="산수(hd-0)"/>
      <sheetName val="산수(hd-1)"/>
      <sheetName val="수지차(년)"/>
      <sheetName val="D1300 자삽"/>
      <sheetName val="Input Screen"/>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SALE"/>
      <sheetName val="소유임차부동산(원본)"/>
      <sheetName val="업무분장 "/>
      <sheetName val="101동"/>
      <sheetName val="손익"/>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자재단가"/>
      <sheetName val="노임단가"/>
      <sheetName val="원가서"/>
      <sheetName val="조사번호"/>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백호우계수"/>
      <sheetName val="유림골조"/>
      <sheetName val="노임"/>
      <sheetName val="3.총괄_Fund"/>
      <sheetName val="2.대외공문"/>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Assumptions_"/>
      <sheetName val="Budget_2004(DW)"/>
      <sheetName val="불법주정차"/>
      <sheetName val="시화점실행"/>
      <sheetName val="재료"/>
      <sheetName val="별제권_정리담보권1"/>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FOOD&amp;BEVERAGE"/>
      <sheetName val="Dental City 가정"/>
      <sheetName val="사업예산내역"/>
      <sheetName val="사업예산품의서"/>
      <sheetName val="전기내역서(총계)"/>
      <sheetName val="VA요약(가정_및_배당)"/>
      <sheetName val="내역서_제출"/>
      <sheetName val="정산표"/>
      <sheetName val="반포2차"/>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영업.일"/>
      <sheetName val="일반경비"/>
      <sheetName val="도기류"/>
      <sheetName val="단가산출"/>
      <sheetName val="Inve. &amp; Income Assum."/>
      <sheetName val="제직재"/>
      <sheetName val="제-노임"/>
      <sheetName val="손익분석"/>
      <sheetName val="설계조건"/>
      <sheetName val="Tier 1"/>
      <sheetName val="PLD"/>
      <sheetName val="g. Rent Roll"/>
      <sheetName val="3.빌딩손익_6년차"/>
      <sheetName val="3.4.수도광열비"/>
      <sheetName val="갑지(추정)"/>
      <sheetName val="분당임차변경"/>
      <sheetName val="Sheet11"/>
      <sheetName val="신상자료"/>
      <sheetName val="현금경비중역"/>
      <sheetName val="SpQ"/>
      <sheetName val="공통부대비"/>
      <sheetName val="17.채용자명단"/>
      <sheetName val="Gangbo"/>
      <sheetName val="금호"/>
      <sheetName val="누호"/>
      <sheetName val="사용자정의"/>
      <sheetName val="제품표준규격"/>
      <sheetName val="여과지동"/>
      <sheetName val="기초자료"/>
      <sheetName val="관급자재"/>
      <sheetName val="일위대가(가설)"/>
      <sheetName val="Bilanz zum_06_12_30"/>
      <sheetName val="契約状況一覧"/>
      <sheetName val="物件概要"/>
      <sheetName val="定期巡回報告書"/>
      <sheetName val=" 目次"/>
      <sheetName val="Macro Codes"/>
      <sheetName val="물량"/>
      <sheetName val="매출"/>
      <sheetName val="목차"/>
      <sheetName val="표지"/>
      <sheetName val="PROJECT BRIEF(EX.NEW)"/>
      <sheetName val="운동장 (2)"/>
      <sheetName val="시멘트"/>
      <sheetName val="A"/>
      <sheetName val="분전함신설"/>
      <sheetName val="접지1종"/>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조직도 빽업"/>
      <sheetName val="관리비계산서"/>
      <sheetName val="20관리비율"/>
      <sheetName val="1.2"/>
      <sheetName val="돈암사업"/>
      <sheetName val="범용개발순소요비용"/>
      <sheetName val="JUCKEYK"/>
      <sheetName val="업무분장_"/>
      <sheetName val="Front_Cover2"/>
      <sheetName val="지분법(AK)_(2)1"/>
      <sheetName val="한일자야(감액손실)_(2)1"/>
      <sheetName val="소방사항"/>
      <sheetName val="이름표"/>
      <sheetName val="일반수량총괄집계"/>
      <sheetName val="Accrued Interest income"/>
      <sheetName val="ﾄﾞﾛｯﾌﾟﾀﾞｳﾝﾒﾆｭｰ"/>
      <sheetName val="외상매출금현황-수정분 A2"/>
      <sheetName val="민감도"/>
      <sheetName val="COVER"/>
      <sheetName val="근린생활"/>
      <sheetName val="BOK차입"/>
      <sheetName val="일위"/>
      <sheetName val="3-4현"/>
      <sheetName val="3-3현"/>
      <sheetName val="직재"/>
      <sheetName val="재집"/>
      <sheetName val="Menu_Link"/>
      <sheetName val="이익영"/>
      <sheetName val="영업_일11"/>
      <sheetName val="10월_(2)1"/>
      <sheetName val="Facility_Information1"/>
      <sheetName val="APT"/>
      <sheetName val="콘크리트타설집계표"/>
      <sheetName val="전력"/>
      <sheetName val="Data_Sheet1"/>
      <sheetName val="Occupancy_Scenario1"/>
      <sheetName val="CostApp_"/>
      <sheetName val="Dental_City_가정"/>
      <sheetName val="수량계산"/>
      <sheetName val="일위산출"/>
      <sheetName val="CF Case1(메인)"/>
      <sheetName val="_토목_처리장도급내역서_1"/>
      <sheetName val="7_(2)1"/>
      <sheetName val="2_Summary-cash1"/>
      <sheetName val="산업은행_경영지표1"/>
      <sheetName val="Cash_Flow1"/>
      <sheetName val="관리부동산_목록1"/>
      <sheetName val="2_대외공문"/>
      <sheetName val="3_총괄_Fund"/>
      <sheetName val="DB"/>
      <sheetName val="쌍용건설"/>
      <sheetName val="sch"/>
      <sheetName val="富士見積"/>
      <sheetName val="Utility Usage엠닷컴 26"/>
      <sheetName val="VA요약(가정_및_배당)1"/>
      <sheetName val="내역서_제출1"/>
      <sheetName val="MEMORY"/>
      <sheetName val="D01"/>
      <sheetName val="Taxes"/>
      <sheetName val="9-1차이내역"/>
      <sheetName val="2000년1차"/>
      <sheetName val="2000전체분"/>
      <sheetName val="PROJECT BRIEF"/>
      <sheetName val="실비정산청구내역"/>
      <sheetName val="일반변동비청구내역"/>
      <sheetName val="조사시트"/>
      <sheetName val="Details"/>
      <sheetName val="TB"/>
      <sheetName val="disposition"/>
      <sheetName val="Physical Description"/>
      <sheetName val="HBCT"/>
      <sheetName val="공사현황"/>
      <sheetName val="1.우편집중내역서"/>
      <sheetName val="15"/>
      <sheetName val="영업사양"/>
      <sheetName val="DATE"/>
      <sheetName val="조사자료"/>
      <sheetName val="스포회원매출"/>
      <sheetName val="순수통장"/>
      <sheetName val="적립수신"/>
      <sheetName val="Current"/>
      <sheetName val="임대수익"/>
      <sheetName val="base"/>
      <sheetName val="실행내역"/>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15296"/>
      <sheetName val="Journal"/>
      <sheetName val="compare2"/>
      <sheetName val="인원계획-미화"/>
      <sheetName val="1월--7월"/>
      <sheetName val="8월--12월"/>
      <sheetName val="시황"/>
      <sheetName val="표지"/>
      <sheetName val="Result"/>
      <sheetName val="재무가정"/>
      <sheetName val="수정분개"/>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분개"/>
      <sheetName val="정산표"/>
      <sheetName val="대차"/>
      <sheetName val="손익"/>
      <sheetName val="잉여금"/>
      <sheetName val="현금흐름표"/>
      <sheetName val="현금흐름표검증조서"/>
      <sheetName val="FS96"/>
      <sheetName val="1월"/>
      <sheetName val="2월"/>
      <sheetName val="3월"/>
      <sheetName val="1.외주공사"/>
      <sheetName val="2.직영공사"/>
      <sheetName val="8월현금흐름표"/>
      <sheetName val="매출"/>
      <sheetName val="5600"/>
      <sheetName val="Sheet1"/>
      <sheetName val="basic_info"/>
      <sheetName val="차수"/>
      <sheetName val="조회총괄"/>
      <sheetName val="96수표어음"/>
      <sheetName val="Macro2"/>
      <sheetName val="손익계산서"/>
      <sheetName val="영업"/>
      <sheetName val="공문"/>
      <sheetName val="Macro1"/>
      <sheetName val="00'미수"/>
      <sheetName val="INMD1198"/>
      <sheetName val="INFG1198"/>
      <sheetName val="Æo°¡±aAØ"/>
      <sheetName val="대환취급"/>
      <sheetName val="COND"/>
      <sheetName val="XLUTIL"/>
      <sheetName val="pre-anal손익계산서"/>
      <sheetName val="pre-anal대차대조표"/>
      <sheetName val="Links"/>
      <sheetName val="종합일지"/>
      <sheetName val="calendar"/>
      <sheetName val="HEADER"/>
      <sheetName val="language"/>
      <sheetName val="분당임차변경"/>
      <sheetName val="Borrower"/>
      <sheetName val="Property"/>
      <sheetName val="Estrazione"/>
      <sheetName val="data"/>
      <sheetName val="DB"/>
      <sheetName val="급여"/>
      <sheetName val="Base"/>
      <sheetName val="유통망계획"/>
      <sheetName val="기타주식-명세"/>
      <sheetName val="대차대조표"/>
      <sheetName val="libor"/>
      <sheetName val="관리대장(2001장비)"/>
      <sheetName val="4b Consolidated PL"/>
      <sheetName val="Gen Assumptions"/>
      <sheetName val="Macro4"/>
      <sheetName val="PLarp"/>
      <sheetName val="9703"/>
      <sheetName val="전체현황"/>
      <sheetName val="Lead"/>
      <sheetName val="Priorities"/>
      <sheetName val="미수수익"/>
      <sheetName val="Index"/>
      <sheetName val="선수금"/>
      <sheetName val="공통부대비"/>
      <sheetName val="TEL"/>
      <sheetName val="流资汇总"/>
      <sheetName val="6120"/>
      <sheetName val="Korea Sign-Internal"/>
      <sheetName val="폐토수익화 "/>
      <sheetName val="Sheet2"/>
      <sheetName val="제조원가"/>
      <sheetName val="만기"/>
      <sheetName val="XREF"/>
      <sheetName val="투자유가증권"/>
      <sheetName val="J"/>
      <sheetName val="JUYO"/>
      <sheetName val="9811 YTD"/>
      <sheetName val="발생집계"/>
      <sheetName val="원판매입"/>
      <sheetName val="Sheet3"/>
      <sheetName val="Com-Button"/>
      <sheetName val="1998 P &amp; L"/>
      <sheetName val="Secured Master"/>
      <sheetName val="Cover"/>
      <sheetName val="WBS"/>
      <sheetName val="1_當期시산표"/>
      <sheetName val="Köpfe"/>
      <sheetName val="손익계산"/>
      <sheetName val="로케션"/>
      <sheetName val="지분법(AK) (2)"/>
      <sheetName val="한일자야(감액손실) (2)"/>
      <sheetName val="TB"/>
      <sheetName val="을"/>
      <sheetName val="master"/>
      <sheetName val="월별수입"/>
      <sheetName val="801000"/>
      <sheetName val="w't table"/>
      <sheetName val="WBS98"/>
      <sheetName val="WPL"/>
      <sheetName val="총괄KD"/>
      <sheetName val="손익분석"/>
      <sheetName val="정부노임단가"/>
      <sheetName val="compare2"/>
      <sheetName val="Inv "/>
      <sheetName val="Rate"/>
      <sheetName val="Date"/>
      <sheetName val="구동"/>
      <sheetName val="급여이체(농) (2)"/>
      <sheetName val="AL"/>
      <sheetName val="m_COA"/>
      <sheetName val="3분기"/>
      <sheetName val="총괄표"/>
      <sheetName val="BAL.(TTL)"/>
      <sheetName val="INFO"/>
      <sheetName val="GENERAL"/>
      <sheetName val="1.MDF1공장"/>
      <sheetName val="IN"/>
      <sheetName val="▶판가Trend(수정안)"/>
      <sheetName val="▶판매량Trend(수정안)"/>
      <sheetName val="++++"/>
      <sheetName val="경비분류(1)"/>
      <sheetName val="1"/>
      <sheetName val="Oper Amount"/>
      <sheetName val="Data Sheet"/>
      <sheetName val="DS-최종"/>
      <sheetName val="2.대외공문"/>
      <sheetName val="시나리오"/>
      <sheetName val="순수통장"/>
      <sheetName val="적립수신"/>
      <sheetName val="main"/>
      <sheetName val="요약"/>
      <sheetName val="118.세금과공과"/>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TBclosing"/>
      <sheetName val="1-KUNDE.XLS"/>
      <sheetName val="Serial"/>
      <sheetName val="001"/>
      <sheetName val="중요성(출)"/>
      <sheetName val="지급보증금74"/>
      <sheetName val="Controls"/>
      <sheetName val="Intercompany AR &amp; AP"/>
      <sheetName val="재고"/>
      <sheetName val="AR"/>
      <sheetName val="due from HO"/>
      <sheetName val="AP"/>
      <sheetName val="IS"/>
      <sheetName val="Prepaid"/>
      <sheetName val="Accrued exp"/>
      <sheetName val="Head office"/>
      <sheetName val="BS"/>
      <sheetName val="인천_계획"/>
      <sheetName val="INTRODUCTION"/>
      <sheetName val="광주"/>
      <sheetName val="수처리사업"/>
      <sheetName val="소비자가"/>
      <sheetName val="97LGG"/>
      <sheetName val="전부인쇄"/>
      <sheetName val="고정자산-회사제시"/>
      <sheetName val="Ctrl"/>
      <sheetName val="범한여행"/>
      <sheetName val="제품별 MC"/>
      <sheetName val="1_외주공사"/>
      <sheetName val="2_직영공사"/>
      <sheetName val="Korea_Sign-Internal"/>
      <sheetName val="4b_Consolidated_PL"/>
      <sheetName val="Gen_Assumptions"/>
      <sheetName val="1998_P_&amp;_L"/>
      <sheetName val="MetaData"/>
      <sheetName val=" 견적서"/>
      <sheetName val="감가상각"/>
      <sheetName val="여신현황"/>
      <sheetName val="환율-LIBOR"/>
      <sheetName val="정의"/>
      <sheetName val="변제"/>
      <sheetName val="이자"/>
      <sheetName val="상환대상"/>
      <sheetName val="가정"/>
      <sheetName val="Krw"/>
      <sheetName val="ST"/>
      <sheetName val="총괄"/>
      <sheetName val="営業以外 評価賞与"/>
      <sheetName val="비상각자산분류"/>
      <sheetName val="argl(1)"/>
      <sheetName val="받을어음"/>
      <sheetName val="받check"/>
      <sheetName val="#REF"/>
      <sheetName val="기초데이타"/>
      <sheetName val="SUMMARY"/>
      <sheetName val="MEXICO-C"/>
      <sheetName val="재무가정"/>
      <sheetName val="세목별"/>
      <sheetName val="결산비용"/>
      <sheetName val="적용환율"/>
      <sheetName val="채권(하반기)"/>
      <sheetName val="신고서.전"/>
      <sheetName val="협조전"/>
      <sheetName val="고정자산원본"/>
      <sheetName val="FRC"/>
      <sheetName val="BA"/>
      <sheetName val="950801"/>
      <sheetName val="BAU-ITEMLIST"/>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비교"/>
      <sheetName val="2차분"/>
      <sheetName val="2-2.매출분석"/>
      <sheetName val="집계2"/>
      <sheetName val="교정용 시트 (9)"/>
      <sheetName val="TCA"/>
      <sheetName val="3. BSC NC ratio"/>
      <sheetName val="Sheet5"/>
      <sheetName val="Sheet6 (3)"/>
      <sheetName val="지급보증금"/>
      <sheetName val="원본 data"/>
      <sheetName val="1차 가공"/>
      <sheetName val="다이스"/>
      <sheetName val="분석data"/>
      <sheetName val="불량집계"/>
      <sheetName val="서식 옵션"/>
      <sheetName val="DISTTB"/>
      <sheetName val="INOBTB"/>
      <sheetName val="입력자료"/>
      <sheetName val="대비"/>
      <sheetName val="06년예상보험료 (2)"/>
      <sheetName val="1~10월실적"/>
      <sheetName val="에스피"/>
      <sheetName val="페이퍼"/>
      <sheetName val="코드Mapping"/>
      <sheetName val="신무림1"/>
      <sheetName val="분개장·원장"/>
      <sheetName val="반기_유가증권"/>
      <sheetName val="95WBS"/>
      <sheetName val="Fixed Asset 2203 (2)"/>
      <sheetName val="차종별"/>
      <sheetName val="TV법인별"/>
      <sheetName val="  한국 AMP ASP-23 판매가격  "/>
      <sheetName val="Cover sheet"/>
      <sheetName val="작업장"/>
      <sheetName val="DATE변환"/>
      <sheetName val="Table"/>
      <sheetName val="시실누(모) "/>
      <sheetName val="자본금99(수)"/>
      <sheetName val="Price Summary (Before &amp; After)"/>
      <sheetName val="Dim Lists"/>
      <sheetName val="Lists"/>
      <sheetName val="LIST"/>
      <sheetName val="7.31 (2)"/>
      <sheetName val="인원계획-미화"/>
      <sheetName val="노무비"/>
      <sheetName val="조정명세서"/>
      <sheetName val="97년추정손익계산서"/>
      <sheetName val="출자한도"/>
      <sheetName val="사원명부"/>
      <sheetName val="원시데이타"/>
      <sheetName val="Non-Statistical Sampling Master"/>
      <sheetName val="O  1.0 Leadsheet of income tax"/>
      <sheetName val="분석적검토(대차)"/>
      <sheetName val="5300"/>
      <sheetName val="DS-장비"/>
      <sheetName val="NW-장비"/>
      <sheetName val="울산"/>
      <sheetName val="매출매입"/>
      <sheetName val="일일붙여라"/>
      <sheetName val="95TOTREV"/>
      <sheetName val="????"/>
      <sheetName val="New Valuation"/>
      <sheetName val="Reserves"/>
      <sheetName val="Setting"/>
      <sheetName val="99-1"/>
      <sheetName val="합계잔액시산표"/>
      <sheetName val="7월계획"/>
      <sheetName val="1월계획"/>
      <sheetName val="2월계획 "/>
      <sheetName val="3월계획 "/>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09.01퇴직"/>
      <sheetName val="1월--7월"/>
      <sheetName val="8월--12월"/>
      <sheetName val="표지"/>
      <sheetName val="Intro2"/>
      <sheetName val="Id"/>
      <sheetName val="Sheet16"/>
      <sheetName val="인원기초(M)"/>
      <sheetName val="98종합"/>
      <sheetName val="Bank charge"/>
      <sheetName val="9612서울"/>
      <sheetName val="p2-1"/>
      <sheetName val="생산계획"/>
      <sheetName val="MATs LY ROI"/>
      <sheetName val="R1R2Listings"/>
      <sheetName val="line &amp;lab"/>
      <sheetName val="Assumption"/>
      <sheetName val="F03 COGS W&amp;S"/>
      <sheetName val="FX rates"/>
      <sheetName val="ASSUMPTIONS"/>
      <sheetName val="CP"/>
      <sheetName val="PV"/>
      <sheetName val="한계원가"/>
      <sheetName val="Parameters"/>
      <sheetName val="장기차입금"/>
      <sheetName val="정산표(IS)2003"/>
      <sheetName val="2-2_매출분석"/>
      <sheetName val="예산"/>
      <sheetName val="연료사용"/>
      <sheetName val="98년매출액및매출원가"/>
      <sheetName val="손익계산서(가로)"/>
      <sheetName val="견적과실행예산"/>
      <sheetName val="Summary (1)"/>
      <sheetName val="G3-1"/>
      <sheetName val="data5"/>
      <sheetName val="125PIECE"/>
      <sheetName val="MOTOR"/>
      <sheetName val="ITEM"/>
      <sheetName val="5월17일"/>
      <sheetName val="전체표 (3)"/>
      <sheetName val="TNC"/>
      <sheetName val="기안"/>
      <sheetName val="교정용_시트_(9)"/>
      <sheetName val="3__BSC_NC_ratio"/>
      <sheetName val="폐토수익화_"/>
      <sheetName val="Sheet6_(3)"/>
      <sheetName val="9811_YTD"/>
      <sheetName val="118_세금과공과"/>
      <sheetName val="원본_data"/>
      <sheetName val="1차_가공"/>
      <sheetName val="서식_옵션"/>
      <sheetName val="도움말"/>
      <sheetName val="R&amp;D"/>
      <sheetName val="DBL LPG시험"/>
      <sheetName val="1999년"/>
      <sheetName val="금융자산 control"/>
      <sheetName val="금융부채 control"/>
      <sheetName val="신규등록원본"/>
      <sheetName val="원단위 (윤991021)"/>
      <sheetName val="1_외주공사1"/>
      <sheetName val="2_직영공사1"/>
      <sheetName val="4b_Consolidated_PL1"/>
      <sheetName val="급여이체(농)_(2)"/>
      <sheetName val="Inv_"/>
      <sheetName val="Gen_Assumptions1"/>
      <sheetName val="Secured_Master"/>
      <sheetName val="1998_P_&amp;_L1"/>
      <sheetName val="Korea_Sign-Internal1"/>
      <sheetName val="1-KUNDE_XLS"/>
      <sheetName val="1_MDF1공장"/>
      <sheetName val="지분법(AK)_(2)"/>
      <sheetName val="한일자야(감액손실)_(2)"/>
      <sheetName val="2_대외공문"/>
      <sheetName val="Intercompany_AR_&amp;_AP"/>
      <sheetName val="Oper_Amount"/>
      <sheetName val="Data_Sheet"/>
      <sheetName val="BAL_(TTL)"/>
      <sheetName val="w't_table"/>
      <sheetName val="_견적서"/>
      <sheetName val="신고서_전"/>
      <sheetName val="営業以外_評価賞与"/>
      <sheetName val="Fixed_Asset_2203_(2)"/>
      <sheetName val="제품별_MC"/>
      <sheetName val="4.경비 5.영업외수지"/>
      <sheetName val="단사원가"/>
      <sheetName val="controll"/>
      <sheetName val="05현금등가"/>
      <sheetName val="AN43"/>
      <sheetName val="B"/>
      <sheetName val="상각률표"/>
      <sheetName val="회사정보"/>
      <sheetName val="Journal"/>
      <sheetName val="K?pfe"/>
      <sheetName val="due_from_HO"/>
      <sheetName val="Accrued_exp"/>
      <sheetName val="Head_office"/>
      <sheetName val="Dim_Lists"/>
      <sheetName val="관계매출_(2)"/>
      <sheetName val="7_31_(2)"/>
      <sheetName val="시실누(모)_"/>
      <sheetName val="Price_Summary_(Before_&amp;_After)"/>
      <sheetName val="Non-Statistical_Sampling_Master"/>
      <sheetName val="민감도"/>
      <sheetName val="FS96.XLS"/>
      <sheetName val="BM_NEW2"/>
      <sheetName val="Sum"/>
      <sheetName val="TEMP1"/>
      <sheetName val="TEMP2"/>
      <sheetName val="DISTANCE"/>
      <sheetName val="__한국_AMP_ASP-23_판매가격__"/>
      <sheetName val=".1 memo"/>
      <sheetName val="자재수불"/>
      <sheetName val="일별1"/>
      <sheetName val="Akashi non-refundable"/>
      <sheetName val="리드"/>
      <sheetName val="제조원가계산"/>
      <sheetName val="품목별매출"/>
      <sheetName val="CCC"/>
      <sheetName val="전기일위대가"/>
      <sheetName val="96수출"/>
      <sheetName val="집계"/>
      <sheetName val="Statement of OPs"/>
      <sheetName val="Ⅱ1-0타"/>
      <sheetName val="admin"/>
      <sheetName val="Configuration"/>
      <sheetName val="JournalSummary"/>
      <sheetName val="공통(20-91)"/>
      <sheetName val="재고자산미실현이익제거"/>
      <sheetName val="2004SS"/>
      <sheetName val="2004CJ"/>
      <sheetName val="월별생산"/>
      <sheetName val="②전구간 파괴검사(킬링미사용)"/>
      <sheetName val="③전구간 파괴검사(킬링사용)"/>
      <sheetName val="24-1일"/>
      <sheetName val="신1"/>
      <sheetName val="1_외주공사2"/>
      <sheetName val="2_직영공사2"/>
      <sheetName val="Secured_Master1"/>
      <sheetName val="4b_Consolidated_PL2"/>
      <sheetName val="9811_YTD1"/>
      <sheetName val="Gen_Assumptions2"/>
      <sheetName val="1998_P_&amp;_L2"/>
      <sheetName val="Korea_Sign-Internal2"/>
      <sheetName val="118_세금과공과1"/>
      <sheetName val="Inv_1"/>
      <sheetName val="폐토수익화_1"/>
      <sheetName val="지분법(AK)_(2)1"/>
      <sheetName val="한일자야(감액손실)_(2)1"/>
      <sheetName val="1_MDF1공장1"/>
      <sheetName val="BAL_(TTL)1"/>
      <sheetName val="급여이체(농)_(2)1"/>
      <sheetName val="1-KUNDE_XLS1"/>
      <sheetName val="2_대외공문1"/>
      <sheetName val="Intercompany_AR_&amp;_AP1"/>
      <sheetName val="Oper_Amount1"/>
      <sheetName val="Data_Sheet1"/>
      <sheetName val="w't_table1"/>
      <sheetName val="_견적서1"/>
      <sheetName val="신고서_전1"/>
      <sheetName val="제품별_MC1"/>
      <sheetName val="관계매출_(2)1"/>
      <sheetName val="due_from_HO1"/>
      <sheetName val="Accrued_exp1"/>
      <sheetName val="Head_office1"/>
      <sheetName val="Dim_Lists1"/>
      <sheetName val="Fixed_Asset_2203_(2)1"/>
      <sheetName val="営業以外_評価賞与1"/>
      <sheetName val="교정용_시트_(9)1"/>
      <sheetName val="3__BSC_NC_ratio1"/>
      <sheetName val="06년예상보험료_(2)"/>
      <sheetName val="Sheet6_(3)1"/>
      <sheetName val="원본_data1"/>
      <sheetName val="1차_가공1"/>
      <sheetName val="서식_옵션1"/>
      <sheetName val="7_31_(2)1"/>
      <sheetName val="시실누(모)_1"/>
      <sheetName val="Price_Summary_(Before_&amp;_After)1"/>
      <sheetName val="Non-Statistical_Sampling_Maste1"/>
      <sheetName val="Cover_sheet"/>
      <sheetName val="O__1_0_Leadsheet_of_income_tax"/>
      <sheetName val="전체표_(3)"/>
      <sheetName val="DBL_LPG시험"/>
      <sheetName val="금융자산_control"/>
      <sheetName val="금융부채_control"/>
      <sheetName val="원단위_(윤991021)"/>
      <sheetName val="Sheet1_(2)"/>
      <sheetName val="Sheet1_(3)"/>
      <sheetName val="2월계획_"/>
      <sheetName val="3월계획_"/>
      <sheetName val="손익계산서 초안"/>
      <sheetName val="Finance Inputs"/>
      <sheetName val="Cash Situation"/>
      <sheetName val="FRDS9805"/>
      <sheetName val="첨부1"/>
      <sheetName val="CF"/>
      <sheetName val="YOEMAGUM"/>
      <sheetName val="제조부문배부"/>
      <sheetName val="상품제품월별매출"/>
      <sheetName val="시황"/>
      <sheetName val="매출단가"/>
      <sheetName val="LIST OF CHANGSHIN STAFF"/>
      <sheetName val="Income Statement"/>
      <sheetName val="Ratios"/>
      <sheetName val="Balance Sheet"/>
      <sheetName val="개당손익0303"/>
      <sheetName val="BID"/>
      <sheetName val="개업인건비"/>
      <sheetName val="TBM"/>
      <sheetName val="MAT.OL"/>
      <sheetName val="US Codes"/>
      <sheetName val="숨긴데이터"/>
      <sheetName val="UNIT"/>
      <sheetName val="RONA"/>
      <sheetName val="계열사현황종합"/>
      <sheetName val="주간계획"/>
      <sheetName val="626TD"/>
      <sheetName val="7 (2)"/>
      <sheetName val="기준정보"/>
      <sheetName val="그림모음"/>
      <sheetName val="2.주요계수총괄"/>
      <sheetName val="선수금,기성"/>
      <sheetName val="최종FS분석"/>
      <sheetName val="개발비및국고보조금"/>
      <sheetName val="매출및매출원가분석"/>
      <sheetName val="주요경영지표"/>
      <sheetName val="최종BS"/>
      <sheetName val="최종PL"/>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계산서 (3)"/>
      <sheetName val="PL"/>
      <sheetName val="보고"/>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C-Lead"/>
      <sheetName val="WACC"/>
      <sheetName val="8220"/>
      <sheetName val="A"/>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시산표"/>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손익분기점 데이터"/>
      <sheetName val="매입매출(입력)"/>
      <sheetName val="1999"/>
      <sheetName val="2001급여"/>
      <sheetName val="수선비"/>
      <sheetName val="회사BS"/>
      <sheetName val="14.광주_원가배부Ⅲ"/>
      <sheetName val="주채무"/>
      <sheetName val="WELDING"/>
      <sheetName val="절대지우지말것"/>
      <sheetName val="신규구입자산"/>
      <sheetName val="SA"/>
      <sheetName val="conclusion"/>
      <sheetName val="결정단가"/>
      <sheetName val="comparables"/>
      <sheetName val="Deduction"/>
      <sheetName val="other"/>
      <sheetName val="VXXXXX"/>
      <sheetName val="매도주식"/>
      <sheetName val="RK-#1"/>
      <sheetName val="계정code"/>
      <sheetName val="작성자"/>
      <sheetName val="981분기"/>
      <sheetName val="대구"/>
      <sheetName val="대전"/>
      <sheetName val="부산"/>
      <sheetName val="인건비예산(정규직)"/>
      <sheetName val="인건비예산(용역)"/>
      <sheetName val="24.보증금(전신전화가입권)"/>
      <sheetName val="일반정보"/>
      <sheetName val="9902"/>
      <sheetName val="공장"/>
      <sheetName val="퇴직급여02 (2)"/>
      <sheetName val="손익계산서 raw data"/>
      <sheetName val="손익내역전년"/>
      <sheetName val="2001-FTE-Standard"/>
      <sheetName val="control"/>
      <sheetName val="FixedIncome"/>
      <sheetName val="VaR"/>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96원가"/>
      <sheetName val="krsec08"/>
      <sheetName val="Customer"/>
      <sheetName val="10월 급여"/>
      <sheetName val="소매_신용"/>
      <sheetName val="특정상품(비소매)"/>
      <sheetName val="비소매신용"/>
      <sheetName val="직공비"/>
      <sheetName val="신전산소항목시산표(5월)"/>
      <sheetName val="관세구분시트"/>
      <sheetName val="조회서"/>
      <sheetName val="조회서 (2)"/>
      <sheetName val="조회서 (3)"/>
      <sheetName val="조회서 (4)"/>
      <sheetName val="조회서 (5)"/>
      <sheetName val="채무조회List"/>
      <sheetName val="조회서 (6)"/>
      <sheetName val="내역서"/>
      <sheetName val="팀별"/>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종합표지"/>
      <sheetName val="점수표"/>
      <sheetName val="기준"/>
      <sheetName val="사장"/>
      <sheetName val="관리"/>
      <sheetName val="경영"/>
      <sheetName val="구매"/>
      <sheetName val="전략"/>
      <sheetName val="국내영업"/>
      <sheetName val="진주"/>
      <sheetName val="진주생산"/>
      <sheetName val="평가표대상"/>
      <sheetName val="진주총무"/>
      <sheetName val="평가방법 (2)"/>
      <sheetName val="MOTLIST"/>
      <sheetName val="전신전화가입권"/>
      <sheetName val="KMT물량"/>
      <sheetName val="July."/>
      <sheetName val="System"/>
      <sheetName val="Tables"/>
      <sheetName val="VB_100-Lead"/>
      <sheetName val="종목코드"/>
      <sheetName val="내역"/>
      <sheetName val="PACKING"/>
      <sheetName val="YTD"/>
      <sheetName val="Bu03"/>
      <sheetName val="월미수수익집계표"/>
      <sheetName val="손익합산"/>
      <sheetName val="Dept"/>
      <sheetName val="SCA"/>
      <sheetName val="1-1"/>
      <sheetName val="무형"/>
      <sheetName val="감가상각비"/>
      <sheetName val="급여지급"/>
      <sheetName val="1. PS_bond"/>
      <sheetName val="양식"/>
      <sheetName val="제품마스타"/>
      <sheetName val="FS"/>
      <sheetName val="PPC기"/>
      <sheetName val="소기"/>
      <sheetName val="대기"/>
      <sheetName val="합기"/>
      <sheetName val="메뉴얼1(기본정보)"/>
      <sheetName val="NO.2-1"/>
      <sheetName val="Approval status(QTAK)"/>
      <sheetName val="Extra strand"/>
      <sheetName val="보고서"/>
      <sheetName val="단가조정"/>
      <sheetName val="본문1"/>
      <sheetName val="계획"/>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유형고정자산명세"/>
      <sheetName val="고정자산처분"/>
      <sheetName val="토지"/>
      <sheetName val="구축물"/>
      <sheetName val="기계장치"/>
      <sheetName val="차량운반구"/>
      <sheetName val="공구기구"/>
      <sheetName val="집기비품"/>
      <sheetName val="입목"/>
      <sheetName val="무형자산명세서"/>
      <sheetName val="건설중인 자산"/>
      <sheetName val="월별입출고"/>
      <sheetName val="MM"/>
      <sheetName val="1공구(을)"/>
      <sheetName val="Ship Advice"/>
      <sheetName val="ins"/>
      <sheetName val="____"/>
      <sheetName val="K_pfe"/>
      <sheetName val="INPC"/>
      <sheetName val="재공품누적CT"/>
      <sheetName val="주재료비 적수계산"/>
      <sheetName val="간접비적수계산"/>
      <sheetName val="누적CT환산표"/>
      <sheetName val="단위중량표"/>
      <sheetName val="부재료원단위단가"/>
      <sheetName val="재공품수량"/>
      <sheetName val="중국반제품"/>
      <sheetName val="부분품누적CT"/>
      <sheetName val="파이프단가"/>
      <sheetName val="관세-기금 효과"/>
      <sheetName val="명단"/>
      <sheetName val="INPUT"/>
      <sheetName val="계산정보"/>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상표권"/>
      <sheetName val="MCS"/>
      <sheetName val="RE"/>
      <sheetName val="종합_SP"/>
      <sheetName val="종합_MP"/>
      <sheetName val="무림SP_상세"/>
      <sheetName val="무림페이퍼_상세"/>
      <sheetName val="종합"/>
      <sheetName val="__한국_AMP_ASP-23_판매가격__1"/>
      <sheetName val="Summary_(1)"/>
      <sheetName val="09_01퇴직"/>
      <sheetName val="Bank_charge"/>
      <sheetName val="_1_memo"/>
      <sheetName val="MATs_LY_ROI"/>
      <sheetName val="line_&amp;lab"/>
      <sheetName val="F03_COGS_W&amp;S"/>
      <sheetName val="FX_rates"/>
      <sheetName val="FS96_XLS"/>
      <sheetName val="New_Valuation"/>
      <sheetName val="②전구간_파괴검사(킬링미사용)"/>
      <sheetName val="③전구간_파괴검사(킬링사용)"/>
      <sheetName val="Statement_of_OPs"/>
      <sheetName val="Translation"/>
      <sheetName val="TB(BS)"/>
      <sheetName val="TB(PL)"/>
      <sheetName val="MOKYON"/>
      <sheetName val="1_외주공사3"/>
      <sheetName val="2_직영공사3"/>
      <sheetName val="4b_Consolidated_PL3"/>
      <sheetName val="Gen_Assumptions3"/>
      <sheetName val="1998_P_&amp;_L3"/>
      <sheetName val="9811_YTD2"/>
      <sheetName val="Secured_Master2"/>
      <sheetName val="118_세금과공과2"/>
      <sheetName val="Korea_Sign-Internal3"/>
      <sheetName val="지분법(AK)_(2)2"/>
      <sheetName val="한일자야(감액손실)_(2)2"/>
      <sheetName val="폐토수익화_2"/>
      <sheetName val="BAL_(TTL)2"/>
      <sheetName val="w't_table2"/>
      <sheetName val="1_MDF1공장2"/>
      <sheetName val="2_대외공문2"/>
      <sheetName val="Inv_2"/>
      <sheetName val="Oper_Amount2"/>
      <sheetName val="Data_Sheet2"/>
      <sheetName val="급여이체(농)_(2)2"/>
      <sheetName val="1-KUNDE_XLS2"/>
      <sheetName val="신고서_전2"/>
      <sheetName val="Intercompany_AR_&amp;_AP2"/>
      <sheetName val="시실누(모)_2"/>
      <sheetName val="Price_Summary_(Before_&amp;_After)2"/>
      <sheetName val="교정용_시트_(9)2"/>
      <sheetName val="3__BSC_NC_ratio2"/>
      <sheetName val="Sheet6_(3)2"/>
      <sheetName val="원본_data2"/>
      <sheetName val="1차_가공2"/>
      <sheetName val="서식_옵션2"/>
      <sheetName val="_견적서2"/>
      <sheetName val="제품별_MC2"/>
      <sheetName val="営業以外_評価賞与2"/>
      <sheetName val="due_from_HO2"/>
      <sheetName val="Accrued_exp2"/>
      <sheetName val="Head_office2"/>
      <sheetName val="관계매출_(2)2"/>
      <sheetName val="Dim_Lists2"/>
      <sheetName val="Fixed_Asset_2203_(2)2"/>
      <sheetName val="7_31_(2)2"/>
      <sheetName val="2-2_매출분석1"/>
      <sheetName val="06년예상보험료_(2)1"/>
      <sheetName val="Non-Statistical_Sampling_Maste2"/>
      <sheetName val="O__1_0_Leadsheet_of_income_tax1"/>
      <sheetName val="전체표_(3)1"/>
      <sheetName val="DBL_LPG시험1"/>
      <sheetName val="금융자산_control1"/>
      <sheetName val="금융부채_control1"/>
      <sheetName val="Cover_sheet1"/>
      <sheetName val="원단위_(윤991021)1"/>
      <sheetName val="Sheet1_(2)1"/>
      <sheetName val="Sheet1_(3)1"/>
      <sheetName val="2월계획_1"/>
      <sheetName val="3월계획_1"/>
      <sheetName val="Akashi_non-refundable"/>
      <sheetName val="Cash_Situation"/>
      <sheetName val="%관리보수계산내역"/>
      <sheetName val="FAB별"/>
      <sheetName val="손익계산서_초안"/>
      <sheetName val="Finance_Inputs"/>
      <sheetName val="Aus-P"/>
      <sheetName val="계산DATA입력"/>
      <sheetName val="상세 계산 내역"/>
      <sheetName val=""/>
      <sheetName val="BA (2)"/>
      <sheetName val="CP (2)"/>
      <sheetName val="전사 (2)"/>
      <sheetName val="798101_26_1"/>
      <sheetName val="HR Final"/>
      <sheetName val="HR"/>
      <sheetName val="중연"/>
      <sheetName val="EX-외상(06)"/>
      <sheetName val="인건비"/>
      <sheetName val="Data Ctrl-Detailed"/>
      <sheetName val="Data Ctrl"/>
      <sheetName val="full (2)"/>
      <sheetName val="Permanent info"/>
      <sheetName val="Materials List"/>
      <sheetName val="fitting"/>
      <sheetName val="TAREC"/>
      <sheetName val="현장"/>
      <sheetName val="월별손익"/>
      <sheetName val="KURSER"/>
      <sheetName val="Result"/>
      <sheetName val="Head of_x0009__x0008__x0001_"/>
      <sheetName val="Head of _x0008__x0001_"/>
      <sheetName val="기본운용"/>
      <sheetName val="True-Up"/>
      <sheetName val="Period Cost Bridge"/>
      <sheetName val="Trial Balance - FY10"/>
      <sheetName val="Skill List"/>
      <sheetName val="cash"/>
      <sheetName val="매출원가_회사제시"/>
      <sheetName val="연봉제451"/>
      <sheetName val="변경실행(2차) "/>
      <sheetName val="상도내역"/>
      <sheetName val="9712LC"/>
      <sheetName val="재무상태표_계획"/>
      <sheetName val="손익계산서_계획"/>
      <sheetName val="LeadSchedule"/>
      <sheetName val="이복"/>
      <sheetName val="평항"/>
      <sheetName val="Bill Sum"/>
      <sheetName val="OT APRIL"/>
      <sheetName val="Initial Class"/>
      <sheetName val="진공성형-이복-평항"/>
      <sheetName val="재공품"/>
      <sheetName val="CHITIET VL-NC"/>
      <sheetName val="Issues-2011년"/>
      <sheetName val="LONGS"/>
      <sheetName val="LOPTION"/>
      <sheetName val="SOPTION"/>
      <sheetName val="SHORTS"/>
      <sheetName val="1_외주공사4"/>
      <sheetName val="2_직영공사4"/>
      <sheetName val="Secured_Master3"/>
      <sheetName val="9811_YTD3"/>
      <sheetName val="4b_Consolidated_PL4"/>
      <sheetName val="Gen_Assumptions4"/>
      <sheetName val="1998_P_&amp;_L4"/>
      <sheetName val="Korea_Sign-Internal4"/>
      <sheetName val="118_세금과공과3"/>
      <sheetName val="Inv_3"/>
      <sheetName val="신고서_전3"/>
      <sheetName val="1_MDF1공장3"/>
      <sheetName val="폐토수익화_3"/>
      <sheetName val="1-KUNDE_XLS3"/>
      <sheetName val="급여이체(농)_(2)3"/>
      <sheetName val="지분법(AK)_(2)3"/>
      <sheetName val="한일자야(감액손실)_(2)3"/>
      <sheetName val="2_대외공문3"/>
      <sheetName val="BAL_(TTL)3"/>
      <sheetName val="w't_table3"/>
      <sheetName val="교정용_시트_(9)3"/>
      <sheetName val="3__BSC_NC_ratio3"/>
      <sheetName val="Intercompany_AR_&amp;_AP3"/>
      <sheetName val="Oper_Amount3"/>
      <sheetName val="Data_Sheet3"/>
      <sheetName val="_견적서3"/>
      <sheetName val="営業以外_評価賞与3"/>
      <sheetName val="Fixed_Asset_2203_(2)3"/>
      <sheetName val="제품별_MC3"/>
      <sheetName val="due_from_HO3"/>
      <sheetName val="Accrued_exp3"/>
      <sheetName val="Head_office3"/>
      <sheetName val="Dim_Lists3"/>
      <sheetName val="관계매출_(2)3"/>
      <sheetName val="Sheet6_(3)3"/>
      <sheetName val="원본_data3"/>
      <sheetName val="1차_가공3"/>
      <sheetName val="서식_옵션3"/>
      <sheetName val="7_31_(2)3"/>
      <sheetName val="시실누(모)_3"/>
      <sheetName val="2-2_매출분석2"/>
      <sheetName val="Price_Summary_(Before_&amp;_After)3"/>
      <sheetName val="Non-Statistical_Sampling_Maste3"/>
      <sheetName val="06년예상보험료_(2)2"/>
      <sheetName val="__한국_AMP_ASP-23_판매가격__2"/>
      <sheetName val="Cover_sheet2"/>
      <sheetName val="O__1_0_Leadsheet_of_income_tax2"/>
      <sheetName val="전체표_(3)2"/>
      <sheetName val="DBL_LPG시험2"/>
      <sheetName val="금융자산_control2"/>
      <sheetName val="금융부채_control2"/>
      <sheetName val="원단위_(윤991021)2"/>
      <sheetName val="Sheet1_(2)2"/>
      <sheetName val="Sheet1_(3)2"/>
      <sheetName val="2월계획_2"/>
      <sheetName val="3월계획_2"/>
      <sheetName val="FS96_XLS1"/>
      <sheetName val="Akashi_non-refundable1"/>
      <sheetName val="Bank_charge1"/>
      <sheetName val="09_01퇴직1"/>
      <sheetName val="_1_memo1"/>
      <sheetName val="Cash_Situation1"/>
      <sheetName val="Summary_(1)1"/>
      <sheetName val="Statement_of_OPs1"/>
      <sheetName val="New_Valuation1"/>
      <sheetName val="②전구간_파괴검사(킬링미사용)1"/>
      <sheetName val="③전구간_파괴검사(킬링사용)1"/>
      <sheetName val="손익계산서_초안1"/>
      <sheetName val="대차대조표_(2)"/>
      <sheetName val="손익계산서_(2)"/>
      <sheetName val="주요경영지표계산_(2)"/>
      <sheetName val="잉여금,_현금흐름"/>
      <sheetName val="손익계산서_(3)"/>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8_수선비1"/>
      <sheetName val="손익분기점_데이터"/>
      <sheetName val="14_광주_원가배부Ⅲ"/>
      <sheetName val="24_보증금(전신전화가입권)"/>
      <sheetName val="퇴직급여02_(2)"/>
      <sheetName val="손익계산서_raw_data"/>
      <sheetName val="부서별손익_(부)"/>
      <sheetName val="E_LEAD"/>
      <sheetName val="1차_매출원가"/>
      <sheetName val="제조원가계산서_(2)"/>
      <sheetName val="10월_급여"/>
      <sheetName val="조회서_(2)"/>
      <sheetName val="조회서_(3)"/>
      <sheetName val="조회서_(4)"/>
      <sheetName val="조회서_(5)"/>
      <sheetName val="조회서_(6)"/>
      <sheetName val="미수금_(O)"/>
      <sheetName val="General_Assumptions"/>
      <sheetName val="sap`04_7_14"/>
      <sheetName val="Menu_data"/>
      <sheetName val="평가방법_(2)"/>
      <sheetName val="July_"/>
      <sheetName val="1__PS_bond"/>
      <sheetName val="NO_2-1"/>
      <sheetName val="Approval_status(QTAK)"/>
      <sheetName val="Extra_strand"/>
      <sheetName val="7_-_NC1"/>
      <sheetName val="11_자재단가"/>
      <sheetName val="4_경비_5_영업외수지"/>
      <sheetName val="건설중인_자산"/>
      <sheetName val="LIST_OF_CHANGSHIN_STAFF"/>
      <sheetName val="MAT_OL"/>
      <sheetName val="Ship_Advice"/>
      <sheetName val="Finance_Inputs1"/>
      <sheetName val="7_(2)"/>
      <sheetName val="BA_(2)"/>
      <sheetName val="CP_(2)"/>
      <sheetName val="전사_(2)"/>
      <sheetName val="HR_Final"/>
      <sheetName val="Data_Ctrl-Detailed"/>
      <sheetName val="Data_Ctrl"/>
      <sheetName val="Permanent_info"/>
      <sheetName val="Head_of "/>
      <sheetName val="Head_of_"/>
      <sheetName val="US_Codes"/>
      <sheetName val="LDPE"/>
      <sheetName val="Int-Invst"/>
      <sheetName val="Disclosure"/>
      <sheetName val="Select"/>
      <sheetName val="Others"/>
      <sheetName val="HSA"/>
      <sheetName val="Parm"/>
      <sheetName val="\\Kmw443\d\OTHER\96반기~1\6M\PUBL"/>
    </sheetNames>
    <definedNames>
      <definedName name="Macro8"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sheetData sheetId="408" refreshError="1"/>
      <sheetData sheetId="409" refreshError="1"/>
      <sheetData sheetId="410" refreshError="1"/>
      <sheetData sheetId="411"/>
      <sheetData sheetId="412"/>
      <sheetData sheetId="413" refreshError="1"/>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refreshError="1"/>
      <sheetData sheetId="484"/>
      <sheetData sheetId="485"/>
      <sheetData sheetId="486"/>
      <sheetData sheetId="487">
        <row r="2">
          <cell r="E2">
            <v>0.2</v>
          </cell>
        </row>
      </sheetData>
      <sheetData sheetId="488">
        <row r="2">
          <cell r="E2">
            <v>0.2</v>
          </cell>
        </row>
      </sheetData>
      <sheetData sheetId="489">
        <row r="2">
          <cell r="E2">
            <v>0.2</v>
          </cell>
        </row>
      </sheetData>
      <sheetData sheetId="490">
        <row r="2">
          <cell r="E2">
            <v>0.2</v>
          </cell>
        </row>
      </sheetData>
      <sheetData sheetId="491">
        <row r="2">
          <cell r="E2">
            <v>0.2</v>
          </cell>
        </row>
      </sheetData>
      <sheetData sheetId="492"/>
      <sheetData sheetId="493"/>
      <sheetData sheetId="494"/>
      <sheetData sheetId="495"/>
      <sheetData sheetId="496"/>
      <sheetData sheetId="497"/>
      <sheetData sheetId="498">
        <row r="2">
          <cell r="E2">
            <v>0.2</v>
          </cell>
        </row>
      </sheetData>
      <sheetData sheetId="499">
        <row r="2">
          <cell r="E2">
            <v>0.2</v>
          </cell>
        </row>
      </sheetData>
      <sheetData sheetId="500">
        <row r="2">
          <cell r="E2">
            <v>0.2</v>
          </cell>
        </row>
      </sheetData>
      <sheetData sheetId="501">
        <row r="2">
          <cell r="E2">
            <v>0.2</v>
          </cell>
        </row>
      </sheetData>
      <sheetData sheetId="502">
        <row r="2">
          <cell r="E2">
            <v>0.2</v>
          </cell>
        </row>
      </sheetData>
      <sheetData sheetId="503"/>
      <sheetData sheetId="504"/>
      <sheetData sheetId="505"/>
      <sheetData sheetId="506"/>
      <sheetData sheetId="507"/>
      <sheetData sheetId="508"/>
      <sheetData sheetId="509"/>
      <sheetData sheetId="510">
        <row r="2">
          <cell r="E2">
            <v>0.2</v>
          </cell>
        </row>
      </sheetData>
      <sheetData sheetId="511">
        <row r="2">
          <cell r="E2">
            <v>0.2</v>
          </cell>
        </row>
      </sheetData>
      <sheetData sheetId="512">
        <row r="2">
          <cell r="E2">
            <v>0.2</v>
          </cell>
        </row>
      </sheetData>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ow r="2">
          <cell r="E2">
            <v>0.2</v>
          </cell>
        </row>
      </sheetData>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refreshError="1"/>
      <sheetData sheetId="694" refreshError="1"/>
      <sheetData sheetId="695"/>
      <sheetData sheetId="696"/>
      <sheetData sheetId="697"/>
      <sheetData sheetId="698"/>
      <sheetData sheetId="699"/>
      <sheetData sheetId="700"/>
      <sheetData sheetId="701"/>
      <sheetData sheetId="702" refreshError="1"/>
      <sheetData sheetId="703"/>
      <sheetData sheetId="704"/>
      <sheetData sheetId="705"/>
      <sheetData sheetId="706"/>
      <sheetData sheetId="707"/>
      <sheetData sheetId="708"/>
      <sheetData sheetId="709"/>
      <sheetData sheetId="710" refreshError="1"/>
      <sheetData sheetId="711" refreshError="1"/>
      <sheetData sheetId="712"/>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refreshError="1"/>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refreshError="1"/>
      <sheetData sheetId="967" refreshError="1"/>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refreshError="1"/>
      <sheetData sheetId="1026" refreshError="1"/>
      <sheetData sheetId="1027"/>
      <sheetData sheetId="1028"/>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ow r="13">
          <cell r="BB13">
            <v>60</v>
          </cell>
        </row>
      </sheetData>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근무"/>
      <sheetName val="견적"/>
      <sheetName val="견적서"/>
      <sheetName val="견적내역"/>
      <sheetName val="산출기준"/>
      <sheetName val="인건"/>
      <sheetName val="소모품"/>
      <sheetName val="인원계획-미화"/>
      <sheetName val="한국중공업보안"/>
      <sheetName val="2004SS"/>
      <sheetName val="2004CJ"/>
      <sheetName val="수정분개"/>
      <sheetName val="Daten_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Operating Summary"/>
      <sheetName val="인원계획-미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_Data"/>
      <sheetName val="Log"/>
      <sheetName val="Sensitivity Analysis"/>
      <sheetName val="Summary"/>
      <sheetName val="DB"/>
      <sheetName val="Hospital"/>
      <sheetName val="Sheet1"/>
      <sheetName val="BS"/>
      <sheetName val="PL"/>
      <sheetName val="총투자비"/>
      <sheetName val="Index"/>
      <sheetName val="재원조달"/>
      <sheetName val="운영수익"/>
      <sheetName val="REITs Cost"/>
      <sheetName val="Operating Cost"/>
      <sheetName val="부속명세"/>
      <sheetName val="제세공과"/>
      <sheetName val="BS(FY)"/>
      <sheetName val="BS(M)"/>
      <sheetName val="PL(FY)"/>
      <sheetName val="PL(M)"/>
      <sheetName val="CF(FY)"/>
      <sheetName val="CF(M)"/>
      <sheetName val="RE(M)"/>
      <sheetName val="NOI(M)"/>
      <sheetName val="NOI(FY)"/>
      <sheetName val="EXIT"/>
    </sheetNames>
    <sheetDataSet>
      <sheetData sheetId="0" refreshError="1"/>
      <sheetData sheetId="1" refreshError="1"/>
      <sheetData sheetId="2">
        <row r="10">
          <cell r="B10">
            <v>14</v>
          </cell>
        </row>
      </sheetData>
      <sheetData sheetId="3">
        <row r="34">
          <cell r="G34">
            <v>44135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내역"/>
      <sheetName val="노무비"/>
      <sheetName val="요약BS"/>
      <sheetName val="상가매매0115"/>
      <sheetName val="상가임대0115"/>
      <sheetName val="CostApp."/>
      <sheetName val="Lookup"/>
      <sheetName val="95WBS"/>
      <sheetName val="인원계획-미화"/>
      <sheetName val="0.1keyAssumption"/>
      <sheetName val="0.0ControlSheet"/>
      <sheetName val="賃料等一覧"/>
      <sheetName val="업무용유지비실적"/>
      <sheetName val="설-원가"/>
      <sheetName val="설치자재"/>
      <sheetName val="단중"/>
      <sheetName val="Budget을 위한 SAC사업분석- 작업중"/>
      <sheetName val="목록"/>
      <sheetName val="중기"/>
      <sheetName val="간접비계산"/>
      <sheetName val="GenLedger BalSht"/>
      <sheetName val="XLUTIL"/>
      <sheetName val="차액보증"/>
      <sheetName val="MOTOR"/>
      <sheetName val="리츠"/>
      <sheetName val="CostApp_"/>
      <sheetName val="0_1keyAssumption"/>
      <sheetName val="0_0ControlSheet"/>
      <sheetName val="CostApp_1"/>
      <sheetName val="0_1keyAssumption1"/>
      <sheetName val="0_0ControlSheet1"/>
      <sheetName val="Budget을_위한_SAC사업분석-_작업중"/>
      <sheetName val="GenLedger_BalSht"/>
      <sheetName val="Data Sheet"/>
      <sheetName val="빌딩코드"/>
      <sheetName val="anaysis_sheet"/>
      <sheetName val="Global Assumption"/>
      <sheetName val="Template"/>
      <sheetName val="RM목표&amp;실적"/>
      <sheetName val="Total"/>
      <sheetName val="Assumptions"/>
      <sheetName val="이우(hd)"/>
      <sheetName val="Customer Databas"/>
      <sheetName val="Area"/>
      <sheetName val="Input Screen"/>
      <sheetName val="회사정보"/>
      <sheetName val="식재수량표"/>
      <sheetName val="건재양식"/>
      <sheetName val="견적기준"/>
      <sheetName val="2월가격표"/>
      <sheetName val="수익률"/>
      <sheetName val="Sim"/>
      <sheetName val="가정 및 결과"/>
      <sheetName val="배당"/>
      <sheetName val="수익"/>
      <sheetName val="2004SS"/>
      <sheetName val="2004CJ"/>
      <sheetName val="Daten_ME"/>
      <sheetName val="수익01"/>
      <sheetName val="Assumption"/>
      <sheetName val="Sheet5"/>
      <sheetName val="EQUIP-H"/>
      <sheetName val="@RISK Correlations"/>
      <sheetName val="광주운남을"/>
      <sheetName val="수량산출서 (2)"/>
      <sheetName val="보일러"/>
      <sheetName val="RE9604"/>
      <sheetName val="Cost bd-&quot;A&quot;"/>
      <sheetName val="Operational Activities"/>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1Month+Sheet2!"/>
      <sheetName val="Training"/>
      <sheetName val="총무팀"/>
      <sheetName val="마포-임현"/>
      <sheetName val="98지급계획"/>
      <sheetName val="3본사"/>
      <sheetName val="익월작업계힉"/>
      <sheetName val="국내"/>
      <sheetName val="10. 임차사 재무건전성 분석"/>
      <sheetName val="품셈TABLE"/>
      <sheetName val="임대료산정(자동계산)"/>
      <sheetName val="VA요약(가정 및 배당)"/>
      <sheetName val="CostApp_2"/>
      <sheetName val="0_1keyAssumption2"/>
      <sheetName val="0_0ControlSheet2"/>
      <sheetName val="Budget을_위한_SAC사업분석-_작업중1"/>
      <sheetName val="GenLedger_BalSht1"/>
      <sheetName val="Global_Assumption"/>
      <sheetName val="Data_Sheet"/>
      <sheetName val="가정_및_결과"/>
      <sheetName val="본관내역서"/>
      <sheetName val="Utility Usage엠닷컴 26"/>
      <sheetName val="賃貸条件"/>
      <sheetName val="転記用"/>
      <sheetName val="Work"/>
      <sheetName val="Secured Master"/>
      <sheetName val="급여대장"/>
      <sheetName val="Collateral"/>
      <sheetName val="Cash Flow"/>
      <sheetName val="Source"/>
      <sheetName val="서울경제 신문 1,500평.xlsx"/>
      <sheetName val="CostApp_3"/>
      <sheetName val="0_1keyAssumption3"/>
      <sheetName val="0_0ControlSheet3"/>
      <sheetName val="Budget을_위한_SAC사업분석-_작업중2"/>
      <sheetName val="GenLedger_BalSht2"/>
      <sheetName val="Data_Sheet1"/>
      <sheetName val="Global_Assumption1"/>
      <sheetName val="ML_LS Promote"/>
      <sheetName val="확약서"/>
      <sheetName val="수량산출"/>
      <sheetName val="NH농협캐피탈_임,_관리비_수익추정_'14_05_~_'1"/>
      <sheetName val="Initial_Input_Variable"/>
      <sheetName val="Cash_Flows"/>
      <sheetName val="평자재단가"/>
      <sheetName val="10__임차사_재무건전성_분석"/>
      <sheetName val="1월"/>
      <sheetName val="Japan"/>
      <sheetName val="도급자재"/>
      <sheetName val="2분기 체크리스트.xlsx"/>
      <sheetName val="소방사항"/>
      <sheetName val="F"/>
      <sheetName val="Table"/>
      <sheetName val="수정분개"/>
      <sheetName val="FCU (2)"/>
      <sheetName val="4-3. 냉수 사용량"/>
      <sheetName val="4-4. 온수 사용량"/>
      <sheetName val="4-5. 상하수도 사용량"/>
      <sheetName val="Lists"/>
      <sheetName val="내역서"/>
      <sheetName val="3.공통공사대비"/>
      <sheetName val="상하차비용(기계상차)"/>
      <sheetName val="수간보호"/>
      <sheetName val="운반비"/>
      <sheetName val="대외공문"/>
      <sheetName val="Foreclosure"/>
      <sheetName val="1"/>
      <sheetName val="sheets"/>
      <sheetName val="이자율"/>
      <sheetName val="1.표지"/>
      <sheetName val="현장"/>
      <sheetName val="Budget 2005(DW)"/>
      <sheetName val="1_當期시산표"/>
      <sheetName val="Utilities"/>
      <sheetName val="상환계획(선순위)(Q)"/>
      <sheetName val="요약&amp;결과"/>
      <sheetName val="Intro2"/>
      <sheetName val="실행내역"/>
      <sheetName val="준공내역(을)"/>
      <sheetName val="수지차(년)"/>
      <sheetName val="Replacement"/>
      <sheetName val="Rent Roll"/>
      <sheetName val="이익잉여금처분계산서"/>
      <sheetName val="재무상태변동표"/>
      <sheetName val="제조원가명세서"/>
      <sheetName val="현금흐름표"/>
      <sheetName val="Construction"/>
      <sheetName val="INFO"/>
      <sheetName val="Parameter"/>
      <sheetName val="値付くん"/>
      <sheetName val="기본가정"/>
      <sheetName val="BID"/>
      <sheetName val="N賃率-職"/>
      <sheetName val="설직재-1"/>
      <sheetName val="Situation"/>
      <sheetName val="MEMO"/>
      <sheetName val="산수(hd-0)"/>
      <sheetName val="산수(hd-1)"/>
      <sheetName val="Control"/>
      <sheetName val="개요"/>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재무가정"/>
      <sheetName val="노무비"/>
      <sheetName val="보정전"/>
      <sheetName val="INFG1198"/>
      <sheetName val="INMD1198"/>
      <sheetName val="abroption projection_01"/>
      <sheetName val="Daten_M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노무비"/>
      <sheetName val="PROJECT BRIEF(EX.NEW)"/>
      <sheetName val="S&amp;R"/>
      <sheetName val="재무가정"/>
      <sheetName val="1차 내역서"/>
      <sheetName val="인원계획-미화"/>
      <sheetName val="인건비"/>
      <sheetName val="이우(hd)"/>
      <sheetName val="RM목표&amp;실적"/>
      <sheetName val="abroption projection_01"/>
      <sheetName val="MOTOR"/>
      <sheetName val="Budget 2004(DW)"/>
      <sheetName val="Total"/>
      <sheetName val="업무용유지비실적"/>
      <sheetName val="Template"/>
      <sheetName val="Management_Fe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S&amp;R"/>
      <sheetName val="보고서"/>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anaysis_sheet"/>
      <sheetName val="2. Summary-cash"/>
      <sheetName val="Cover"/>
      <sheetName val="Summary"/>
      <sheetName val="Setup"/>
      <sheetName val="인건-측정"/>
      <sheetName val="운동장 (2)"/>
      <sheetName val="RM목표&amp;실적"/>
      <sheetName val="Macro Codes"/>
      <sheetName val="2004SS"/>
      <sheetName val="2004CJ"/>
      <sheetName val="Mthly Trst Cflow"/>
      <sheetName val="Inputs"/>
      <sheetName val="인건비"/>
      <sheetName val="MOTOR"/>
      <sheetName val="통합FM(차,자,보,F,시작일자,분기변경)"/>
      <sheetName val="현금"/>
      <sheetName val="인원계획-미화"/>
      <sheetName val="Annex B - 1 - Cash"/>
      <sheetName val="2001년12월"/>
      <sheetName val="Id"/>
      <sheetName val="Intro2"/>
      <sheetName val="Control"/>
      <sheetName val="1 Cash Flow Analysis"/>
      <sheetName val="@RISK Correlations"/>
      <sheetName val="2__Summary-cash"/>
      <sheetName val="Macro_Codes"/>
      <sheetName val="GAAP Pru"/>
      <sheetName val="2__Summary-cash1"/>
      <sheetName val="Macro_Codes1"/>
      <sheetName val="J直材4"/>
      <sheetName val="수량산출"/>
      <sheetName val="노임"/>
      <sheetName val="F_Assume"/>
      <sheetName val="F"/>
      <sheetName val="Table"/>
      <sheetName val="Sensitivity"/>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1">
          <cell r="H21">
            <v>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물량산출"/>
      <sheetName val="관리비용"/>
      <sheetName val="CHECK LIST"/>
      <sheetName val="월간수지계획"/>
      <sheetName val="PMfee산정회귀식"/>
      <sheetName val="PM관리업무분석"/>
      <sheetName val="회귀식"/>
      <sheetName val="인력계획"/>
      <sheetName val="투입인원"/>
      <sheetName val="직무분석"/>
      <sheetName val="인당금액"/>
      <sheetName val="청소분석"/>
      <sheetName val="수광비단가 및 기본료"/>
      <sheetName val="제세공과금"/>
      <sheetName val="재산세"/>
      <sheetName val="빌딩현황"/>
      <sheetName val="빌딩코드(1)"/>
      <sheetName val="example (2)"/>
      <sheetName val="건물등기부등본"/>
      <sheetName val="재무가정"/>
      <sheetName val="comparables"/>
      <sheetName val="Deduction"/>
      <sheetName val="other"/>
      <sheetName val="conclusion"/>
      <sheetName val="결정단가"/>
      <sheetName val="anaysis_sheet"/>
      <sheetName val="GAAP Pru"/>
      <sheetName val="2. Summary-cash"/>
    </sheetNames>
    <sheetDataSet>
      <sheetData sheetId="0"/>
      <sheetData sheetId="1" refreshError="1"/>
      <sheetData sheetId="2" refreshError="1"/>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Pru"/>
      <sheetName val="BS"/>
      <sheetName val="PL"/>
      <sheetName val="changes in equity"/>
      <sheetName val="BS dividends"/>
      <sheetName val="BS other Assets &amp; Liab."/>
      <sheetName val="PL sales"/>
      <sheetName val="PL services purchased"/>
      <sheetName val="Taxes"/>
      <sheetName val="재무가정"/>
      <sheetName val="CHECK LIST"/>
      <sheetName val="anaysis_sheet"/>
      <sheetName val="현금"/>
      <sheetName val="조건"/>
      <sheetName val="Actbase"/>
      <sheetName val="T6-6(2)"/>
      <sheetName val="GAAP_Pru"/>
      <sheetName val="changes_in_equity"/>
      <sheetName val="BS_dividends"/>
      <sheetName val="BS_other_Assets_&amp;_Liab_"/>
      <sheetName val="PL_sales"/>
      <sheetName val="PL_services_purchased"/>
      <sheetName val="노무비"/>
      <sheetName val="@RISK Correlations"/>
      <sheetName val="PMC base"/>
      <sheetName val="2. Summary-cash"/>
      <sheetName val="1월"/>
      <sheetName val="マスタ"/>
      <sheetName val="OPT"/>
      <sheetName val="SV"/>
      <sheetName val="표지"/>
      <sheetName val="인건비"/>
      <sheetName val="공사개요"/>
      <sheetName val="참고"/>
      <sheetName val="Reporting Package"/>
      <sheetName val="인원계획-미화"/>
      <sheetName val="2004SS"/>
      <sheetName val="2004CJ"/>
      <sheetName val="수량산출"/>
      <sheetName val="2001년12월"/>
      <sheetName val="BOTM"/>
    </sheetNames>
    <sheetDataSet>
      <sheetData sheetId="0">
        <row r="15">
          <cell r="E15" t="str">
            <v>Investments</v>
          </cell>
          <cell r="H15">
            <v>0</v>
          </cell>
        </row>
        <row r="16">
          <cell r="E16" t="str">
            <v>Investments</v>
          </cell>
          <cell r="H16">
            <v>0</v>
          </cell>
        </row>
        <row r="17">
          <cell r="E17" t="str">
            <v>Other financial assets</v>
          </cell>
          <cell r="H17">
            <v>0</v>
          </cell>
        </row>
        <row r="18">
          <cell r="E18" t="str">
            <v>Shares in affiliated companies</v>
          </cell>
          <cell r="H18">
            <v>0</v>
          </cell>
        </row>
        <row r="19">
          <cell r="E19" t="str">
            <v>Cash and cash equivalents</v>
          </cell>
          <cell r="H19">
            <v>286993.55</v>
          </cell>
        </row>
        <row r="20">
          <cell r="E20" t="str">
            <v>Cash and cash equivalents</v>
          </cell>
          <cell r="H20">
            <v>0</v>
          </cell>
        </row>
        <row r="21">
          <cell r="E21" t="str">
            <v>Cash and cash equivalents</v>
          </cell>
          <cell r="H21">
            <v>0</v>
          </cell>
        </row>
        <row r="22">
          <cell r="E22" t="str">
            <v>Accounts receivable from third parties</v>
          </cell>
          <cell r="H22">
            <v>45973.95</v>
          </cell>
        </row>
        <row r="23">
          <cell r="E23" t="str">
            <v>Accounts receivable - affiliated companies</v>
          </cell>
          <cell r="H23">
            <v>84263.43</v>
          </cell>
        </row>
        <row r="24">
          <cell r="E24" t="str">
            <v>Operational and office equipement</v>
          </cell>
          <cell r="H24">
            <v>0</v>
          </cell>
        </row>
        <row r="25">
          <cell r="E25" t="str">
            <v>Deferred tax</v>
          </cell>
          <cell r="H25">
            <v>0</v>
          </cell>
        </row>
        <row r="26">
          <cell r="E26" t="str">
            <v>Goodwill</v>
          </cell>
          <cell r="H26">
            <v>0</v>
          </cell>
        </row>
        <row r="27">
          <cell r="E27" t="str">
            <v>Prepaid and other assets</v>
          </cell>
          <cell r="H27">
            <v>0</v>
          </cell>
        </row>
        <row r="28">
          <cell r="E28" t="str">
            <v>Concessions/Software</v>
          </cell>
          <cell r="H28">
            <v>0</v>
          </cell>
        </row>
        <row r="29">
          <cell r="E29" t="str">
            <v>Other financial assets</v>
          </cell>
          <cell r="H29">
            <v>0</v>
          </cell>
        </row>
        <row r="30">
          <cell r="E30" t="str">
            <v>Prepaid and other assets</v>
          </cell>
          <cell r="H30">
            <v>0</v>
          </cell>
        </row>
        <row r="31">
          <cell r="E31" t="str">
            <v>Prepaid and other assets</v>
          </cell>
          <cell r="H31">
            <v>3160.85</v>
          </cell>
        </row>
        <row r="32">
          <cell r="E32" t="str">
            <v>Prepaid and other assets</v>
          </cell>
          <cell r="H32">
            <v>833.15</v>
          </cell>
        </row>
        <row r="33">
          <cell r="E33" t="str">
            <v>Bank loans and overdraft</v>
          </cell>
          <cell r="H33">
            <v>0</v>
          </cell>
        </row>
        <row r="34">
          <cell r="E34" t="str">
            <v>Accounts payable - affiliated companies</v>
          </cell>
          <cell r="H34">
            <v>0</v>
          </cell>
        </row>
        <row r="35">
          <cell r="E35" t="str">
            <v>Accrued taxes</v>
          </cell>
          <cell r="H35">
            <v>5881.84</v>
          </cell>
        </row>
        <row r="36">
          <cell r="E36" t="str">
            <v>Accrued taxes</v>
          </cell>
          <cell r="H36">
            <v>0</v>
          </cell>
        </row>
        <row r="37">
          <cell r="E37" t="str">
            <v>Accounts payable - affiliated companies</v>
          </cell>
          <cell r="H37">
            <v>0</v>
          </cell>
        </row>
        <row r="38">
          <cell r="E38" t="str">
            <v>Issued capital</v>
          </cell>
          <cell r="H38">
            <v>-5000</v>
          </cell>
        </row>
        <row r="39">
          <cell r="E39" t="str">
            <v>Issued capital</v>
          </cell>
          <cell r="H39">
            <v>0</v>
          </cell>
        </row>
        <row r="40">
          <cell r="E40" t="str">
            <v>Issued capital</v>
          </cell>
          <cell r="H40">
            <v>0</v>
          </cell>
        </row>
        <row r="41">
          <cell r="E41" t="str">
            <v>Capital reserves</v>
          </cell>
          <cell r="H41">
            <v>-2500</v>
          </cell>
        </row>
        <row r="42">
          <cell r="E42" t="str">
            <v>Retained earnings</v>
          </cell>
          <cell r="H42">
            <v>-44905.14</v>
          </cell>
        </row>
        <row r="43">
          <cell r="E43" t="str">
            <v>Retained earnings</v>
          </cell>
          <cell r="H43">
            <v>0</v>
          </cell>
        </row>
        <row r="44">
          <cell r="E44" t="str">
            <v>Retained earnings</v>
          </cell>
          <cell r="H44">
            <v>0</v>
          </cell>
        </row>
        <row r="45">
          <cell r="E45" t="str">
            <v>Currency adjustments</v>
          </cell>
          <cell r="H45">
            <v>0</v>
          </cell>
        </row>
        <row r="46">
          <cell r="E46" t="str">
            <v>Other liabilities</v>
          </cell>
          <cell r="H46">
            <v>0</v>
          </cell>
        </row>
        <row r="47">
          <cell r="E47" t="str">
            <v>Other liabilities</v>
          </cell>
          <cell r="H47">
            <v>-23333.97</v>
          </cell>
        </row>
        <row r="48">
          <cell r="E48" t="str">
            <v>Provisions</v>
          </cell>
          <cell r="H48">
            <v>0</v>
          </cell>
        </row>
        <row r="49">
          <cell r="E49" t="str">
            <v>Minority interests</v>
          </cell>
          <cell r="H49">
            <v>0</v>
          </cell>
        </row>
        <row r="50">
          <cell r="E50" t="str">
            <v>Accounts payable to third parties</v>
          </cell>
          <cell r="H50">
            <v>-70690.39</v>
          </cell>
        </row>
        <row r="51">
          <cell r="E51" t="str">
            <v>Accounts payable - affiliated companies</v>
          </cell>
          <cell r="H51">
            <v>-63709.35</v>
          </cell>
        </row>
        <row r="52">
          <cell r="E52" t="str">
            <v>Other liabilities</v>
          </cell>
          <cell r="H52">
            <v>0</v>
          </cell>
        </row>
        <row r="53">
          <cell r="E53" t="str">
            <v>Other liabilities</v>
          </cell>
          <cell r="H53">
            <v>-54856.23</v>
          </cell>
        </row>
        <row r="54">
          <cell r="E54" t="str">
            <v>Income from investments</v>
          </cell>
          <cell r="H54">
            <v>0</v>
          </cell>
        </row>
        <row r="55">
          <cell r="E55" t="str">
            <v>Income from investments</v>
          </cell>
          <cell r="H55">
            <v>0</v>
          </cell>
        </row>
        <row r="56">
          <cell r="E56" t="str">
            <v>Income from investments</v>
          </cell>
          <cell r="H56">
            <v>0</v>
          </cell>
        </row>
        <row r="57">
          <cell r="E57" t="str">
            <v>Interest and similar income</v>
          </cell>
          <cell r="H57">
            <v>0</v>
          </cell>
        </row>
        <row r="58">
          <cell r="E58" t="str">
            <v>Other income</v>
          </cell>
          <cell r="H58">
            <v>0</v>
          </cell>
        </row>
        <row r="59">
          <cell r="E59" t="str">
            <v>Other income</v>
          </cell>
          <cell r="H59">
            <v>0</v>
          </cell>
        </row>
        <row r="60">
          <cell r="E60" t="str">
            <v>Other income</v>
          </cell>
          <cell r="H60">
            <v>0</v>
          </cell>
        </row>
        <row r="61">
          <cell r="E61" t="str">
            <v>Transaction fees</v>
          </cell>
          <cell r="H61">
            <v>-151316.67000000001</v>
          </cell>
        </row>
        <row r="62">
          <cell r="E62" t="str">
            <v>for transaction fees</v>
          </cell>
          <cell r="H62">
            <v>0</v>
          </cell>
        </row>
        <row r="63">
          <cell r="H63">
            <v>-151316.67000000001</v>
          </cell>
        </row>
        <row r="64">
          <cell r="E64" t="str">
            <v>Asset management fees</v>
          </cell>
          <cell r="H64">
            <v>-296852.90000000002</v>
          </cell>
        </row>
        <row r="65">
          <cell r="E65" t="str">
            <v>for asset management fees</v>
          </cell>
          <cell r="H65">
            <v>43586.13</v>
          </cell>
        </row>
        <row r="66">
          <cell r="H66">
            <v>-253266.77000000002</v>
          </cell>
        </row>
        <row r="67">
          <cell r="E67" t="str">
            <v>Other income</v>
          </cell>
          <cell r="H67">
            <v>0</v>
          </cell>
        </row>
        <row r="68">
          <cell r="E68" t="str">
            <v>Interest and similar expenses</v>
          </cell>
          <cell r="H68">
            <v>0</v>
          </cell>
        </row>
        <row r="69">
          <cell r="E69" t="str">
            <v>Interest and similar expenses</v>
          </cell>
          <cell r="H69">
            <v>0</v>
          </cell>
        </row>
        <row r="70">
          <cell r="E70" t="str">
            <v>for transaction fees</v>
          </cell>
          <cell r="H70">
            <v>0</v>
          </cell>
        </row>
        <row r="71">
          <cell r="E71" t="str">
            <v>Corporate taxes on income</v>
          </cell>
          <cell r="H71">
            <v>110304.25</v>
          </cell>
        </row>
        <row r="72">
          <cell r="E72" t="str">
            <v>Corporate taxes on income</v>
          </cell>
          <cell r="H72">
            <v>0</v>
          </cell>
        </row>
        <row r="73">
          <cell r="E73" t="str">
            <v>Currency adjustments</v>
          </cell>
          <cell r="H73">
            <v>0</v>
          </cell>
        </row>
        <row r="74">
          <cell r="E74" t="str">
            <v>Currency adjustments</v>
          </cell>
          <cell r="H74">
            <v>0</v>
          </cell>
        </row>
        <row r="75">
          <cell r="E75" t="str">
            <v>Issued capital</v>
          </cell>
          <cell r="H75">
            <v>0</v>
          </cell>
        </row>
        <row r="76">
          <cell r="E76" t="str">
            <v>Issued capital</v>
          </cell>
          <cell r="H76">
            <v>0</v>
          </cell>
        </row>
        <row r="77">
          <cell r="E77" t="str">
            <v>Capital reserves</v>
          </cell>
          <cell r="H77">
            <v>0</v>
          </cell>
        </row>
        <row r="78">
          <cell r="E78" t="str">
            <v>Issued capital</v>
          </cell>
          <cell r="H78">
            <v>0</v>
          </cell>
        </row>
        <row r="79">
          <cell r="E79" t="str">
            <v>Issued capital</v>
          </cell>
          <cell r="H79">
            <v>0</v>
          </cell>
        </row>
        <row r="80">
          <cell r="E80" t="str">
            <v>Fixed salaries and social charges</v>
          </cell>
          <cell r="H80">
            <v>86044.91</v>
          </cell>
        </row>
        <row r="81">
          <cell r="E81" t="str">
            <v>Other income</v>
          </cell>
          <cell r="H81">
            <v>-27706</v>
          </cell>
        </row>
        <row r="82">
          <cell r="H82">
            <v>58338.91</v>
          </cell>
        </row>
        <row r="83">
          <cell r="E83" t="str">
            <v>Boni/tantiemes/commissions</v>
          </cell>
          <cell r="H83">
            <v>0</v>
          </cell>
        </row>
        <row r="84">
          <cell r="E84" t="str">
            <v>Other income</v>
          </cell>
          <cell r="H84">
            <v>0</v>
          </cell>
        </row>
        <row r="85">
          <cell r="H85">
            <v>0</v>
          </cell>
        </row>
        <row r="86">
          <cell r="E86" t="str">
            <v>Fixed salaries and social charges</v>
          </cell>
          <cell r="H86">
            <v>17379.260000000002</v>
          </cell>
        </row>
        <row r="87">
          <cell r="E87" t="str">
            <v>Other income</v>
          </cell>
          <cell r="H87">
            <v>-8722</v>
          </cell>
        </row>
        <row r="88">
          <cell r="H88">
            <v>8657.260000000002</v>
          </cell>
        </row>
        <row r="89">
          <cell r="E89" t="str">
            <v>Fixed salaries and social charges</v>
          </cell>
          <cell r="H89">
            <v>0</v>
          </cell>
        </row>
        <row r="90">
          <cell r="E90" t="str">
            <v>Other income</v>
          </cell>
          <cell r="H90">
            <v>0</v>
          </cell>
        </row>
        <row r="91">
          <cell r="H91">
            <v>0</v>
          </cell>
        </row>
        <row r="92">
          <cell r="E92" t="str">
            <v>Outside help and temps</v>
          </cell>
          <cell r="H92">
            <v>0</v>
          </cell>
        </row>
        <row r="93">
          <cell r="E93" t="str">
            <v>Other income</v>
          </cell>
          <cell r="H93">
            <v>0</v>
          </cell>
        </row>
        <row r="94">
          <cell r="H94">
            <v>0</v>
          </cell>
        </row>
        <row r="95">
          <cell r="E95" t="str">
            <v>Education, training, seminars</v>
          </cell>
          <cell r="H95">
            <v>0</v>
          </cell>
        </row>
        <row r="96">
          <cell r="E96" t="str">
            <v>Other income</v>
          </cell>
          <cell r="H96">
            <v>0</v>
          </cell>
        </row>
        <row r="97">
          <cell r="H97">
            <v>0</v>
          </cell>
        </row>
        <row r="98">
          <cell r="E98" t="str">
            <v>Recruiting and staff transfer</v>
          </cell>
          <cell r="H98">
            <v>0</v>
          </cell>
        </row>
        <row r="99">
          <cell r="E99" t="str">
            <v>Other income</v>
          </cell>
          <cell r="H99">
            <v>0</v>
          </cell>
        </row>
        <row r="100">
          <cell r="H100">
            <v>0</v>
          </cell>
        </row>
        <row r="101">
          <cell r="E101" t="str">
            <v>Fixed salaries and social charges</v>
          </cell>
          <cell r="H101">
            <v>0</v>
          </cell>
        </row>
        <row r="102">
          <cell r="E102" t="str">
            <v>Other income</v>
          </cell>
          <cell r="H102">
            <v>0</v>
          </cell>
        </row>
        <row r="103">
          <cell r="H103">
            <v>0</v>
          </cell>
        </row>
        <row r="104">
          <cell r="E104" t="str">
            <v>Occupancy</v>
          </cell>
          <cell r="H104">
            <v>8255.9600000000009</v>
          </cell>
        </row>
        <row r="105">
          <cell r="E105" t="str">
            <v>Other income</v>
          </cell>
          <cell r="H105">
            <v>0</v>
          </cell>
        </row>
        <row r="106">
          <cell r="H106">
            <v>8255.9600000000009</v>
          </cell>
        </row>
        <row r="107">
          <cell r="E107" t="str">
            <v>Communications</v>
          </cell>
          <cell r="H107">
            <v>0</v>
          </cell>
        </row>
        <row r="108">
          <cell r="E108" t="str">
            <v>Communications</v>
          </cell>
          <cell r="H108">
            <v>6123.74</v>
          </cell>
        </row>
        <row r="109">
          <cell r="E109" t="str">
            <v>Other income</v>
          </cell>
          <cell r="H109">
            <v>-525</v>
          </cell>
        </row>
        <row r="110">
          <cell r="H110">
            <v>5598.74</v>
          </cell>
        </row>
        <row r="111">
          <cell r="E111" t="str">
            <v>Computers, furniture and equipment</v>
          </cell>
          <cell r="H111">
            <v>1031.5999999999999</v>
          </cell>
        </row>
        <row r="112">
          <cell r="E112" t="str">
            <v>Other income</v>
          </cell>
          <cell r="H112">
            <v>0</v>
          </cell>
        </row>
        <row r="113">
          <cell r="H113">
            <v>1031.5999999999999</v>
          </cell>
        </row>
        <row r="114">
          <cell r="E114" t="str">
            <v>Consulting</v>
          </cell>
          <cell r="H114">
            <v>25604.83</v>
          </cell>
        </row>
        <row r="115">
          <cell r="E115" t="str">
            <v>Other income</v>
          </cell>
          <cell r="H115">
            <v>0</v>
          </cell>
        </row>
        <row r="116">
          <cell r="H116">
            <v>25604.83</v>
          </cell>
        </row>
        <row r="117">
          <cell r="E117" t="str">
            <v>External/contracted services</v>
          </cell>
          <cell r="H117">
            <v>14528.39</v>
          </cell>
        </row>
        <row r="118">
          <cell r="E118" t="str">
            <v>Other income</v>
          </cell>
          <cell r="H118">
            <v>0</v>
          </cell>
        </row>
        <row r="119">
          <cell r="H119">
            <v>14528.39</v>
          </cell>
        </row>
        <row r="120">
          <cell r="E120" t="str">
            <v>Marketing and advertising</v>
          </cell>
          <cell r="H120">
            <v>0</v>
          </cell>
        </row>
        <row r="121">
          <cell r="E121" t="str">
            <v>Other income</v>
          </cell>
          <cell r="H121">
            <v>0</v>
          </cell>
        </row>
        <row r="122">
          <cell r="H122">
            <v>0</v>
          </cell>
        </row>
        <row r="123">
          <cell r="E123" t="str">
            <v>Legal and claim settlement</v>
          </cell>
          <cell r="H123">
            <v>0</v>
          </cell>
        </row>
        <row r="124">
          <cell r="E124" t="str">
            <v>Other income</v>
          </cell>
          <cell r="H124">
            <v>0</v>
          </cell>
        </row>
        <row r="125">
          <cell r="H125">
            <v>0</v>
          </cell>
        </row>
        <row r="126">
          <cell r="E126" t="str">
            <v>Supplies, postage and shipping</v>
          </cell>
          <cell r="H126">
            <v>1579.1299999999999</v>
          </cell>
        </row>
        <row r="127">
          <cell r="E127" t="str">
            <v>Other income</v>
          </cell>
          <cell r="H127">
            <v>0</v>
          </cell>
        </row>
        <row r="128">
          <cell r="H128">
            <v>1579.1299999999999</v>
          </cell>
        </row>
        <row r="129">
          <cell r="E129" t="str">
            <v>Travel and entertainment</v>
          </cell>
          <cell r="H129">
            <v>4836.55</v>
          </cell>
        </row>
        <row r="130">
          <cell r="E130" t="str">
            <v>Other income</v>
          </cell>
          <cell r="H130">
            <v>-2072</v>
          </cell>
        </row>
        <row r="131">
          <cell r="H131">
            <v>2764.55</v>
          </cell>
        </row>
        <row r="132">
          <cell r="E132" t="str">
            <v>Board of directors` expense</v>
          </cell>
          <cell r="H132">
            <v>0</v>
          </cell>
        </row>
        <row r="133">
          <cell r="E133" t="str">
            <v>Other income</v>
          </cell>
          <cell r="H133">
            <v>0</v>
          </cell>
        </row>
        <row r="134">
          <cell r="H134">
            <v>0</v>
          </cell>
        </row>
        <row r="135">
          <cell r="E135" t="str">
            <v>Outside audit services</v>
          </cell>
          <cell r="H135">
            <v>0</v>
          </cell>
        </row>
        <row r="136">
          <cell r="E136" t="str">
            <v>Other income</v>
          </cell>
          <cell r="H136">
            <v>0</v>
          </cell>
        </row>
        <row r="137">
          <cell r="H137">
            <v>0</v>
          </cell>
        </row>
        <row r="138">
          <cell r="E138" t="str">
            <v>Insurance and corporate expense</v>
          </cell>
          <cell r="H138">
            <v>5808.13</v>
          </cell>
        </row>
        <row r="139">
          <cell r="E139" t="str">
            <v>Other income</v>
          </cell>
          <cell r="H139">
            <v>0</v>
          </cell>
        </row>
        <row r="140">
          <cell r="H140">
            <v>5808.13</v>
          </cell>
        </row>
        <row r="141">
          <cell r="E141" t="str">
            <v>Net income of other partners</v>
          </cell>
          <cell r="H141">
            <v>0</v>
          </cell>
        </row>
        <row r="142">
          <cell r="E142" t="str">
            <v>Taxes, licenses and fees</v>
          </cell>
          <cell r="H142">
            <v>0</v>
          </cell>
        </row>
        <row r="143">
          <cell r="E143" t="str">
            <v>Other income</v>
          </cell>
          <cell r="H143">
            <v>0</v>
          </cell>
        </row>
        <row r="144">
          <cell r="H144">
            <v>0</v>
          </cell>
        </row>
        <row r="145">
          <cell r="E145" t="str">
            <v>for asset management fees</v>
          </cell>
          <cell r="H145">
            <v>0</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GAAP Pru"/>
      <sheetName val="수익01"/>
      <sheetName val="기계"/>
      <sheetName val="anaysis_sheet"/>
      <sheetName val="9604월차"/>
      <sheetName val="재무가정"/>
      <sheetName val="운동장 (2)"/>
      <sheetName val="g. Rent Roll"/>
      <sheetName val="인원계획-미화"/>
      <sheetName val="BMC009"/>
      <sheetName val="BB Format (2)"/>
      <sheetName val="98지급계획"/>
      <sheetName val="1 Cash Flow Analysis"/>
      <sheetName val="조건"/>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노무비"/>
      <sheetName val="Forum DB"/>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0001"/>
      <sheetName val="Summary"/>
      <sheetName val="Sheet1"/>
      <sheetName val="Tenants"/>
      <sheetName val="L_back"/>
      <sheetName val="PGI"/>
      <sheetName val="Assumption"/>
      <sheetName val="Operation"/>
      <sheetName val="Analysis"/>
      <sheetName val="Expenses"/>
      <sheetName val="Sensetivity"/>
      <sheetName val="Chart2"/>
      <sheetName val="재무가정"/>
      <sheetName val="세금과공과"/>
      <sheetName val="RE9604"/>
      <sheetName val="노무비"/>
      <sheetName val="운동장 (2)"/>
      <sheetName val="anaysis_sheet"/>
      <sheetName val="TASSEI"/>
      <sheetName val="GAAP Pru"/>
      <sheetName val="BMC009"/>
      <sheetName val="PUC명"/>
      <sheetName val="Assumptions"/>
      <sheetName val="98지급계획"/>
      <sheetName val="대우건설 CF"/>
      <sheetName val="Cover"/>
      <sheetName val="5층 건축물대장 등기 예정"/>
      <sheetName val="층별면적표-060411-5층 통합"/>
      <sheetName val="서피070607"/>
      <sheetName val="공정"/>
      <sheetName val="17.채용자명단"/>
      <sheetName val="현금"/>
      <sheetName val="comparables"/>
      <sheetName val="Deduction"/>
      <sheetName val="other"/>
      <sheetName val="conclusion"/>
      <sheetName val="결정단가"/>
      <sheetName val="손익"/>
      <sheetName val="현금흐름"/>
      <sheetName val="수입"/>
      <sheetName val="@RISK Correlations"/>
      <sheetName val="지급보증금74"/>
      <sheetName val="CHECK LIST"/>
      <sheetName val="Run_rate"/>
      <sheetName val="Initial Input Variable"/>
      <sheetName val="손익요약(미사용)"/>
      <sheetName val="GAAP_Pru"/>
      <sheetName val="운동장_(2)"/>
      <sheetName val="CHECK_LIST"/>
      <sheetName val="대우건설_CF"/>
      <sheetName val="17_채용자명단"/>
      <sheetName val="표지"/>
      <sheetName val="@RISK_Correlations"/>
      <sheetName val="2001년12월"/>
      <sheetName val="기계"/>
      <sheetName val="BB Format (2)"/>
      <sheetName val="유기공정"/>
      <sheetName val="총무팀"/>
      <sheetName val="마포-임현"/>
      <sheetName val="2004CJ"/>
      <sheetName val="Land-GALP"/>
      <sheetName val="차액보증"/>
      <sheetName val="PL97F"/>
      <sheetName val="4-Loan Pay'l"/>
    </sheetNames>
    <sheetDataSet>
      <sheetData sheetId="0"/>
      <sheetData sheetId="1"/>
      <sheetData sheetId="2"/>
      <sheetData sheetId="3"/>
      <sheetData sheetId="4" refreshError="1">
        <row r="59">
          <cell r="C59">
            <v>3.3058000000000001</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anaysis_sheet"/>
      <sheetName val="Tenants"/>
      <sheetName val="RE9604"/>
      <sheetName val="Initial Input Variable"/>
    </sheetNames>
    <sheetDataSet>
      <sheetData sheetId="0"/>
      <sheetData sheetId="1"/>
      <sheetData sheetId="2"/>
      <sheetData sheetId="3"/>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Tenants"/>
      <sheetName val="인원계획-미화"/>
      <sheetName val="노무비"/>
      <sheetName val="Hansol 1031"/>
      <sheetName val="PUC명"/>
      <sheetName val="anaysis_sheet"/>
      <sheetName val="남양시작동자105노65기1.3화1.2"/>
      <sheetName val="@RISK Correlations"/>
      <sheetName val="Sheet1"/>
      <sheetName val="Cost Allocation"/>
      <sheetName val="재고AR"/>
      <sheetName val="Assumption"/>
      <sheetName val="Area"/>
      <sheetName val="RE9604"/>
      <sheetName val="CHECK LIST"/>
      <sheetName val="Engine"/>
      <sheetName val="GAAP Pru"/>
      <sheetName val="재무가정"/>
      <sheetName val="Notes_(old)"/>
      <sheetName val="Rent_Roll"/>
      <sheetName val="Calculation_(2)"/>
      <sheetName val="Tenancy_(2)"/>
      <sheetName val="Notes_(old)1"/>
      <sheetName val="Rent_Roll1"/>
      <sheetName val="Calculation_(2)1"/>
      <sheetName val="Tenancy_(2)1"/>
      <sheetName val="범어"/>
      <sheetName val="98지급계획"/>
      <sheetName val="직원자료입력"/>
      <sheetName val="건물대사"/>
      <sheetName val="KEIF Projection"/>
      <sheetName val="Macro(차단기)"/>
      <sheetName val="CBD"/>
      <sheetName val="정부노임단가"/>
      <sheetName val="DRE"/>
      <sheetName val="도급자재"/>
      <sheetName val="충주"/>
      <sheetName val="TASSEI"/>
      <sheetName val="Current"/>
      <sheetName val="운동장 (2)"/>
      <sheetName val="38月別取引先別"/>
      <sheetName val="Template"/>
    </sheetNames>
    <sheetDataSet>
      <sheetData sheetId="0"/>
      <sheetData sheetId="1"/>
      <sheetData sheetId="2"/>
      <sheetData sheetId="3">
        <row r="20">
          <cell r="P20">
            <v>1</v>
          </cell>
        </row>
      </sheetData>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refreshError="1"/>
      <sheetData sheetId="42" refreshError="1"/>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Assumptions"/>
      <sheetName val="Samsung Heavy Industry Bldg"/>
      <sheetName val="Tenants"/>
      <sheetName val="Summar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etup"/>
      <sheetName val="AssumptionSummary"/>
      <sheetName val="Sensitivity Analysis"/>
      <sheetName val="Rent Roll"/>
      <sheetName val="Comps"/>
      <sheetName val="Argus Import"/>
      <sheetName val="1 Cash Flow Analysis"/>
      <sheetName val="3 Leveraged Report"/>
      <sheetName val="2 Unleveraged Report"/>
      <sheetName val="1 Cash Flow Analysis (external)"/>
      <sheetName val="SumForGraph"/>
      <sheetName val="Reversion Calcs"/>
      <sheetName val="J1 Cash Flow Analysis"/>
      <sheetName val="J2 Unleveraged Report"/>
      <sheetName val="J3 Leveraged Report"/>
      <sheetName val="Ratio Analysis"/>
      <sheetName val="CF Input Hints"/>
      <sheetName val="Initial Input Variable"/>
      <sheetName val="Assumptions"/>
      <sheetName val="RE9604"/>
      <sheetName val="인원계획-미화"/>
      <sheetName val="Tenants"/>
      <sheetName val="노무비"/>
    </sheetNames>
    <sheetDataSet>
      <sheetData sheetId="0"/>
      <sheetData sheetId="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Initial Input Variable"/>
      <sheetName val="Summary"/>
      <sheetName val="Template"/>
      <sheetName val="일위대가"/>
      <sheetName val="day"/>
      <sheetName val="PL"/>
      <sheetName val="Assumptions"/>
      <sheetName val="급여대장(관리)"/>
      <sheetName val="인원계획-미화"/>
      <sheetName val="2.대외공문"/>
      <sheetName val="표지"/>
      <sheetName val="한국중공업보안"/>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Summary"/>
      <sheetName val="Initial Input Variable"/>
      <sheetName val="노무비"/>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RE9604"/>
    </sheet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인원계획-미화"/>
      <sheetName val="Initial Input Variable"/>
      <sheetName val="재무가정"/>
      <sheetName val="Assumptions"/>
      <sheetName val="Initial_Input_Variable"/>
      <sheetName val="Building 1"/>
      <sheetName val="한국중공업시설"/>
      <sheetName val="Acquisition Costs- Base Case"/>
      <sheetName val="CASHFLOW"/>
      <sheetName val="Tenants"/>
      <sheetName val="예산(한화)"/>
      <sheetName val="g. Rent Roll"/>
      <sheetName val="Initial_Input_Variable1"/>
      <sheetName val="Building_1"/>
      <sheetName val="Acquisition_Costs-_Base_Case"/>
      <sheetName val="2. Summary-cash"/>
      <sheetName val="day"/>
      <sheetName val="COVERSHEET"/>
      <sheetName val="MGT OFFICE"/>
      <sheetName val="anaysis_sheet"/>
      <sheetName val="급여대장(관리)"/>
      <sheetName val="GAAP Pru"/>
      <sheetName val="98지급계획"/>
      <sheetName val="내역"/>
      <sheetName val="위치조서"/>
      <sheetName val="2000전체분"/>
      <sheetName val="2000년1차"/>
      <sheetName val="2016년07월"/>
      <sheetName val="g__Rent_Roll"/>
      <sheetName val="2__Summary-cash"/>
      <sheetName val="BV BalSht"/>
      <sheetName val="BV CashFlow"/>
      <sheetName val="BV P&amp;L"/>
      <sheetName val="GenLedger BalSht"/>
      <sheetName val="GenLedger P&amp;L"/>
      <sheetName val="App7.0"/>
      <sheetName val="5-6.전기(회입분)"/>
      <sheetName val="Setup"/>
      <sheetName val="Mapping"/>
      <sheetName val="F"/>
      <sheetName val="Table"/>
      <sheetName val="DATA"/>
      <sheetName val="빌딩 안내"/>
      <sheetName val="YTD"/>
      <sheetName val="FX"/>
      <sheetName val="Import_FX"/>
      <sheetName val="Sheet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운동장 (2)"/>
      <sheetName val="인원계획-미화"/>
      <sheetName val="빌딩 안내"/>
      <sheetName val="Assumptions"/>
      <sheetName val="재무가정"/>
      <sheetName val="anaysis_sheet"/>
      <sheetName val="2.대외공문"/>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CHECK LIST"/>
      <sheetName val="conclusion"/>
      <sheetName val="결정단가"/>
      <sheetName val="comparables"/>
      <sheetName val="Deduction"/>
      <sheetName val="other"/>
      <sheetName val="노무비"/>
      <sheetName val="Samsung Heavy Industry Bldg"/>
      <sheetName val="TaxCalc"/>
      <sheetName val="손익"/>
      <sheetName val="Operational Activities"/>
      <sheetName val="1998 P &amp; L"/>
      <sheetName val="Template"/>
      <sheetName val="ベース"/>
      <sheetName val="1차 내역서"/>
      <sheetName val="E100"/>
      <sheetName val="Acquisition Costs- Base Case"/>
      <sheetName val="Ⅳ.1.KEY수입"/>
      <sheetName val="Ⅳ-4.수익총괄"/>
      <sheetName val="24.보증금(전신전화가입권)"/>
      <sheetName val="Cashflow"/>
      <sheetName val="マスタ"/>
      <sheetName val="인원계획-미화"/>
      <sheetName val="Tenants"/>
      <sheetName val="설계명세서"/>
      <sheetName val="Assumptions"/>
      <sheetName val="issued"/>
      <sheetName val="99판매상세"/>
      <sheetName val="2.대외공문"/>
      <sheetName val="Setup"/>
      <sheetName val="Expense Schedule (4)"/>
      <sheetName val="목록"/>
      <sheetName val="중기"/>
      <sheetName val="Finance Inputs"/>
      <sheetName val="Funding"/>
      <sheetName val="경산"/>
      <sheetName val="도급자재"/>
      <sheetName val="건축개요"/>
      <sheetName val="이름표"/>
      <sheetName val="재무가정"/>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지급어음(일별)"/>
      <sheetName val="g. Rent Roll"/>
      <sheetName val="II. Assumptions"/>
      <sheetName val="수광비분석(3개년)"/>
      <sheetName val="경비"/>
      <sheetName val="일반"/>
      <sheetName val="Sheet1"/>
      <sheetName val="프랜트면허"/>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TB"/>
      <sheetName val="Rent R."/>
      <sheetName val="DD 008 - Annexure"/>
      <sheetName val="DCF"/>
      <sheetName val="10.익월 업무 계획-전기,방재"/>
      <sheetName val="RE9604"/>
      <sheetName val="Æo°¡±aAØ"/>
      <sheetName val="Details"/>
      <sheetName val="관계회사거래내역및 채권채무잔액 99"/>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BAN9905"/>
      <sheetName val="ITEMLIST9911"/>
      <sheetName val="XXXXXXXX"/>
      <sheetName val="지장물"/>
      <sheetName val="표준지등"/>
      <sheetName val="기타요인"/>
      <sheetName val="TLCF"/>
      <sheetName val="지수산출"/>
      <sheetName val="2 Harajuku Jimusho"/>
      <sheetName val="전기일위대가"/>
      <sheetName val="경율산정.XLS"/>
      <sheetName val="감가상각"/>
      <sheetName val="데이타"/>
      <sheetName val="경율산정_XLS"/>
      <sheetName val="내역서"/>
      <sheetName val="식재인부"/>
      <sheetName val="GAAP Pru"/>
      <sheetName val="表紙"/>
      <sheetName val="전체손익"/>
      <sheetName val="D1300 자삽"/>
      <sheetName val="Area"/>
      <sheetName val="Assumptions &amp; Workings"/>
      <sheetName val="Gen"/>
      <sheetName val="영업.일1"/>
      <sheetName val="#REF"/>
      <sheetName val="Comm Comparison"/>
      <sheetName val="Comm Rpt Income"/>
      <sheetName val="Comm Rpt Recoveries"/>
      <sheetName val="Comm Rpt Tenant Cap Ex"/>
      <sheetName val="Prepaid Exp (NA)"/>
      <sheetName val="예적금"/>
      <sheetName val="guard(mac)"/>
      <sheetName val="96.12"/>
      <sheetName val="1_當期시산표"/>
      <sheetName val="ｸﾚｰﾑﾘｽﾄ"/>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 Code"/>
      <sheetName val="COVER  "/>
      <sheetName val="CONTENTS"/>
      <sheetName val="FS-BS"/>
      <sheetName val="FS-IS "/>
      <sheetName val="SCF"/>
      <sheetName val="A-OVERVIEW"/>
      <sheetName val="B"/>
      <sheetName val="B LA NY"/>
      <sheetName val="B-LIST"/>
      <sheetName val="C - Summ Detail"/>
      <sheetName val="NY Sum"/>
      <sheetName val="NY Det"/>
      <sheetName val="LA Sum"/>
      <sheetName val="LA Det"/>
      <sheetName val="SUPPORT SCHEDULE===&gt;"/>
      <sheetName val="Instructions"/>
      <sheetName val="Data Link (BS)"/>
      <sheetName val="Data Link"/>
      <sheetName val="TB"/>
      <sheetName val="表紙"/>
      <sheetName val="目次"/>
      <sheetName val="RENT ROLL"/>
      <sheetName val="STACKING PLAN"/>
      <sheetName val="MONTHLY ACTIVITY"/>
      <sheetName val="営業活動"/>
      <sheetName val="PROFIT &amp; LOSS"/>
      <sheetName val="ROLLING BUDGET"/>
      <sheetName val="VARIANCE"/>
      <sheetName val="AGED DELINQUENCY"/>
      <sheetName val="Cash Report"/>
      <sheetName val="MGT FEE SUMMARY12月"/>
      <sheetName val="BM Report"/>
      <sheetName val="CAPITAL EXPENDITURE"/>
      <sheetName val="LEASING COMMISSION"/>
      <sheetName val="SECURITY DEPOSIT"/>
      <sheetName val="EXPENSE SCHEDULE"/>
      <sheetName val="MGT FEE SUMMARY11月"/>
      <sheetName val="Initial Input Variable"/>
      <sheetName val="노무비"/>
      <sheetName val="Template"/>
      <sheetName val="Assumptions"/>
      <sheetName val="Ⅳ.1.KEY수입"/>
      <sheetName val="Ⅳ-4.수익총괄"/>
      <sheetName val="Source"/>
      <sheetName val="TPI J_E"/>
      <sheetName val="내역1"/>
      <sheetName val="Summary"/>
      <sheetName val="ASSU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row r="1">
          <cell r="A1" t="str">
            <v>Account</v>
          </cell>
          <cell r="B1" t="str">
            <v>Description</v>
          </cell>
          <cell r="E1" t="str">
            <v>Balance</v>
          </cell>
        </row>
        <row r="2">
          <cell r="A2" t="str">
            <v>1000-00000</v>
          </cell>
          <cell r="B2" t="str">
            <v xml:space="preserve">CASH - CHECKING               </v>
          </cell>
          <cell r="C2">
            <v>0</v>
          </cell>
          <cell r="D2">
            <v>75928.73</v>
          </cell>
          <cell r="E2">
            <v>-75928.73</v>
          </cell>
        </row>
        <row r="3">
          <cell r="A3" t="str">
            <v>1010-00000</v>
          </cell>
          <cell r="B3" t="str">
            <v xml:space="preserve">CASH - PAYROLL                </v>
          </cell>
          <cell r="C3">
            <v>36439.519999999997</v>
          </cell>
          <cell r="D3">
            <v>0</v>
          </cell>
          <cell r="E3">
            <v>36439.519999999997</v>
          </cell>
        </row>
        <row r="4">
          <cell r="A4" t="str">
            <v>1020-00000</v>
          </cell>
          <cell r="B4" t="str">
            <v xml:space="preserve">CASH - NATIONS FUND MM        </v>
          </cell>
          <cell r="C4">
            <v>1494661.92</v>
          </cell>
          <cell r="D4">
            <v>0</v>
          </cell>
          <cell r="E4">
            <v>1494661.92</v>
          </cell>
        </row>
        <row r="5">
          <cell r="A5" t="str">
            <v>1050-00000</v>
          </cell>
          <cell r="B5" t="str">
            <v xml:space="preserve">PETTY CASH                    </v>
          </cell>
          <cell r="C5">
            <v>1000</v>
          </cell>
          <cell r="D5">
            <v>0</v>
          </cell>
          <cell r="E5">
            <v>1000</v>
          </cell>
        </row>
        <row r="6">
          <cell r="A6" t="str">
            <v>1050-CRS97</v>
          </cell>
          <cell r="B6" t="str">
            <v xml:space="preserve">PETTY CASH                    </v>
          </cell>
          <cell r="C6">
            <v>462.93</v>
          </cell>
          <cell r="D6">
            <v>0</v>
          </cell>
          <cell r="E6">
            <v>462.93</v>
          </cell>
        </row>
        <row r="7">
          <cell r="A7" t="str">
            <v>1050-JPN97</v>
          </cell>
          <cell r="B7" t="str">
            <v xml:space="preserve">PETTY CASH                    </v>
          </cell>
          <cell r="C7">
            <v>500</v>
          </cell>
          <cell r="D7">
            <v>0</v>
          </cell>
          <cell r="E7">
            <v>500</v>
          </cell>
        </row>
        <row r="8">
          <cell r="A8" t="str">
            <v>1070-00000</v>
          </cell>
          <cell r="B8" t="str">
            <v xml:space="preserve">CASH - SCC-SERFIN CLEARING MM </v>
          </cell>
          <cell r="C8">
            <v>198.64</v>
          </cell>
          <cell r="D8">
            <v>0</v>
          </cell>
          <cell r="E8">
            <v>198.64</v>
          </cell>
        </row>
        <row r="9">
          <cell r="A9" t="str">
            <v>1110-00000</v>
          </cell>
          <cell r="B9" t="str">
            <v xml:space="preserve">CASH - CHECKING II            </v>
          </cell>
          <cell r="C9">
            <v>1660.44</v>
          </cell>
          <cell r="D9">
            <v>0</v>
          </cell>
          <cell r="E9">
            <v>1660.44</v>
          </cell>
        </row>
        <row r="10">
          <cell r="A10" t="str">
            <v>1115-00000</v>
          </cell>
          <cell r="B10" t="str">
            <v xml:space="preserve">CASH - MONEY MARKET II        </v>
          </cell>
          <cell r="C10">
            <v>712094.68</v>
          </cell>
          <cell r="D10">
            <v>0</v>
          </cell>
          <cell r="E10">
            <v>712094.68</v>
          </cell>
        </row>
        <row r="11">
          <cell r="A11" t="str">
            <v>1120-00000</v>
          </cell>
          <cell r="B11" t="str">
            <v xml:space="preserve">CASH - SLE JOINT MM           </v>
          </cell>
          <cell r="C11">
            <v>3271.58</v>
          </cell>
          <cell r="D11">
            <v>0</v>
          </cell>
          <cell r="E11">
            <v>3271.58</v>
          </cell>
        </row>
        <row r="12">
          <cell r="A12" t="str">
            <v>1125-00000</v>
          </cell>
          <cell r="B12" t="str">
            <v xml:space="preserve">CASH - HOLDING MM             </v>
          </cell>
          <cell r="C12">
            <v>3075.02</v>
          </cell>
          <cell r="D12">
            <v>0</v>
          </cell>
          <cell r="E12">
            <v>3075.02</v>
          </cell>
        </row>
        <row r="13">
          <cell r="A13" t="str">
            <v>1200-00000</v>
          </cell>
          <cell r="B13" t="str">
            <v xml:space="preserve">ACCOUNTS RECEIVABLE           </v>
          </cell>
          <cell r="C13">
            <v>0.4</v>
          </cell>
          <cell r="D13">
            <v>0</v>
          </cell>
          <cell r="E13">
            <v>0.4</v>
          </cell>
        </row>
        <row r="14">
          <cell r="A14" t="str">
            <v>1200-ZZZZZ</v>
          </cell>
          <cell r="B14" t="str">
            <v xml:space="preserve">ACCOUNTS RECEIVABLE           </v>
          </cell>
          <cell r="C14">
            <v>21027</v>
          </cell>
          <cell r="D14">
            <v>0</v>
          </cell>
          <cell r="E14">
            <v>21027</v>
          </cell>
        </row>
        <row r="15">
          <cell r="A15" t="str">
            <v>1256-00000</v>
          </cell>
          <cell r="B15" t="str">
            <v xml:space="preserve">EMPLOYEE RECEIVEABLE          </v>
          </cell>
          <cell r="C15">
            <v>27662.93</v>
          </cell>
          <cell r="D15">
            <v>0</v>
          </cell>
          <cell r="E15">
            <v>27662.93</v>
          </cell>
        </row>
        <row r="16">
          <cell r="A16" t="str">
            <v>1256-NYO97</v>
          </cell>
          <cell r="B16" t="str">
            <v xml:space="preserve">EMPLOYEE RECEIVABLES - NY     </v>
          </cell>
          <cell r="C16">
            <v>0</v>
          </cell>
          <cell r="D16">
            <v>25.1</v>
          </cell>
          <cell r="E16">
            <v>-25.1</v>
          </cell>
        </row>
        <row r="17">
          <cell r="A17" t="str">
            <v>1281-00000</v>
          </cell>
          <cell r="B17" t="str">
            <v xml:space="preserve">DUE TO/FROM WKT PARTNERS      </v>
          </cell>
          <cell r="C17">
            <v>2146.5500000000002</v>
          </cell>
          <cell r="D17">
            <v>0</v>
          </cell>
          <cell r="E17">
            <v>2146.5500000000002</v>
          </cell>
        </row>
        <row r="18">
          <cell r="A18" t="str">
            <v>1286-00000</v>
          </cell>
          <cell r="B18" t="str">
            <v xml:space="preserve">DUE FROM SCC N2-CORP          </v>
          </cell>
          <cell r="C18">
            <v>476.26</v>
          </cell>
          <cell r="D18">
            <v>0</v>
          </cell>
          <cell r="E18">
            <v>476.26</v>
          </cell>
        </row>
        <row r="19">
          <cell r="A19" t="str">
            <v>1287-00000</v>
          </cell>
          <cell r="B19" t="str">
            <v xml:space="preserve">DUE FROM SCC N2-LP            </v>
          </cell>
          <cell r="C19">
            <v>0</v>
          </cell>
          <cell r="D19">
            <v>7223.77</v>
          </cell>
          <cell r="E19">
            <v>-7223.77</v>
          </cell>
        </row>
        <row r="20">
          <cell r="A20" t="str">
            <v>1288-00000</v>
          </cell>
          <cell r="B20" t="str">
            <v xml:space="preserve">DUE FROM SIMI                 </v>
          </cell>
          <cell r="C20">
            <v>1358.7</v>
          </cell>
          <cell r="D20">
            <v>0</v>
          </cell>
          <cell r="E20">
            <v>1358.7</v>
          </cell>
        </row>
        <row r="21">
          <cell r="A21" t="str">
            <v>1290-00000</v>
          </cell>
          <cell r="B21" t="str">
            <v xml:space="preserve">DUE TO/FROM SECURED CRC CORP  </v>
          </cell>
          <cell r="C21">
            <v>15892.39</v>
          </cell>
          <cell r="D21">
            <v>0</v>
          </cell>
          <cell r="E21">
            <v>15892.39</v>
          </cell>
        </row>
        <row r="22">
          <cell r="A22" t="str">
            <v>1293-00000</v>
          </cell>
          <cell r="B22" t="str">
            <v xml:space="preserve">DUE TO/FROM WWGP II, L.P.     </v>
          </cell>
          <cell r="C22">
            <v>13616.17</v>
          </cell>
          <cell r="D22">
            <v>0</v>
          </cell>
          <cell r="E22">
            <v>13616.17</v>
          </cell>
        </row>
        <row r="23">
          <cell r="A23" t="str">
            <v>1296-00000</v>
          </cell>
          <cell r="B23" t="str">
            <v xml:space="preserve">DUE TO/FROM SCJ MGMNT., INC.  </v>
          </cell>
          <cell r="C23">
            <v>75561</v>
          </cell>
          <cell r="D23">
            <v>0</v>
          </cell>
          <cell r="E23">
            <v>75561</v>
          </cell>
        </row>
        <row r="24">
          <cell r="A24" t="str">
            <v>1297-00000</v>
          </cell>
          <cell r="B24" t="str">
            <v xml:space="preserve">DUE TO/FROM SC JAPAN K.K.     </v>
          </cell>
          <cell r="C24">
            <v>84000</v>
          </cell>
          <cell r="D24">
            <v>0</v>
          </cell>
          <cell r="E24">
            <v>84000</v>
          </cell>
        </row>
        <row r="25">
          <cell r="A25" t="str">
            <v>1298-00000</v>
          </cell>
          <cell r="B25" t="str">
            <v xml:space="preserve">DUE TO/FROM SCC-TRANSINVEST   </v>
          </cell>
          <cell r="C25">
            <v>151083.87</v>
          </cell>
          <cell r="D25">
            <v>0</v>
          </cell>
          <cell r="E25">
            <v>151083.87</v>
          </cell>
        </row>
        <row r="26">
          <cell r="A26" t="str">
            <v>1402-00000</v>
          </cell>
          <cell r="B26" t="str">
            <v xml:space="preserve">DUE TO/FROM C&amp;S PS LP         </v>
          </cell>
          <cell r="C26">
            <v>0</v>
          </cell>
          <cell r="D26">
            <v>722.9</v>
          </cell>
          <cell r="E26">
            <v>-722.9</v>
          </cell>
        </row>
        <row r="27">
          <cell r="A27" t="str">
            <v>1403-00000</v>
          </cell>
          <cell r="B27" t="str">
            <v xml:space="preserve">DUE TO/FROM SEC ADVISORS LLC  </v>
          </cell>
          <cell r="C27">
            <v>181001.4</v>
          </cell>
          <cell r="D27">
            <v>0</v>
          </cell>
          <cell r="E27">
            <v>181001.4</v>
          </cell>
        </row>
        <row r="28">
          <cell r="A28" t="str">
            <v>1404-00000</v>
          </cell>
          <cell r="B28" t="str">
            <v xml:space="preserve">DUE TO/FROM RIVOLI LLC        </v>
          </cell>
          <cell r="C28">
            <v>6716.5</v>
          </cell>
          <cell r="D28">
            <v>0</v>
          </cell>
          <cell r="E28">
            <v>6716.5</v>
          </cell>
        </row>
        <row r="29">
          <cell r="A29" t="str">
            <v>1405-00000</v>
          </cell>
          <cell r="B29" t="str">
            <v xml:space="preserve">DUE TO/FROM JAGUAR PTNRS, LLC </v>
          </cell>
          <cell r="C29">
            <v>32.950000000000003</v>
          </cell>
          <cell r="D29">
            <v>0</v>
          </cell>
          <cell r="E29">
            <v>32.950000000000003</v>
          </cell>
        </row>
        <row r="30">
          <cell r="A30" t="str">
            <v>1406-00000</v>
          </cell>
          <cell r="B30" t="str">
            <v>DUE TO/FROM SCJ ASSET MGMT LLC</v>
          </cell>
          <cell r="C30">
            <v>1295.05</v>
          </cell>
          <cell r="D30">
            <v>0</v>
          </cell>
          <cell r="E30">
            <v>1295.05</v>
          </cell>
        </row>
        <row r="31">
          <cell r="A31" t="str">
            <v>1408-00000</v>
          </cell>
          <cell r="B31" t="str">
            <v>DUE TO/FROM PA INVESTMENTS CO.</v>
          </cell>
          <cell r="C31">
            <v>24777.29</v>
          </cell>
          <cell r="D31">
            <v>0</v>
          </cell>
          <cell r="E31">
            <v>24777.29</v>
          </cell>
        </row>
        <row r="32">
          <cell r="A32" t="str">
            <v>1410-00000</v>
          </cell>
          <cell r="B32" t="str">
            <v xml:space="preserve">DUE TO/FROM SECURED JAPAN LLC </v>
          </cell>
          <cell r="C32">
            <v>6875</v>
          </cell>
          <cell r="D32">
            <v>0</v>
          </cell>
          <cell r="E32">
            <v>6875</v>
          </cell>
        </row>
        <row r="33">
          <cell r="A33" t="str">
            <v>1411-00000</v>
          </cell>
          <cell r="B33" t="str">
            <v xml:space="preserve">DUE TO/FROM SECURED JRI LLC   </v>
          </cell>
          <cell r="C33">
            <v>2428</v>
          </cell>
          <cell r="D33">
            <v>0</v>
          </cell>
          <cell r="E33">
            <v>2428</v>
          </cell>
        </row>
        <row r="34">
          <cell r="A34" t="str">
            <v>1413-00000</v>
          </cell>
          <cell r="B34" t="str">
            <v>DUE TO/FROM SCC FRANCE 1998 LL</v>
          </cell>
          <cell r="C34">
            <v>497036.41</v>
          </cell>
          <cell r="D34">
            <v>0</v>
          </cell>
          <cell r="E34">
            <v>497036.41</v>
          </cell>
        </row>
        <row r="35">
          <cell r="A35" t="str">
            <v>1415-00000</v>
          </cell>
          <cell r="B35" t="str">
            <v xml:space="preserve">DUE TO/FROM SECURED JRI CORP  </v>
          </cell>
          <cell r="C35">
            <v>3971</v>
          </cell>
          <cell r="D35">
            <v>0</v>
          </cell>
          <cell r="E35">
            <v>3971</v>
          </cell>
        </row>
        <row r="36">
          <cell r="A36" t="str">
            <v>1416-00000</v>
          </cell>
          <cell r="B36" t="str">
            <v xml:space="preserve">DUE TO/FROM SANWA II CORP     </v>
          </cell>
          <cell r="C36">
            <v>930</v>
          </cell>
          <cell r="D36">
            <v>0</v>
          </cell>
          <cell r="E36">
            <v>930</v>
          </cell>
        </row>
        <row r="37">
          <cell r="A37" t="str">
            <v>1418-00000</v>
          </cell>
          <cell r="B37" t="str">
            <v xml:space="preserve">DUE TO/FROM VINEUSE LLC       </v>
          </cell>
          <cell r="C37">
            <v>4146.79</v>
          </cell>
          <cell r="D37">
            <v>0</v>
          </cell>
          <cell r="E37">
            <v>4146.79</v>
          </cell>
        </row>
        <row r="38">
          <cell r="A38" t="str">
            <v>1420-00000</v>
          </cell>
          <cell r="B38" t="str">
            <v xml:space="preserve">DUE TO/FROM COLOMBES LLC      </v>
          </cell>
          <cell r="C38">
            <v>35053.129999999997</v>
          </cell>
          <cell r="D38">
            <v>0</v>
          </cell>
          <cell r="E38">
            <v>35053.129999999997</v>
          </cell>
        </row>
        <row r="39">
          <cell r="A39" t="str">
            <v>1422-00000</v>
          </cell>
          <cell r="B39" t="str">
            <v xml:space="preserve">DUE TO/FROM SC JAPAN LLC 1    </v>
          </cell>
          <cell r="C39">
            <v>82.5</v>
          </cell>
          <cell r="D39">
            <v>0</v>
          </cell>
          <cell r="E39">
            <v>82.5</v>
          </cell>
        </row>
        <row r="40">
          <cell r="A40" t="str">
            <v>1424-00000</v>
          </cell>
          <cell r="B40" t="str">
            <v xml:space="preserve">DUE TO/FROM SCC EURO MGMT INC </v>
          </cell>
          <cell r="C40">
            <v>3472.72</v>
          </cell>
          <cell r="D40">
            <v>0</v>
          </cell>
          <cell r="E40">
            <v>3472.72</v>
          </cell>
        </row>
        <row r="41">
          <cell r="A41" t="str">
            <v>1425-00000</v>
          </cell>
          <cell r="B41" t="str">
            <v xml:space="preserve">DUE TO/FROM SC de MEXICO, S.  </v>
          </cell>
          <cell r="C41">
            <v>2605.4899999999998</v>
          </cell>
          <cell r="D41">
            <v>0</v>
          </cell>
          <cell r="E41">
            <v>2605.4899999999998</v>
          </cell>
        </row>
        <row r="42">
          <cell r="A42" t="str">
            <v>1426-00000</v>
          </cell>
          <cell r="B42" t="str">
            <v xml:space="preserve">DUE TO/FROM SC MEXICO MGMT.   </v>
          </cell>
          <cell r="C42">
            <v>5000</v>
          </cell>
          <cell r="D42">
            <v>0</v>
          </cell>
          <cell r="E42">
            <v>5000</v>
          </cell>
        </row>
        <row r="43">
          <cell r="A43" t="str">
            <v>1427-00000</v>
          </cell>
          <cell r="B43" t="str">
            <v xml:space="preserve">DUE TO/FROM SJ SERVICING      </v>
          </cell>
          <cell r="C43">
            <v>138546.35</v>
          </cell>
          <cell r="D43">
            <v>0</v>
          </cell>
          <cell r="E43">
            <v>138546.35</v>
          </cell>
        </row>
        <row r="44">
          <cell r="A44" t="str">
            <v>1428-00000</v>
          </cell>
          <cell r="B44" t="str">
            <v>DUE TO/FROM B.W. III INVESTORS</v>
          </cell>
          <cell r="C44">
            <v>8438.4699999999993</v>
          </cell>
          <cell r="D44">
            <v>0</v>
          </cell>
          <cell r="E44">
            <v>8438.4699999999993</v>
          </cell>
        </row>
        <row r="45">
          <cell r="A45" t="str">
            <v>1429-00000</v>
          </cell>
          <cell r="B45" t="str">
            <v>DUE TO/FROM SCC INTERNET TRDNG</v>
          </cell>
          <cell r="C45">
            <v>12935.92</v>
          </cell>
          <cell r="D45">
            <v>0</v>
          </cell>
          <cell r="E45">
            <v>12935.92</v>
          </cell>
        </row>
        <row r="46">
          <cell r="A46" t="str">
            <v>1430-00000</v>
          </cell>
          <cell r="B46" t="str">
            <v xml:space="preserve">DUE TO/FROM SCJ 1998 HOLDINGS </v>
          </cell>
          <cell r="C46">
            <v>48.04</v>
          </cell>
          <cell r="D46">
            <v>0</v>
          </cell>
          <cell r="E46">
            <v>48.04</v>
          </cell>
        </row>
        <row r="47">
          <cell r="A47" t="str">
            <v>1500-00000</v>
          </cell>
          <cell r="B47" t="str">
            <v xml:space="preserve">OFFICE EQUIPMENT              </v>
          </cell>
          <cell r="C47">
            <v>224878.25</v>
          </cell>
          <cell r="D47">
            <v>0</v>
          </cell>
          <cell r="E47">
            <v>224878.25</v>
          </cell>
        </row>
        <row r="48">
          <cell r="A48" t="str">
            <v>1500-DNV99</v>
          </cell>
          <cell r="B48" t="str">
            <v xml:space="preserve">OFFICE EQUIPMENT              </v>
          </cell>
          <cell r="C48">
            <v>2451.79</v>
          </cell>
          <cell r="D48">
            <v>0</v>
          </cell>
          <cell r="E48">
            <v>2451.79</v>
          </cell>
        </row>
        <row r="49">
          <cell r="A49" t="str">
            <v>1500-FRN97</v>
          </cell>
          <cell r="B49" t="str">
            <v xml:space="preserve">OFFICE EQUIPMENT:             </v>
          </cell>
          <cell r="C49">
            <v>4714.5</v>
          </cell>
          <cell r="D49">
            <v>0</v>
          </cell>
          <cell r="E49">
            <v>4714.5</v>
          </cell>
        </row>
        <row r="50">
          <cell r="A50" t="str">
            <v>1500-NYO97</v>
          </cell>
          <cell r="B50" t="str">
            <v xml:space="preserve">OFFICE EQUIPMENT - NEW YORK   </v>
          </cell>
          <cell r="C50">
            <v>89449.81</v>
          </cell>
          <cell r="D50">
            <v>0</v>
          </cell>
          <cell r="E50">
            <v>89449.81</v>
          </cell>
        </row>
        <row r="51">
          <cell r="A51" t="str">
            <v>1500-OCO97</v>
          </cell>
          <cell r="B51" t="str">
            <v xml:space="preserve">OFFICE EQUIPMENT:             </v>
          </cell>
          <cell r="C51">
            <v>3831.09</v>
          </cell>
          <cell r="D51">
            <v>0</v>
          </cell>
          <cell r="E51">
            <v>3831.09</v>
          </cell>
        </row>
        <row r="52">
          <cell r="A52" t="str">
            <v>1510-00000</v>
          </cell>
          <cell r="B52" t="str">
            <v xml:space="preserve">FURNITURE &amp; FIXTURES          </v>
          </cell>
          <cell r="C52">
            <v>76191.63</v>
          </cell>
          <cell r="D52">
            <v>0</v>
          </cell>
          <cell r="E52">
            <v>76191.63</v>
          </cell>
        </row>
        <row r="53">
          <cell r="A53" t="str">
            <v>1510-NYO97</v>
          </cell>
          <cell r="B53" t="str">
            <v xml:space="preserve">FURNITURE/FIXTURES:           </v>
          </cell>
          <cell r="C53">
            <v>86219.73</v>
          </cell>
          <cell r="D53">
            <v>0</v>
          </cell>
          <cell r="E53">
            <v>86219.73</v>
          </cell>
        </row>
        <row r="54">
          <cell r="A54" t="str">
            <v>1520-00000</v>
          </cell>
          <cell r="B54" t="str">
            <v xml:space="preserve">LEASEHOLD IMPROVEMENTS        </v>
          </cell>
          <cell r="C54">
            <v>34073.64</v>
          </cell>
          <cell r="D54">
            <v>0</v>
          </cell>
          <cell r="E54">
            <v>34073.64</v>
          </cell>
        </row>
        <row r="55">
          <cell r="A55" t="str">
            <v>1520-28098</v>
          </cell>
          <cell r="B55" t="str">
            <v xml:space="preserve">LEASEHOLD IMPROVEMENTS        </v>
          </cell>
          <cell r="C55">
            <v>1665.9</v>
          </cell>
          <cell r="D55">
            <v>0</v>
          </cell>
          <cell r="E55">
            <v>1665.9</v>
          </cell>
        </row>
        <row r="56">
          <cell r="A56" t="str">
            <v>1520-NYO97</v>
          </cell>
          <cell r="B56" t="str">
            <v xml:space="preserve">LEASEHOLD IMPROVEMENTS:       </v>
          </cell>
          <cell r="C56">
            <v>18973</v>
          </cell>
          <cell r="D56">
            <v>0</v>
          </cell>
          <cell r="E56">
            <v>18973</v>
          </cell>
        </row>
        <row r="57">
          <cell r="A57" t="str">
            <v>1600-00000</v>
          </cell>
          <cell r="B57" t="str">
            <v xml:space="preserve">ACCUMULATED DEPR-OFFICE EQUIP </v>
          </cell>
          <cell r="C57">
            <v>0</v>
          </cell>
          <cell r="D57">
            <v>116498.94</v>
          </cell>
          <cell r="E57">
            <v>-116498.94</v>
          </cell>
        </row>
        <row r="58">
          <cell r="A58" t="str">
            <v>1600-DNV99</v>
          </cell>
          <cell r="B58" t="str">
            <v xml:space="preserve">ACCUMULATED DEPR-OFFICE EQUIP </v>
          </cell>
          <cell r="C58">
            <v>0</v>
          </cell>
          <cell r="D58">
            <v>735.54</v>
          </cell>
          <cell r="E58">
            <v>-735.54</v>
          </cell>
        </row>
        <row r="59">
          <cell r="A59" t="str">
            <v>1600-FAM97</v>
          </cell>
          <cell r="B59" t="str">
            <v xml:space="preserve">ACCUMULATED DEPR-OFFICE EQUIP </v>
          </cell>
          <cell r="C59">
            <v>0</v>
          </cell>
          <cell r="D59">
            <v>1607.34</v>
          </cell>
          <cell r="E59">
            <v>-1607.34</v>
          </cell>
        </row>
        <row r="60">
          <cell r="A60" t="str">
            <v>1600-FRN97</v>
          </cell>
          <cell r="B60" t="str">
            <v xml:space="preserve">ACCUMULATED DEPR-OFFICE EQUIP </v>
          </cell>
          <cell r="C60">
            <v>0</v>
          </cell>
          <cell r="D60">
            <v>2841.34</v>
          </cell>
          <cell r="E60">
            <v>-2841.34</v>
          </cell>
        </row>
        <row r="61">
          <cell r="A61" t="str">
            <v>1600-NYO96</v>
          </cell>
          <cell r="B61" t="str">
            <v xml:space="preserve">ACCUMULATED DEPR-OFFICE EQUIP </v>
          </cell>
          <cell r="C61">
            <v>0</v>
          </cell>
          <cell r="D61">
            <v>10527.08</v>
          </cell>
          <cell r="E61">
            <v>-10527.08</v>
          </cell>
        </row>
        <row r="62">
          <cell r="A62" t="str">
            <v>1600-NYO97</v>
          </cell>
          <cell r="B62" t="str">
            <v xml:space="preserve">ACCUMULATED DEPR-OFFICE EQUIP </v>
          </cell>
          <cell r="C62">
            <v>0</v>
          </cell>
          <cell r="D62">
            <v>49264.63</v>
          </cell>
          <cell r="E62">
            <v>-49264.63</v>
          </cell>
        </row>
        <row r="63">
          <cell r="A63" t="str">
            <v>1610-00000</v>
          </cell>
          <cell r="B63" t="str">
            <v xml:space="preserve">ACCUMULATED DEPR-FURN &amp; FIXT  </v>
          </cell>
          <cell r="C63">
            <v>0</v>
          </cell>
          <cell r="D63">
            <v>64096.95</v>
          </cell>
          <cell r="E63">
            <v>-64096.95</v>
          </cell>
        </row>
        <row r="64">
          <cell r="A64" t="str">
            <v>1610-NYO94</v>
          </cell>
          <cell r="B64" t="str">
            <v xml:space="preserve">ACCUMULATED DEPR-FURN &amp; FIXT  </v>
          </cell>
          <cell r="C64">
            <v>0</v>
          </cell>
          <cell r="D64">
            <v>2393.41</v>
          </cell>
          <cell r="E64">
            <v>-2393.41</v>
          </cell>
        </row>
        <row r="65">
          <cell r="A65" t="str">
            <v>1610-NYO96</v>
          </cell>
          <cell r="B65" t="str">
            <v xml:space="preserve">ACCUMULATED DEPR-FURN &amp; FIXT  </v>
          </cell>
          <cell r="C65">
            <v>0</v>
          </cell>
          <cell r="D65">
            <v>42438.52</v>
          </cell>
          <cell r="E65">
            <v>-42438.52</v>
          </cell>
        </row>
        <row r="66">
          <cell r="A66" t="str">
            <v>1610-NYO97</v>
          </cell>
          <cell r="B66" t="str">
            <v xml:space="preserve">ACCUMULATED DEPR-FURN &amp; FIXT  </v>
          </cell>
          <cell r="C66">
            <v>0</v>
          </cell>
          <cell r="D66">
            <v>17553.21</v>
          </cell>
          <cell r="E66">
            <v>-17553.21</v>
          </cell>
        </row>
        <row r="67">
          <cell r="A67" t="str">
            <v>1620-00000</v>
          </cell>
          <cell r="B67" t="str">
            <v xml:space="preserve">ACCUM AMORT-LEASEHOLD IMP     </v>
          </cell>
          <cell r="C67">
            <v>0</v>
          </cell>
          <cell r="D67">
            <v>28914.28</v>
          </cell>
          <cell r="E67">
            <v>-28914.28</v>
          </cell>
        </row>
        <row r="68">
          <cell r="A68" t="str">
            <v>1620-28098</v>
          </cell>
          <cell r="B68" t="str">
            <v xml:space="preserve">ACCUM AMORT-LEASEHOLD IMP     </v>
          </cell>
          <cell r="C68">
            <v>0</v>
          </cell>
          <cell r="D68">
            <v>555.30999999999995</v>
          </cell>
          <cell r="E68">
            <v>-555.30999999999995</v>
          </cell>
        </row>
        <row r="69">
          <cell r="A69" t="str">
            <v>1620-NYO96</v>
          </cell>
          <cell r="B69" t="str">
            <v>ACCUMULATED AMORT-LEASEHOLD IM</v>
          </cell>
          <cell r="C69">
            <v>0</v>
          </cell>
          <cell r="D69">
            <v>12121.38</v>
          </cell>
          <cell r="E69">
            <v>-12121.38</v>
          </cell>
        </row>
        <row r="70">
          <cell r="A70" t="str">
            <v>1620-NYO97</v>
          </cell>
          <cell r="B70" t="str">
            <v>ACCUMULATED AMORT-LEASEHOLD IM</v>
          </cell>
          <cell r="C70">
            <v>0</v>
          </cell>
          <cell r="D70">
            <v>2100</v>
          </cell>
          <cell r="E70">
            <v>-2100</v>
          </cell>
        </row>
        <row r="71">
          <cell r="A71" t="str">
            <v>1630-00000</v>
          </cell>
          <cell r="B71" t="str">
            <v xml:space="preserve">ACCUM AMORT - ORG COSTS       </v>
          </cell>
          <cell r="C71">
            <v>0</v>
          </cell>
          <cell r="D71">
            <v>25306</v>
          </cell>
          <cell r="E71">
            <v>-25306</v>
          </cell>
        </row>
        <row r="72">
          <cell r="A72" t="str">
            <v>1710-00000</v>
          </cell>
          <cell r="B72" t="str">
            <v xml:space="preserve">PREPAID INSURANCE             </v>
          </cell>
          <cell r="C72">
            <v>70908.5</v>
          </cell>
          <cell r="D72">
            <v>0</v>
          </cell>
          <cell r="E72">
            <v>70908.5</v>
          </cell>
        </row>
        <row r="73">
          <cell r="A73" t="str">
            <v>1800-00000</v>
          </cell>
          <cell r="B73" t="str">
            <v xml:space="preserve">ORGANIZATION EXPENSE          </v>
          </cell>
          <cell r="C73">
            <v>25306.5</v>
          </cell>
          <cell r="D73">
            <v>0</v>
          </cell>
          <cell r="E73">
            <v>25306.5</v>
          </cell>
        </row>
        <row r="74">
          <cell r="A74" t="str">
            <v>1900-00000</v>
          </cell>
          <cell r="B74" t="str">
            <v xml:space="preserve">DEPOSIT:                      </v>
          </cell>
          <cell r="C74">
            <v>0</v>
          </cell>
          <cell r="D74">
            <v>76835.5</v>
          </cell>
          <cell r="E74">
            <v>-76835.5</v>
          </cell>
        </row>
        <row r="75">
          <cell r="A75" t="str">
            <v>1900-DNV99</v>
          </cell>
          <cell r="B75" t="str">
            <v xml:space="preserve">DEPOSIT:                      </v>
          </cell>
          <cell r="C75">
            <v>1047</v>
          </cell>
          <cell r="D75">
            <v>0</v>
          </cell>
          <cell r="E75">
            <v>1047</v>
          </cell>
        </row>
        <row r="76">
          <cell r="A76" t="str">
            <v>1900-EAG97</v>
          </cell>
          <cell r="B76" t="str">
            <v xml:space="preserve">DEPOIST:                      </v>
          </cell>
          <cell r="C76">
            <v>4650</v>
          </cell>
          <cell r="D76">
            <v>0</v>
          </cell>
          <cell r="E76">
            <v>4650</v>
          </cell>
        </row>
        <row r="77">
          <cell r="A77" t="str">
            <v>1900-FAM97</v>
          </cell>
          <cell r="B77" t="str">
            <v xml:space="preserve">DEPOSIT: FAM97                </v>
          </cell>
          <cell r="C77">
            <v>123150</v>
          </cell>
          <cell r="D77">
            <v>0</v>
          </cell>
          <cell r="E77">
            <v>123150</v>
          </cell>
        </row>
        <row r="78">
          <cell r="A78" t="str">
            <v>1900-MBL97</v>
          </cell>
          <cell r="B78" t="str">
            <v xml:space="preserve">DEPOSIT:                      </v>
          </cell>
          <cell r="C78">
            <v>9300</v>
          </cell>
          <cell r="D78">
            <v>0</v>
          </cell>
          <cell r="E78">
            <v>9300</v>
          </cell>
        </row>
        <row r="79">
          <cell r="A79" t="str">
            <v>1910-00000</v>
          </cell>
          <cell r="B79" t="str">
            <v xml:space="preserve">EXCHANGE                      </v>
          </cell>
          <cell r="C79">
            <v>5410.39</v>
          </cell>
          <cell r="D79">
            <v>0</v>
          </cell>
          <cell r="E79">
            <v>5410.39</v>
          </cell>
        </row>
        <row r="80">
          <cell r="A80" t="str">
            <v>1950-00000</v>
          </cell>
          <cell r="B80" t="str">
            <v xml:space="preserve">OTHER ASSETS                  </v>
          </cell>
          <cell r="C80">
            <v>2500</v>
          </cell>
          <cell r="D80">
            <v>0</v>
          </cell>
          <cell r="E80">
            <v>2500</v>
          </cell>
        </row>
        <row r="81">
          <cell r="A81" t="str">
            <v>1955-00000</v>
          </cell>
          <cell r="B81" t="str">
            <v xml:space="preserve">INVESTMENT IN CMTF            </v>
          </cell>
          <cell r="C81">
            <v>33000</v>
          </cell>
          <cell r="D81">
            <v>0</v>
          </cell>
          <cell r="E81">
            <v>33000</v>
          </cell>
        </row>
        <row r="82">
          <cell r="A82" t="str">
            <v>1980-00000</v>
          </cell>
          <cell r="B82" t="str">
            <v xml:space="preserve">EMPLOYEE MEAL EXCHANGE        </v>
          </cell>
          <cell r="C82">
            <v>0</v>
          </cell>
          <cell r="D82">
            <v>1542.16</v>
          </cell>
          <cell r="E82">
            <v>-1542.16</v>
          </cell>
        </row>
        <row r="83">
          <cell r="A83" t="str">
            <v>1990-00000</v>
          </cell>
          <cell r="B83" t="str">
            <v>OTHER ASSETS-YEN HEDGE ACCOUNT</v>
          </cell>
          <cell r="C83">
            <v>0</v>
          </cell>
          <cell r="D83">
            <v>33958.449999999997</v>
          </cell>
          <cell r="E83">
            <v>-33958.449999999997</v>
          </cell>
        </row>
        <row r="84">
          <cell r="A84" t="str">
            <v>1990-JPNP7</v>
          </cell>
          <cell r="B84" t="str">
            <v>OTHER ASSETS-YEN HEDGE ACCOUNT</v>
          </cell>
          <cell r="C84">
            <v>63825.86</v>
          </cell>
          <cell r="D84">
            <v>0</v>
          </cell>
          <cell r="E84">
            <v>63825.86</v>
          </cell>
        </row>
        <row r="85">
          <cell r="A85" t="str">
            <v>2000-00000</v>
          </cell>
          <cell r="B85" t="str">
            <v xml:space="preserve">ACCOUNTS PAYABLE              </v>
          </cell>
          <cell r="C85">
            <v>0</v>
          </cell>
          <cell r="D85">
            <v>2863.75</v>
          </cell>
          <cell r="E85">
            <v>-2863.75</v>
          </cell>
        </row>
        <row r="86">
          <cell r="A86" t="str">
            <v>2000-ZZZZZ</v>
          </cell>
          <cell r="B86" t="str">
            <v xml:space="preserve">ACCOUNTS PAYABLE              </v>
          </cell>
          <cell r="C86">
            <v>0</v>
          </cell>
          <cell r="D86">
            <v>259831.09</v>
          </cell>
          <cell r="E86">
            <v>-259831.09</v>
          </cell>
        </row>
        <row r="87">
          <cell r="A87" t="str">
            <v>2001-00000</v>
          </cell>
          <cell r="B87" t="str">
            <v xml:space="preserve">A/P 401K HOLDING              </v>
          </cell>
          <cell r="C87">
            <v>0</v>
          </cell>
          <cell r="D87">
            <v>129365.24</v>
          </cell>
          <cell r="E87">
            <v>-129365.24</v>
          </cell>
        </row>
        <row r="88">
          <cell r="A88" t="str">
            <v>2001-FRN97</v>
          </cell>
          <cell r="B88" t="str">
            <v xml:space="preserve">A/P 401K HOLDING - FRN        </v>
          </cell>
          <cell r="C88">
            <v>0</v>
          </cell>
          <cell r="D88">
            <v>10500</v>
          </cell>
          <cell r="E88">
            <v>-10500</v>
          </cell>
        </row>
        <row r="89">
          <cell r="A89" t="str">
            <v>2001-NYO97</v>
          </cell>
          <cell r="B89" t="str">
            <v xml:space="preserve">A/P 401K HOLDING - NY         </v>
          </cell>
          <cell r="C89">
            <v>0</v>
          </cell>
          <cell r="D89">
            <v>21350</v>
          </cell>
          <cell r="E89">
            <v>-21350</v>
          </cell>
        </row>
        <row r="90">
          <cell r="A90" t="str">
            <v>2050-00000</v>
          </cell>
          <cell r="B90" t="str">
            <v xml:space="preserve">INCOME TAX PAYABLE            </v>
          </cell>
          <cell r="C90">
            <v>0</v>
          </cell>
          <cell r="D90">
            <v>7795</v>
          </cell>
          <cell r="E90">
            <v>-7795</v>
          </cell>
        </row>
        <row r="91">
          <cell r="A91" t="str">
            <v>2500-00000</v>
          </cell>
          <cell r="B91" t="str">
            <v xml:space="preserve">NOTES PAYABLE                 </v>
          </cell>
          <cell r="C91">
            <v>0</v>
          </cell>
          <cell r="D91">
            <v>47583.83</v>
          </cell>
          <cell r="E91">
            <v>-47583.83</v>
          </cell>
        </row>
        <row r="92">
          <cell r="A92" t="str">
            <v>2800-00000</v>
          </cell>
          <cell r="B92" t="str">
            <v xml:space="preserve">COMMON STOCK                  </v>
          </cell>
          <cell r="C92">
            <v>0</v>
          </cell>
          <cell r="D92">
            <v>9</v>
          </cell>
          <cell r="E92">
            <v>-9</v>
          </cell>
        </row>
        <row r="93">
          <cell r="A93" t="str">
            <v>2805-00000</v>
          </cell>
          <cell r="B93" t="str">
            <v xml:space="preserve">TREASURY STOCK                </v>
          </cell>
          <cell r="C93">
            <v>47950</v>
          </cell>
          <cell r="D93">
            <v>0</v>
          </cell>
          <cell r="E93">
            <v>47950</v>
          </cell>
        </row>
        <row r="94">
          <cell r="A94" t="str">
            <v>2810-00000</v>
          </cell>
          <cell r="B94" t="str">
            <v xml:space="preserve">RETAINED EARNINGS - PRIOR     </v>
          </cell>
          <cell r="C94">
            <v>0</v>
          </cell>
          <cell r="D94">
            <v>4372758.34</v>
          </cell>
          <cell r="E94">
            <v>-4372758.34</v>
          </cell>
        </row>
        <row r="95">
          <cell r="A95" t="str">
            <v>2815-00000</v>
          </cell>
          <cell r="B95" t="str">
            <v xml:space="preserve">ADDITIONAL PAID IN CAPITAL    </v>
          </cell>
          <cell r="C95">
            <v>0</v>
          </cell>
          <cell r="D95">
            <v>99501</v>
          </cell>
          <cell r="E95">
            <v>-99501</v>
          </cell>
        </row>
        <row r="96">
          <cell r="A96" t="str">
            <v>2821-00000</v>
          </cell>
          <cell r="B96" t="str">
            <v xml:space="preserve">DIVIDEND-S ROTH               </v>
          </cell>
          <cell r="C96">
            <v>111185</v>
          </cell>
          <cell r="D96">
            <v>0</v>
          </cell>
          <cell r="E96">
            <v>111185</v>
          </cell>
        </row>
        <row r="97">
          <cell r="A97" t="str">
            <v>2822-00000</v>
          </cell>
          <cell r="B97" t="str">
            <v xml:space="preserve">DIVIDEND-M VAN KONYNENBURG    </v>
          </cell>
          <cell r="C97">
            <v>183590</v>
          </cell>
          <cell r="D97">
            <v>0</v>
          </cell>
          <cell r="E97">
            <v>183590</v>
          </cell>
        </row>
        <row r="98">
          <cell r="A98" t="str">
            <v>2823-00000</v>
          </cell>
          <cell r="B98" t="str">
            <v xml:space="preserve">DIVIDEND-C TOPPINO            </v>
          </cell>
          <cell r="C98">
            <v>153825</v>
          </cell>
          <cell r="D98">
            <v>0</v>
          </cell>
          <cell r="E98">
            <v>153825</v>
          </cell>
        </row>
        <row r="99">
          <cell r="A99" t="str">
            <v>2826-00000</v>
          </cell>
          <cell r="B99" t="str">
            <v xml:space="preserve">DIVIDEND-E LYONS              </v>
          </cell>
          <cell r="C99">
            <v>21400</v>
          </cell>
          <cell r="D99">
            <v>0</v>
          </cell>
          <cell r="E99">
            <v>21400</v>
          </cell>
        </row>
        <row r="100">
          <cell r="A100" t="str">
            <v>2827-00000</v>
          </cell>
          <cell r="B100" t="str">
            <v xml:space="preserve">DIVIDEND - R. KAMINKER        </v>
          </cell>
          <cell r="C100">
            <v>30000</v>
          </cell>
          <cell r="D100">
            <v>0</v>
          </cell>
          <cell r="E100">
            <v>30000</v>
          </cell>
        </row>
        <row r="101">
          <cell r="A101" t="str">
            <v>2950-00000</v>
          </cell>
          <cell r="B101" t="str">
            <v xml:space="preserve">DUE TO/FROM AFFILIATE         </v>
          </cell>
          <cell r="C101">
            <v>114.79</v>
          </cell>
          <cell r="D101">
            <v>0</v>
          </cell>
          <cell r="E101">
            <v>114.79</v>
          </cell>
        </row>
        <row r="102">
          <cell r="A102" t="str">
            <v>3300-00000</v>
          </cell>
          <cell r="B102" t="str">
            <v xml:space="preserve">INTEREST INCOME               </v>
          </cell>
          <cell r="C102">
            <v>0</v>
          </cell>
          <cell r="D102">
            <v>17881.490000000002</v>
          </cell>
          <cell r="E102">
            <v>-17881.490000000002</v>
          </cell>
        </row>
        <row r="103">
          <cell r="A103" t="str">
            <v>3350-HGA95</v>
          </cell>
          <cell r="B103" t="str">
            <v xml:space="preserve">ASSET MANAGEMENT FEE:         </v>
          </cell>
          <cell r="C103">
            <v>0</v>
          </cell>
          <cell r="D103">
            <v>21062</v>
          </cell>
          <cell r="E103">
            <v>-21062</v>
          </cell>
        </row>
        <row r="104">
          <cell r="A104" t="str">
            <v>3350-ZZZZZ</v>
          </cell>
          <cell r="B104" t="str">
            <v xml:space="preserve">ASSET MANAGEMENT FEES         </v>
          </cell>
          <cell r="C104">
            <v>35</v>
          </cell>
          <cell r="D104">
            <v>0</v>
          </cell>
          <cell r="E104">
            <v>35</v>
          </cell>
        </row>
        <row r="105">
          <cell r="A105" t="str">
            <v>3410-JPNP7</v>
          </cell>
          <cell r="B105" t="str">
            <v>GAIN/LOSS ON HEDGE - Japan Prn</v>
          </cell>
          <cell r="C105">
            <v>0</v>
          </cell>
          <cell r="D105">
            <v>63667.41</v>
          </cell>
          <cell r="E105">
            <v>-63667.41</v>
          </cell>
        </row>
        <row r="106">
          <cell r="A106" t="str">
            <v>3450-00000</v>
          </cell>
          <cell r="B106" t="str">
            <v xml:space="preserve">SOFTWARE LICENSING FEES       </v>
          </cell>
          <cell r="C106">
            <v>0</v>
          </cell>
          <cell r="D106">
            <v>2000</v>
          </cell>
          <cell r="E106">
            <v>-2000</v>
          </cell>
        </row>
        <row r="107">
          <cell r="A107" t="str">
            <v>3500-KOL99</v>
          </cell>
          <cell r="B107" t="str">
            <v xml:space="preserve">REIMBURSEMENT INCOME:         </v>
          </cell>
          <cell r="C107">
            <v>0</v>
          </cell>
          <cell r="D107">
            <v>18680</v>
          </cell>
          <cell r="E107">
            <v>-18680</v>
          </cell>
        </row>
        <row r="108">
          <cell r="A108" t="str">
            <v>4000-00000</v>
          </cell>
          <cell r="B108" t="str">
            <v xml:space="preserve">WAGES: EER TAX - PRINCIPALS   </v>
          </cell>
          <cell r="C108">
            <v>5315.23</v>
          </cell>
          <cell r="D108">
            <v>0</v>
          </cell>
          <cell r="E108">
            <v>5315.23</v>
          </cell>
        </row>
        <row r="109">
          <cell r="A109" t="str">
            <v>4000-FRN97</v>
          </cell>
          <cell r="B109" t="str">
            <v>WAGES:EER TAX-OFFICER: FRN-SAR</v>
          </cell>
          <cell r="C109">
            <v>467.8</v>
          </cell>
          <cell r="D109">
            <v>0</v>
          </cell>
          <cell r="E109">
            <v>467.8</v>
          </cell>
        </row>
        <row r="110">
          <cell r="A110" t="str">
            <v>4000-JPNP7</v>
          </cell>
          <cell r="B110" t="str">
            <v>WAGES:EER TAX-OFFICER: JPN-MVK</v>
          </cell>
          <cell r="C110">
            <v>233.9</v>
          </cell>
          <cell r="D110">
            <v>0</v>
          </cell>
          <cell r="E110">
            <v>233.9</v>
          </cell>
        </row>
        <row r="111">
          <cell r="A111" t="str">
            <v>4000-USP99</v>
          </cell>
          <cell r="B111" t="str">
            <v>WAGES: EER TAX-OFFICER: USP-RK</v>
          </cell>
          <cell r="C111">
            <v>140.34</v>
          </cell>
          <cell r="D111">
            <v>0</v>
          </cell>
          <cell r="E111">
            <v>140.34</v>
          </cell>
        </row>
        <row r="112">
          <cell r="A112" t="str">
            <v>4001-00000</v>
          </cell>
          <cell r="B112" t="str">
            <v xml:space="preserve">WAGES: EER TAX - PROF/IC      </v>
          </cell>
          <cell r="C112">
            <v>13489.31</v>
          </cell>
          <cell r="D112">
            <v>0</v>
          </cell>
          <cell r="E112">
            <v>13489.31</v>
          </cell>
        </row>
        <row r="113">
          <cell r="A113" t="str">
            <v>4001-FRN97</v>
          </cell>
          <cell r="B113" t="str">
            <v>WAGES: EER TAX-LA PROF: FRN-BH</v>
          </cell>
          <cell r="C113">
            <v>981.96</v>
          </cell>
          <cell r="D113">
            <v>0</v>
          </cell>
          <cell r="E113">
            <v>981.96</v>
          </cell>
        </row>
        <row r="114">
          <cell r="A114" t="str">
            <v>4001-JPNP7</v>
          </cell>
          <cell r="B114" t="str">
            <v>WAGES: EER TAX-LA PROF: JPN-MK</v>
          </cell>
          <cell r="C114">
            <v>235.3</v>
          </cell>
          <cell r="D114">
            <v>0</v>
          </cell>
          <cell r="E114">
            <v>235.3</v>
          </cell>
        </row>
        <row r="115">
          <cell r="A115" t="str">
            <v>4001-NYO97</v>
          </cell>
          <cell r="B115" t="str">
            <v xml:space="preserve">WAGES: EER TAX - PROF/IC      </v>
          </cell>
          <cell r="C115">
            <v>2396.4499999999998</v>
          </cell>
          <cell r="D115">
            <v>0</v>
          </cell>
          <cell r="E115">
            <v>2396.4499999999998</v>
          </cell>
        </row>
        <row r="116">
          <cell r="A116" t="str">
            <v>4001-USP99</v>
          </cell>
          <cell r="B116" t="str">
            <v>WAGES: EER TAX-LA PROF: USP-ML</v>
          </cell>
          <cell r="C116">
            <v>187.49</v>
          </cell>
          <cell r="D116">
            <v>0</v>
          </cell>
          <cell r="E116">
            <v>187.49</v>
          </cell>
        </row>
        <row r="117">
          <cell r="A117" t="str">
            <v>4002-00000</v>
          </cell>
          <cell r="B117" t="str">
            <v xml:space="preserve">WAGES: EER TAX - STAFF        </v>
          </cell>
          <cell r="C117">
            <v>7315.99</v>
          </cell>
          <cell r="D117">
            <v>0</v>
          </cell>
          <cell r="E117">
            <v>7315.99</v>
          </cell>
        </row>
        <row r="118">
          <cell r="A118" t="str">
            <v>4002-NYO97</v>
          </cell>
          <cell r="B118" t="str">
            <v xml:space="preserve">WAGES: EER TAX - STAFF        </v>
          </cell>
          <cell r="C118">
            <v>1152.78</v>
          </cell>
          <cell r="D118">
            <v>0</v>
          </cell>
          <cell r="E118">
            <v>1152.78</v>
          </cell>
        </row>
        <row r="119">
          <cell r="A119" t="str">
            <v>4003-00000</v>
          </cell>
          <cell r="B119" t="str">
            <v xml:space="preserve">WAGES: EER TAX - OTHER        </v>
          </cell>
          <cell r="C119">
            <v>0</v>
          </cell>
          <cell r="D119">
            <v>5.12</v>
          </cell>
          <cell r="E119">
            <v>-5.12</v>
          </cell>
        </row>
        <row r="120">
          <cell r="A120" t="str">
            <v>4004-FRN97</v>
          </cell>
          <cell r="B120" t="str">
            <v>WAGES: EER TAX-OFFICER: FRN-RK</v>
          </cell>
          <cell r="C120">
            <v>70.17</v>
          </cell>
          <cell r="D120">
            <v>0</v>
          </cell>
          <cell r="E120">
            <v>70.17</v>
          </cell>
        </row>
        <row r="121">
          <cell r="A121" t="str">
            <v>4004-JPNP7</v>
          </cell>
          <cell r="B121" t="str">
            <v>WAGES: EER TAX-OFFICER: JPN-RK</v>
          </cell>
          <cell r="C121">
            <v>70.17</v>
          </cell>
          <cell r="D121">
            <v>0</v>
          </cell>
          <cell r="E121">
            <v>70.17</v>
          </cell>
        </row>
        <row r="122">
          <cell r="A122" t="str">
            <v>4010-00000</v>
          </cell>
          <cell r="B122" t="str">
            <v xml:space="preserve">WAGES: PRINCIPALS             </v>
          </cell>
          <cell r="C122">
            <v>49375</v>
          </cell>
          <cell r="D122">
            <v>0</v>
          </cell>
          <cell r="E122">
            <v>49375</v>
          </cell>
        </row>
        <row r="123">
          <cell r="A123" t="str">
            <v>4010-FRN97</v>
          </cell>
          <cell r="B123" t="str">
            <v xml:space="preserve">WAGES: OFFICER - FRN: SAR     </v>
          </cell>
          <cell r="C123">
            <v>6250</v>
          </cell>
          <cell r="D123">
            <v>0</v>
          </cell>
          <cell r="E123">
            <v>6250</v>
          </cell>
        </row>
        <row r="124">
          <cell r="A124" t="str">
            <v>4010-JPNP7</v>
          </cell>
          <cell r="B124" t="str">
            <v xml:space="preserve">WAGES: OFFICER - JPN: MVK     </v>
          </cell>
          <cell r="C124">
            <v>3125</v>
          </cell>
          <cell r="D124">
            <v>0</v>
          </cell>
          <cell r="E124">
            <v>3125</v>
          </cell>
        </row>
        <row r="125">
          <cell r="A125" t="str">
            <v>4010-USP99</v>
          </cell>
          <cell r="B125" t="str">
            <v xml:space="preserve">WAGES: OFFICER - USP: RK      </v>
          </cell>
          <cell r="C125">
            <v>1875</v>
          </cell>
          <cell r="D125">
            <v>0</v>
          </cell>
          <cell r="E125">
            <v>1875</v>
          </cell>
        </row>
        <row r="126">
          <cell r="A126" t="str">
            <v>4011-00000</v>
          </cell>
          <cell r="B126" t="str">
            <v xml:space="preserve">WAGES: PROF/IC                </v>
          </cell>
          <cell r="C126">
            <v>121458.34</v>
          </cell>
          <cell r="D126">
            <v>0</v>
          </cell>
          <cell r="E126">
            <v>121458.34</v>
          </cell>
        </row>
        <row r="127">
          <cell r="A127" t="str">
            <v>4011-FRN97</v>
          </cell>
          <cell r="B127" t="str">
            <v xml:space="preserve">WAGES: PROF/IC - FRN: BH      </v>
          </cell>
          <cell r="C127">
            <v>8333.34</v>
          </cell>
          <cell r="D127">
            <v>0</v>
          </cell>
          <cell r="E127">
            <v>8333.34</v>
          </cell>
        </row>
        <row r="128">
          <cell r="A128" t="str">
            <v>4011-JPNP7</v>
          </cell>
          <cell r="B128" t="str">
            <v xml:space="preserve">WAGES: PROF/IC - JPN: MK      </v>
          </cell>
          <cell r="C128">
            <v>3125</v>
          </cell>
          <cell r="D128">
            <v>0</v>
          </cell>
          <cell r="E128">
            <v>3125</v>
          </cell>
        </row>
        <row r="129">
          <cell r="A129" t="str">
            <v>4011-NYO97</v>
          </cell>
          <cell r="B129" t="str">
            <v xml:space="preserve">WAGES: PROF/IC                </v>
          </cell>
          <cell r="C129">
            <v>30833.34</v>
          </cell>
          <cell r="D129">
            <v>0</v>
          </cell>
          <cell r="E129">
            <v>30833.34</v>
          </cell>
        </row>
        <row r="130">
          <cell r="A130" t="str">
            <v>4011-USP99</v>
          </cell>
          <cell r="B130" t="str">
            <v xml:space="preserve">WAGES: LA PROF - USP: ML      </v>
          </cell>
          <cell r="C130">
            <v>2500</v>
          </cell>
          <cell r="D130">
            <v>0</v>
          </cell>
          <cell r="E130">
            <v>2500</v>
          </cell>
        </row>
        <row r="131">
          <cell r="A131" t="str">
            <v>4012-00000</v>
          </cell>
          <cell r="B131" t="str">
            <v xml:space="preserve">WAGES: STAFF                  </v>
          </cell>
          <cell r="C131">
            <v>52813.48</v>
          </cell>
          <cell r="D131">
            <v>0</v>
          </cell>
          <cell r="E131">
            <v>52813.48</v>
          </cell>
        </row>
        <row r="132">
          <cell r="A132" t="str">
            <v>4012-NYO97</v>
          </cell>
          <cell r="B132" t="str">
            <v xml:space="preserve">WAGES: STAFF                  </v>
          </cell>
          <cell r="C132">
            <v>10584.63</v>
          </cell>
          <cell r="D132">
            <v>0</v>
          </cell>
          <cell r="E132">
            <v>10584.63</v>
          </cell>
        </row>
        <row r="133">
          <cell r="A133" t="str">
            <v>4013-00000</v>
          </cell>
          <cell r="B133" t="str">
            <v xml:space="preserve">WAGES: OT STAFF               </v>
          </cell>
          <cell r="C133">
            <v>5540.83</v>
          </cell>
          <cell r="D133">
            <v>0</v>
          </cell>
          <cell r="E133">
            <v>5540.83</v>
          </cell>
        </row>
        <row r="134">
          <cell r="A134" t="str">
            <v>4013-NYO97</v>
          </cell>
          <cell r="B134" t="str">
            <v xml:space="preserve">WAGES: OT STAFF               </v>
          </cell>
          <cell r="C134">
            <v>1259.21</v>
          </cell>
          <cell r="D134">
            <v>0</v>
          </cell>
          <cell r="E134">
            <v>1259.21</v>
          </cell>
        </row>
        <row r="135">
          <cell r="A135" t="str">
            <v>4014-FRN97</v>
          </cell>
          <cell r="B135" t="str">
            <v xml:space="preserve">WAGES: OFFICER - FRN: RK      </v>
          </cell>
          <cell r="C135">
            <v>937.5</v>
          </cell>
          <cell r="D135">
            <v>0</v>
          </cell>
          <cell r="E135">
            <v>937.5</v>
          </cell>
        </row>
        <row r="136">
          <cell r="A136" t="str">
            <v>4014-JPNP7</v>
          </cell>
          <cell r="B136" t="str">
            <v xml:space="preserve">WAGES: OFFICER - JPN: RK      </v>
          </cell>
          <cell r="C136">
            <v>937.5</v>
          </cell>
          <cell r="D136">
            <v>0</v>
          </cell>
          <cell r="E136">
            <v>937.5</v>
          </cell>
        </row>
        <row r="137">
          <cell r="A137" t="str">
            <v>4021-00000</v>
          </cell>
          <cell r="B137" t="str">
            <v xml:space="preserve">WAGES: BONUS - PROF/IC        </v>
          </cell>
          <cell r="C137">
            <v>0</v>
          </cell>
          <cell r="D137">
            <v>9195</v>
          </cell>
          <cell r="E137">
            <v>-9195</v>
          </cell>
        </row>
        <row r="138">
          <cell r="A138" t="str">
            <v>4021-NYO97</v>
          </cell>
          <cell r="B138" t="str">
            <v xml:space="preserve">WAGES: BONUS - PROF/IC        </v>
          </cell>
          <cell r="C138">
            <v>0</v>
          </cell>
          <cell r="D138">
            <v>22500</v>
          </cell>
          <cell r="E138">
            <v>-22500</v>
          </cell>
        </row>
        <row r="139">
          <cell r="A139" t="str">
            <v>5080-ZZZZZ</v>
          </cell>
          <cell r="B139" t="str">
            <v xml:space="preserve">DUE DILIGENCE - EXTERNAL      </v>
          </cell>
          <cell r="C139">
            <v>0</v>
          </cell>
          <cell r="D139">
            <v>9654</v>
          </cell>
          <cell r="E139">
            <v>-9654</v>
          </cell>
        </row>
        <row r="140">
          <cell r="A140" t="str">
            <v>5100-AMR99</v>
          </cell>
          <cell r="B140" t="str">
            <v xml:space="preserve">EMPLOYEE MEAL EXPENSE: AMR99  </v>
          </cell>
          <cell r="C140">
            <v>5.9</v>
          </cell>
          <cell r="D140">
            <v>0</v>
          </cell>
          <cell r="E140">
            <v>5.9</v>
          </cell>
        </row>
        <row r="141">
          <cell r="A141" t="str">
            <v>5100-CMT99</v>
          </cell>
          <cell r="B141" t="str">
            <v xml:space="preserve">EMPLOYEE MEAL EXPENSE: CMT99  </v>
          </cell>
          <cell r="C141">
            <v>349.76</v>
          </cell>
          <cell r="D141">
            <v>0</v>
          </cell>
          <cell r="E141">
            <v>349.76</v>
          </cell>
        </row>
        <row r="142">
          <cell r="A142" t="str">
            <v>5100-CRO99</v>
          </cell>
          <cell r="B142" t="str">
            <v xml:space="preserve">EMPLOYEE MEAL EXPENSE: CRO99  </v>
          </cell>
          <cell r="C142">
            <v>394.03</v>
          </cell>
          <cell r="D142">
            <v>0</v>
          </cell>
          <cell r="E142">
            <v>394.03</v>
          </cell>
        </row>
        <row r="143">
          <cell r="A143" t="str">
            <v>5100-LCB99</v>
          </cell>
          <cell r="B143" t="str">
            <v xml:space="preserve">EMPLOYEE MEAL EXPENSE: LCB99  </v>
          </cell>
          <cell r="C143">
            <v>19.28</v>
          </cell>
          <cell r="D143">
            <v>0</v>
          </cell>
          <cell r="E143">
            <v>19.28</v>
          </cell>
        </row>
        <row r="144">
          <cell r="A144" t="str">
            <v>5100-MGM99</v>
          </cell>
          <cell r="B144" t="str">
            <v xml:space="preserve">EMPLOYEE MEAL EXPENSE: MGM99  </v>
          </cell>
          <cell r="C144">
            <v>25.38</v>
          </cell>
          <cell r="D144">
            <v>0</v>
          </cell>
          <cell r="E144">
            <v>25.38</v>
          </cell>
        </row>
        <row r="145">
          <cell r="A145" t="str">
            <v>5100-PLZ99</v>
          </cell>
          <cell r="B145" t="str">
            <v xml:space="preserve">EMPLOYEE MEAL EXPENSE: PLZ99  </v>
          </cell>
          <cell r="C145">
            <v>25.36</v>
          </cell>
          <cell r="D145">
            <v>0</v>
          </cell>
          <cell r="E145">
            <v>25.36</v>
          </cell>
        </row>
        <row r="146">
          <cell r="A146" t="str">
            <v>5100-TAH99</v>
          </cell>
          <cell r="B146" t="str">
            <v xml:space="preserve">EMPLOYEE MEAL EXPENSE: TAH99  </v>
          </cell>
          <cell r="C146">
            <v>45.65</v>
          </cell>
          <cell r="D146">
            <v>0</v>
          </cell>
          <cell r="E146">
            <v>45.65</v>
          </cell>
        </row>
        <row r="147">
          <cell r="A147" t="str">
            <v>5100-UNI99</v>
          </cell>
          <cell r="B147" t="str">
            <v xml:space="preserve">EMPLOYEE MEAL EXPENSE: UNI99  </v>
          </cell>
          <cell r="C147">
            <v>2.56</v>
          </cell>
          <cell r="D147">
            <v>0</v>
          </cell>
          <cell r="E147">
            <v>2.56</v>
          </cell>
        </row>
        <row r="148">
          <cell r="A148" t="str">
            <v>5100-ZZZZZ</v>
          </cell>
          <cell r="B148" t="str">
            <v xml:space="preserve">EMPLOYEE MEAL EXPENSE         </v>
          </cell>
          <cell r="C148">
            <v>438.36</v>
          </cell>
          <cell r="D148">
            <v>0</v>
          </cell>
          <cell r="E148">
            <v>438.36</v>
          </cell>
        </row>
        <row r="149">
          <cell r="A149" t="str">
            <v>5110-CMT99</v>
          </cell>
          <cell r="B149" t="str">
            <v xml:space="preserve">ENTERTAINMENT: CMT99          </v>
          </cell>
          <cell r="C149">
            <v>422</v>
          </cell>
          <cell r="D149">
            <v>0</v>
          </cell>
          <cell r="E149">
            <v>422</v>
          </cell>
        </row>
        <row r="150">
          <cell r="A150" t="str">
            <v>5110-CRO99</v>
          </cell>
          <cell r="B150" t="str">
            <v xml:space="preserve">ENTERTAINMENT: CRO99          </v>
          </cell>
          <cell r="C150">
            <v>128.44999999999999</v>
          </cell>
          <cell r="D150">
            <v>0</v>
          </cell>
          <cell r="E150">
            <v>128.44999999999999</v>
          </cell>
        </row>
        <row r="151">
          <cell r="A151" t="str">
            <v>5110-LAK98</v>
          </cell>
          <cell r="B151" t="str">
            <v xml:space="preserve">ENTERTAINMENT: LAK98          </v>
          </cell>
          <cell r="C151">
            <v>22.09</v>
          </cell>
          <cell r="D151">
            <v>0</v>
          </cell>
          <cell r="E151">
            <v>22.09</v>
          </cell>
        </row>
        <row r="152">
          <cell r="A152" t="str">
            <v>5110-MGM99</v>
          </cell>
          <cell r="B152" t="str">
            <v xml:space="preserve">ENTERTAINMENT: MGM99          </v>
          </cell>
          <cell r="C152">
            <v>17.05</v>
          </cell>
          <cell r="D152">
            <v>0</v>
          </cell>
          <cell r="E152">
            <v>17.05</v>
          </cell>
        </row>
        <row r="153">
          <cell r="A153" t="str">
            <v>5110-PLZ99</v>
          </cell>
          <cell r="B153" t="str">
            <v xml:space="preserve">ENTERTAINMENT: PLZ99          </v>
          </cell>
          <cell r="C153">
            <v>16.649999999999999</v>
          </cell>
          <cell r="D153">
            <v>0</v>
          </cell>
          <cell r="E153">
            <v>16.649999999999999</v>
          </cell>
        </row>
        <row r="154">
          <cell r="A154" t="str">
            <v>5110-TAH99</v>
          </cell>
          <cell r="B154" t="str">
            <v xml:space="preserve">ENTERTAINMENT: TAH99          </v>
          </cell>
          <cell r="C154">
            <v>641.41</v>
          </cell>
          <cell r="D154">
            <v>0</v>
          </cell>
          <cell r="E154">
            <v>641.41</v>
          </cell>
        </row>
        <row r="155">
          <cell r="A155" t="str">
            <v>5110-ZZZZZ</v>
          </cell>
          <cell r="B155" t="str">
            <v xml:space="preserve">ENTERTAINMENT:                </v>
          </cell>
          <cell r="C155">
            <v>380.18</v>
          </cell>
          <cell r="D155">
            <v>0</v>
          </cell>
          <cell r="E155">
            <v>380.18</v>
          </cell>
        </row>
        <row r="156">
          <cell r="A156" t="str">
            <v>5150-CRO99</v>
          </cell>
          <cell r="B156" t="str">
            <v xml:space="preserve">FEDEX/SHIPPING - DIPS: CRO99  </v>
          </cell>
          <cell r="C156">
            <v>278.25</v>
          </cell>
          <cell r="D156">
            <v>0</v>
          </cell>
          <cell r="E156">
            <v>278.25</v>
          </cell>
        </row>
        <row r="157">
          <cell r="A157" t="str">
            <v>5150-VAL99</v>
          </cell>
          <cell r="B157" t="str">
            <v xml:space="preserve">FEDEX/SHIPPING - DIPS: VAL99  </v>
          </cell>
          <cell r="C157">
            <v>363</v>
          </cell>
          <cell r="D157">
            <v>0</v>
          </cell>
          <cell r="E157">
            <v>363</v>
          </cell>
        </row>
        <row r="158">
          <cell r="A158" t="str">
            <v>5150-ZZZZZ</v>
          </cell>
          <cell r="B158" t="str">
            <v xml:space="preserve">FEDEX/SHIPPING - DIPS:        </v>
          </cell>
          <cell r="C158">
            <v>186.54</v>
          </cell>
          <cell r="D158">
            <v>0</v>
          </cell>
          <cell r="E158">
            <v>186.54</v>
          </cell>
        </row>
        <row r="159">
          <cell r="A159" t="str">
            <v>5160-AMR99</v>
          </cell>
          <cell r="B159" t="str">
            <v>FEDEX/SHIPPING - GENERAL: AMR9</v>
          </cell>
          <cell r="C159">
            <v>11.5</v>
          </cell>
          <cell r="D159">
            <v>0</v>
          </cell>
          <cell r="E159">
            <v>11.5</v>
          </cell>
        </row>
        <row r="160">
          <cell r="A160" t="str">
            <v>5160-CCA99</v>
          </cell>
          <cell r="B160" t="str">
            <v>FEDEX/SHIPPING - GENERAL: CCA9</v>
          </cell>
          <cell r="C160">
            <v>11.5</v>
          </cell>
          <cell r="D160">
            <v>0</v>
          </cell>
          <cell r="E160">
            <v>11.5</v>
          </cell>
        </row>
        <row r="161">
          <cell r="A161" t="str">
            <v>5160-CIT99</v>
          </cell>
          <cell r="B161" t="str">
            <v>FEDEX/SHIPPING - GENERAL: CIT9</v>
          </cell>
          <cell r="C161">
            <v>131.19999999999999</v>
          </cell>
          <cell r="D161">
            <v>0</v>
          </cell>
          <cell r="E161">
            <v>131.19999999999999</v>
          </cell>
        </row>
        <row r="162">
          <cell r="A162" t="str">
            <v>5160-CMT99</v>
          </cell>
          <cell r="B162" t="str">
            <v>FEDEX/SHIPPING - GENERAL: CMT9</v>
          </cell>
          <cell r="C162">
            <v>87.6</v>
          </cell>
          <cell r="D162">
            <v>0</v>
          </cell>
          <cell r="E162">
            <v>87.6</v>
          </cell>
        </row>
        <row r="163">
          <cell r="A163" t="str">
            <v>5160-CRO99</v>
          </cell>
          <cell r="B163" t="str">
            <v>FEDEX/SHIPPING - GENERAL: CRO9</v>
          </cell>
          <cell r="C163">
            <v>397.53</v>
          </cell>
          <cell r="D163">
            <v>0</v>
          </cell>
          <cell r="E163">
            <v>397.53</v>
          </cell>
        </row>
        <row r="164">
          <cell r="A164" t="str">
            <v>5160-DYN99</v>
          </cell>
          <cell r="B164" t="str">
            <v>FEDEX/SHIPPING - GENERAL: DYN9</v>
          </cell>
          <cell r="C164">
            <v>33.450000000000003</v>
          </cell>
          <cell r="D164">
            <v>0</v>
          </cell>
          <cell r="E164">
            <v>33.450000000000003</v>
          </cell>
        </row>
        <row r="165">
          <cell r="A165" t="str">
            <v>5160-GAS99</v>
          </cell>
          <cell r="B165" t="str">
            <v>FEDEX/SHIPPING - GENERAL: GAS9</v>
          </cell>
          <cell r="C165">
            <v>8.65</v>
          </cell>
          <cell r="D165">
            <v>0</v>
          </cell>
          <cell r="E165">
            <v>8.65</v>
          </cell>
        </row>
        <row r="166">
          <cell r="A166" t="str">
            <v>5160-GAT99</v>
          </cell>
          <cell r="B166" t="str">
            <v>FEDEX/SHIPPING - GENERAL: GAT9</v>
          </cell>
          <cell r="C166">
            <v>34.5</v>
          </cell>
          <cell r="D166">
            <v>0</v>
          </cell>
          <cell r="E166">
            <v>34.5</v>
          </cell>
        </row>
        <row r="167">
          <cell r="A167" t="str">
            <v>5160-HOR99</v>
          </cell>
          <cell r="B167" t="str">
            <v>FEDEX/SHIPPING - GENERAL: HOR9</v>
          </cell>
          <cell r="C167">
            <v>318</v>
          </cell>
          <cell r="D167">
            <v>0</v>
          </cell>
          <cell r="E167">
            <v>318</v>
          </cell>
        </row>
        <row r="168">
          <cell r="A168" t="str">
            <v>5160-HYL96</v>
          </cell>
          <cell r="B168" t="str">
            <v xml:space="preserve">FEDEX/SHIPPING - GENERAL:     </v>
          </cell>
          <cell r="C168">
            <v>277</v>
          </cell>
          <cell r="D168">
            <v>0</v>
          </cell>
          <cell r="E168">
            <v>277</v>
          </cell>
        </row>
        <row r="169">
          <cell r="A169" t="str">
            <v>5160-LAK98</v>
          </cell>
          <cell r="B169" t="str">
            <v>FEDEX/SHIPPING - GENERAL: LAK9</v>
          </cell>
          <cell r="C169">
            <v>17.399999999999999</v>
          </cell>
          <cell r="D169">
            <v>0</v>
          </cell>
          <cell r="E169">
            <v>17.399999999999999</v>
          </cell>
        </row>
        <row r="170">
          <cell r="A170" t="str">
            <v>5160-LCB99</v>
          </cell>
          <cell r="B170" t="str">
            <v>FEDEX/SHIPPING - GENERAL: LCB9</v>
          </cell>
          <cell r="C170">
            <v>28.2</v>
          </cell>
          <cell r="D170">
            <v>0</v>
          </cell>
          <cell r="E170">
            <v>28.2</v>
          </cell>
        </row>
        <row r="171">
          <cell r="A171" t="str">
            <v>5160-MGM99</v>
          </cell>
          <cell r="B171" t="str">
            <v>FEDEX/SHIPPING - GENERAL: MGM9</v>
          </cell>
          <cell r="C171">
            <v>190.4</v>
          </cell>
          <cell r="D171">
            <v>0</v>
          </cell>
          <cell r="E171">
            <v>190.4</v>
          </cell>
        </row>
        <row r="172">
          <cell r="A172" t="str">
            <v>5160-TAH99</v>
          </cell>
          <cell r="B172" t="str">
            <v>FEDEX/SHIPPING - GENERAL: TAH9</v>
          </cell>
          <cell r="C172">
            <v>20.100000000000001</v>
          </cell>
          <cell r="D172">
            <v>0</v>
          </cell>
          <cell r="E172">
            <v>20.100000000000001</v>
          </cell>
        </row>
        <row r="173">
          <cell r="A173" t="str">
            <v>5160-ZZZZZ</v>
          </cell>
          <cell r="B173" t="str">
            <v xml:space="preserve">FEDEX/SHIPPING - GENERAL:     </v>
          </cell>
          <cell r="C173">
            <v>511.98</v>
          </cell>
          <cell r="D173">
            <v>0</v>
          </cell>
          <cell r="E173">
            <v>511.98</v>
          </cell>
        </row>
        <row r="174">
          <cell r="A174" t="str">
            <v>5190-HOR99</v>
          </cell>
          <cell r="B174" t="str">
            <v xml:space="preserve">FEDEX/SHIPPING - OM: HOR99    </v>
          </cell>
          <cell r="C174">
            <v>156.05000000000001</v>
          </cell>
          <cell r="D174">
            <v>0</v>
          </cell>
          <cell r="E174">
            <v>156.05000000000001</v>
          </cell>
        </row>
        <row r="175">
          <cell r="A175" t="str">
            <v>5190-LAK98</v>
          </cell>
          <cell r="B175" t="str">
            <v xml:space="preserve">FEDEX/SHIPPING - OM: LAK98    </v>
          </cell>
          <cell r="C175">
            <v>94.85</v>
          </cell>
          <cell r="D175">
            <v>0</v>
          </cell>
          <cell r="E175">
            <v>94.85</v>
          </cell>
        </row>
        <row r="176">
          <cell r="A176" t="str">
            <v>5190-ZZZZZ</v>
          </cell>
          <cell r="B176" t="str">
            <v xml:space="preserve">FEDEX/SHIPPING - OM:          </v>
          </cell>
          <cell r="C176">
            <v>63.72</v>
          </cell>
          <cell r="D176">
            <v>0</v>
          </cell>
          <cell r="E176">
            <v>63.72</v>
          </cell>
        </row>
        <row r="177">
          <cell r="A177" t="str">
            <v>5240-LIB97</v>
          </cell>
          <cell r="B177" t="str">
            <v xml:space="preserve">FEDEX/SHIPPING - TS:          </v>
          </cell>
          <cell r="C177">
            <v>72.25</v>
          </cell>
          <cell r="D177">
            <v>0</v>
          </cell>
          <cell r="E177">
            <v>72.25</v>
          </cell>
        </row>
        <row r="178">
          <cell r="A178" t="str">
            <v>5240-ZZZZZ</v>
          </cell>
          <cell r="B178" t="str">
            <v xml:space="preserve">FEDEX/SHIPPING - TS:          </v>
          </cell>
          <cell r="C178">
            <v>48.44</v>
          </cell>
          <cell r="D178">
            <v>0</v>
          </cell>
          <cell r="E178">
            <v>48.44</v>
          </cell>
        </row>
        <row r="179">
          <cell r="A179" t="str">
            <v>5250-GAT99</v>
          </cell>
          <cell r="B179" t="str">
            <v xml:space="preserve">FEDEX/SHIPPING - UP: GAT99    </v>
          </cell>
          <cell r="C179">
            <v>17.3</v>
          </cell>
          <cell r="D179">
            <v>0</v>
          </cell>
          <cell r="E179">
            <v>17.3</v>
          </cell>
        </row>
        <row r="180">
          <cell r="A180" t="str">
            <v>5250-LAK98</v>
          </cell>
          <cell r="B180" t="str">
            <v xml:space="preserve">FEDEX/SHIPPING - UP: LAK98    </v>
          </cell>
          <cell r="C180">
            <v>65.150000000000006</v>
          </cell>
          <cell r="D180">
            <v>0</v>
          </cell>
          <cell r="E180">
            <v>65.150000000000006</v>
          </cell>
        </row>
        <row r="181">
          <cell r="A181" t="str">
            <v>5250-MLS98</v>
          </cell>
          <cell r="B181" t="str">
            <v xml:space="preserve">FEDEX/SHIPPING - UP: MLS98    </v>
          </cell>
          <cell r="C181">
            <v>8.65</v>
          </cell>
          <cell r="D181">
            <v>0</v>
          </cell>
          <cell r="E181">
            <v>8.65</v>
          </cell>
        </row>
        <row r="182">
          <cell r="A182" t="str">
            <v>5250-VAL99</v>
          </cell>
          <cell r="B182" t="str">
            <v xml:space="preserve">FEDEX/SHIPPING - UP: VAL99    </v>
          </cell>
          <cell r="C182">
            <v>22.2</v>
          </cell>
          <cell r="D182">
            <v>0</v>
          </cell>
          <cell r="E182">
            <v>22.2</v>
          </cell>
        </row>
        <row r="183">
          <cell r="A183" t="str">
            <v>5250-ZZZZZ</v>
          </cell>
          <cell r="B183" t="str">
            <v xml:space="preserve">FEDEX/SHIPPING - UP:          </v>
          </cell>
          <cell r="C183">
            <v>75.959999999999994</v>
          </cell>
          <cell r="D183">
            <v>0</v>
          </cell>
          <cell r="E183">
            <v>75.959999999999994</v>
          </cell>
        </row>
        <row r="184">
          <cell r="A184" t="str">
            <v>5280-CRO99</v>
          </cell>
          <cell r="B184" t="str">
            <v xml:space="preserve">MESSENGER/DELIVERY: CRO99     </v>
          </cell>
          <cell r="C184">
            <v>9</v>
          </cell>
          <cell r="D184">
            <v>0</v>
          </cell>
          <cell r="E184">
            <v>9</v>
          </cell>
        </row>
        <row r="185">
          <cell r="A185" t="str">
            <v>5280-GAT99</v>
          </cell>
          <cell r="B185" t="str">
            <v xml:space="preserve">MESSENGER/DELIVERY: GAT99     </v>
          </cell>
          <cell r="C185">
            <v>9</v>
          </cell>
          <cell r="D185">
            <v>0</v>
          </cell>
          <cell r="E185">
            <v>9</v>
          </cell>
        </row>
        <row r="186">
          <cell r="A186" t="str">
            <v>5280-HOR99</v>
          </cell>
          <cell r="B186" t="str">
            <v xml:space="preserve">MESSENGER/DELIVERY: HOR99     </v>
          </cell>
          <cell r="C186">
            <v>19.75</v>
          </cell>
          <cell r="D186">
            <v>0</v>
          </cell>
          <cell r="E186">
            <v>19.75</v>
          </cell>
        </row>
        <row r="187">
          <cell r="A187" t="str">
            <v>5280-LAK98</v>
          </cell>
          <cell r="B187" t="str">
            <v xml:space="preserve">MESSENGER/DELIVERY: LAK98     </v>
          </cell>
          <cell r="C187">
            <v>50.25</v>
          </cell>
          <cell r="D187">
            <v>0</v>
          </cell>
          <cell r="E187">
            <v>50.25</v>
          </cell>
        </row>
        <row r="188">
          <cell r="A188" t="str">
            <v>5280-LCB99</v>
          </cell>
          <cell r="B188" t="str">
            <v xml:space="preserve">MESSENGER/DELIVERY: LCB99     </v>
          </cell>
          <cell r="C188">
            <v>31.25</v>
          </cell>
          <cell r="D188">
            <v>0</v>
          </cell>
          <cell r="E188">
            <v>31.25</v>
          </cell>
        </row>
        <row r="189">
          <cell r="A189" t="str">
            <v>5280-LIB97</v>
          </cell>
          <cell r="B189" t="str">
            <v xml:space="preserve">MESSENGER/DELIVERY:           </v>
          </cell>
          <cell r="C189">
            <v>50</v>
          </cell>
          <cell r="D189">
            <v>0</v>
          </cell>
          <cell r="E189">
            <v>50</v>
          </cell>
        </row>
        <row r="190">
          <cell r="A190" t="str">
            <v>5280-MGM99</v>
          </cell>
          <cell r="B190" t="str">
            <v xml:space="preserve">MESSENGER/DELIVERY: MGM99     </v>
          </cell>
          <cell r="C190">
            <v>149.25</v>
          </cell>
          <cell r="D190">
            <v>0</v>
          </cell>
          <cell r="E190">
            <v>149.25</v>
          </cell>
        </row>
        <row r="191">
          <cell r="A191" t="str">
            <v>5280-VAL99</v>
          </cell>
          <cell r="B191" t="str">
            <v xml:space="preserve">MESSENGER/DELIVERY: VAL99     </v>
          </cell>
          <cell r="C191">
            <v>48.5</v>
          </cell>
          <cell r="D191">
            <v>0</v>
          </cell>
          <cell r="E191">
            <v>48.5</v>
          </cell>
        </row>
        <row r="192">
          <cell r="A192" t="str">
            <v>5280-ZZZZZ</v>
          </cell>
          <cell r="B192" t="str">
            <v xml:space="preserve">MESSENGER/DELIVERY:           </v>
          </cell>
          <cell r="C192">
            <v>246.03</v>
          </cell>
          <cell r="D192">
            <v>0</v>
          </cell>
          <cell r="E192">
            <v>246.03</v>
          </cell>
        </row>
        <row r="193">
          <cell r="A193" t="str">
            <v>5310-CMT99</v>
          </cell>
          <cell r="B193" t="str">
            <v xml:space="preserve">OFFICE EXPENSE: CMT99         </v>
          </cell>
          <cell r="C193">
            <v>37.5</v>
          </cell>
          <cell r="D193">
            <v>0</v>
          </cell>
          <cell r="E193">
            <v>37.5</v>
          </cell>
        </row>
        <row r="194">
          <cell r="A194" t="str">
            <v>5310-ZZZZZ</v>
          </cell>
          <cell r="B194" t="str">
            <v xml:space="preserve">OFFICE EXPENSE:               </v>
          </cell>
          <cell r="C194">
            <v>25.14</v>
          </cell>
          <cell r="D194">
            <v>0</v>
          </cell>
          <cell r="E194">
            <v>25.14</v>
          </cell>
        </row>
        <row r="195">
          <cell r="A195" t="str">
            <v>5340-AMR99</v>
          </cell>
          <cell r="B195" t="str">
            <v xml:space="preserve">PARKING:                      </v>
          </cell>
          <cell r="C195">
            <v>675</v>
          </cell>
          <cell r="D195">
            <v>0</v>
          </cell>
          <cell r="E195">
            <v>675</v>
          </cell>
        </row>
        <row r="196">
          <cell r="A196" t="str">
            <v>5340-CMT99</v>
          </cell>
          <cell r="B196" t="str">
            <v xml:space="preserve">PARKING: CMT99                </v>
          </cell>
          <cell r="C196">
            <v>45.2</v>
          </cell>
          <cell r="D196">
            <v>0</v>
          </cell>
          <cell r="E196">
            <v>45.2</v>
          </cell>
        </row>
        <row r="197">
          <cell r="A197" t="str">
            <v>5340-CRO99</v>
          </cell>
          <cell r="B197" t="str">
            <v xml:space="preserve">PARKING: CRO99                </v>
          </cell>
          <cell r="C197">
            <v>35.85</v>
          </cell>
          <cell r="D197">
            <v>0</v>
          </cell>
          <cell r="E197">
            <v>35.85</v>
          </cell>
        </row>
        <row r="198">
          <cell r="A198" t="str">
            <v>5340-LAK98</v>
          </cell>
          <cell r="B198" t="str">
            <v xml:space="preserve">PARKING: LAK98                </v>
          </cell>
          <cell r="C198">
            <v>41.86</v>
          </cell>
          <cell r="D198">
            <v>0</v>
          </cell>
          <cell r="E198">
            <v>41.86</v>
          </cell>
        </row>
        <row r="199">
          <cell r="A199" t="str">
            <v>5340-MGM99</v>
          </cell>
          <cell r="B199" t="str">
            <v xml:space="preserve">PARKING: MGM99                </v>
          </cell>
          <cell r="C199">
            <v>26.55</v>
          </cell>
          <cell r="D199">
            <v>0</v>
          </cell>
          <cell r="E199">
            <v>26.55</v>
          </cell>
        </row>
        <row r="200">
          <cell r="A200" t="str">
            <v>5340-PLZ99</v>
          </cell>
          <cell r="B200" t="str">
            <v xml:space="preserve">PARKING: PLZ99                </v>
          </cell>
          <cell r="C200">
            <v>10.95</v>
          </cell>
          <cell r="D200">
            <v>0</v>
          </cell>
          <cell r="E200">
            <v>10.95</v>
          </cell>
        </row>
        <row r="201">
          <cell r="A201" t="str">
            <v>5340-TAH99</v>
          </cell>
          <cell r="B201" t="str">
            <v xml:space="preserve">PARKING: TAH99                </v>
          </cell>
          <cell r="C201">
            <v>77.5</v>
          </cell>
          <cell r="D201">
            <v>0</v>
          </cell>
          <cell r="E201">
            <v>77.5</v>
          </cell>
        </row>
        <row r="202">
          <cell r="A202" t="str">
            <v>5340-ZZZZZ</v>
          </cell>
          <cell r="B202" t="str">
            <v xml:space="preserve">PARKING:                      </v>
          </cell>
          <cell r="C202">
            <v>0</v>
          </cell>
          <cell r="D202">
            <v>46.53</v>
          </cell>
          <cell r="E202">
            <v>-46.53</v>
          </cell>
        </row>
        <row r="203">
          <cell r="A203" t="str">
            <v>5365-LIB97</v>
          </cell>
          <cell r="B203" t="str">
            <v xml:space="preserve">TOMBSTONES:                   </v>
          </cell>
          <cell r="C203">
            <v>4597.0600000000004</v>
          </cell>
          <cell r="D203">
            <v>0</v>
          </cell>
          <cell r="E203">
            <v>4597.0600000000004</v>
          </cell>
        </row>
        <row r="204">
          <cell r="A204" t="str">
            <v>5365-ZZZZZ</v>
          </cell>
          <cell r="B204" t="str">
            <v xml:space="preserve">TOMBSTONES                    </v>
          </cell>
          <cell r="C204">
            <v>3081.82</v>
          </cell>
          <cell r="D204">
            <v>0</v>
          </cell>
          <cell r="E204">
            <v>3081.82</v>
          </cell>
        </row>
        <row r="205">
          <cell r="A205" t="str">
            <v>5370-GAT99</v>
          </cell>
          <cell r="B205" t="str">
            <v xml:space="preserve">PRINTING: GAT99               </v>
          </cell>
          <cell r="C205">
            <v>31.93</v>
          </cell>
          <cell r="D205">
            <v>0</v>
          </cell>
          <cell r="E205">
            <v>31.93</v>
          </cell>
        </row>
        <row r="206">
          <cell r="A206" t="str">
            <v>5400-CRO99</v>
          </cell>
          <cell r="B206" t="str">
            <v xml:space="preserve">PRINTING DIP: CRO99           </v>
          </cell>
          <cell r="C206">
            <v>337.19</v>
          </cell>
          <cell r="D206">
            <v>0</v>
          </cell>
          <cell r="E206">
            <v>337.19</v>
          </cell>
        </row>
        <row r="207">
          <cell r="A207" t="str">
            <v>5400-HOR99</v>
          </cell>
          <cell r="B207" t="str">
            <v xml:space="preserve">PRINTING DIP: HOR99           </v>
          </cell>
          <cell r="C207">
            <v>134.35</v>
          </cell>
          <cell r="D207">
            <v>0</v>
          </cell>
          <cell r="E207">
            <v>134.35</v>
          </cell>
        </row>
        <row r="208">
          <cell r="A208" t="str">
            <v>5400-MGM99</v>
          </cell>
          <cell r="B208" t="str">
            <v xml:space="preserve">PRINTING DIP: MGM99           </v>
          </cell>
          <cell r="C208">
            <v>1878.99</v>
          </cell>
          <cell r="D208">
            <v>0</v>
          </cell>
          <cell r="E208">
            <v>1878.99</v>
          </cell>
        </row>
        <row r="209">
          <cell r="A209" t="str">
            <v>5400-VAL99</v>
          </cell>
          <cell r="B209" t="str">
            <v xml:space="preserve">PRINTING DIP: VAL99           </v>
          </cell>
          <cell r="C209">
            <v>1520.91</v>
          </cell>
          <cell r="D209">
            <v>0</v>
          </cell>
          <cell r="E209">
            <v>1520.91</v>
          </cell>
        </row>
        <row r="210">
          <cell r="A210" t="str">
            <v>5400-ZZZZZ</v>
          </cell>
          <cell r="B210" t="str">
            <v xml:space="preserve">PRINTING DIP:                 </v>
          </cell>
          <cell r="C210">
            <v>2595.37</v>
          </cell>
          <cell r="D210">
            <v>0</v>
          </cell>
          <cell r="E210">
            <v>2595.37</v>
          </cell>
        </row>
        <row r="211">
          <cell r="A211" t="str">
            <v>5420-HOR99</v>
          </cell>
          <cell r="B211" t="str">
            <v xml:space="preserve">PRINTING OFFERING MEMORANDUM: </v>
          </cell>
          <cell r="C211">
            <v>3811.47</v>
          </cell>
          <cell r="D211">
            <v>0</v>
          </cell>
          <cell r="E211">
            <v>3811.47</v>
          </cell>
        </row>
        <row r="212">
          <cell r="A212" t="str">
            <v>5420-ZZZZZ</v>
          </cell>
          <cell r="B212" t="str">
            <v xml:space="preserve">PRINTING OFFERING MEMORANDUM: </v>
          </cell>
          <cell r="C212">
            <v>2555.17</v>
          </cell>
          <cell r="D212">
            <v>0</v>
          </cell>
          <cell r="E212">
            <v>2555.17</v>
          </cell>
        </row>
        <row r="213">
          <cell r="A213" t="str">
            <v>5500-HOR99</v>
          </cell>
          <cell r="B213" t="str">
            <v xml:space="preserve">PHOTOGRAPHY: HOR99            </v>
          </cell>
          <cell r="C213">
            <v>39.97</v>
          </cell>
          <cell r="D213">
            <v>0</v>
          </cell>
          <cell r="E213">
            <v>39.97</v>
          </cell>
        </row>
        <row r="214">
          <cell r="A214" t="str">
            <v>5500-TAH99</v>
          </cell>
          <cell r="B214" t="str">
            <v xml:space="preserve">PHOTOGRAPHY: TAH99            </v>
          </cell>
          <cell r="C214">
            <v>14.96</v>
          </cell>
          <cell r="D214">
            <v>0</v>
          </cell>
          <cell r="E214">
            <v>14.96</v>
          </cell>
        </row>
        <row r="215">
          <cell r="A215" t="str">
            <v>5500-ZZZZZ</v>
          </cell>
          <cell r="B215" t="str">
            <v xml:space="preserve">PHOTOGRAPHY                   </v>
          </cell>
          <cell r="C215">
            <v>26.8</v>
          </cell>
          <cell r="D215">
            <v>0</v>
          </cell>
          <cell r="E215">
            <v>26.8</v>
          </cell>
        </row>
        <row r="216">
          <cell r="A216" t="str">
            <v>5520-CMT99</v>
          </cell>
          <cell r="B216" t="str">
            <v xml:space="preserve">TELEPHONE: CMT99              </v>
          </cell>
          <cell r="C216">
            <v>112.02</v>
          </cell>
          <cell r="D216">
            <v>0</v>
          </cell>
          <cell r="E216">
            <v>112.02</v>
          </cell>
        </row>
        <row r="217">
          <cell r="A217" t="str">
            <v>5520-CRO99</v>
          </cell>
          <cell r="B217" t="str">
            <v xml:space="preserve">TELEPHONE: CRO99              </v>
          </cell>
          <cell r="C217">
            <v>292.68</v>
          </cell>
          <cell r="D217">
            <v>0</v>
          </cell>
          <cell r="E217">
            <v>292.68</v>
          </cell>
        </row>
        <row r="218">
          <cell r="A218" t="str">
            <v>5520-DYN99</v>
          </cell>
          <cell r="B218" t="str">
            <v xml:space="preserve">TELEPHONE: DYN99              </v>
          </cell>
          <cell r="C218">
            <v>146.52000000000001</v>
          </cell>
          <cell r="D218">
            <v>0</v>
          </cell>
          <cell r="E218">
            <v>146.52000000000001</v>
          </cell>
        </row>
        <row r="219">
          <cell r="A219" t="str">
            <v>5520-HOR99</v>
          </cell>
          <cell r="B219" t="str">
            <v xml:space="preserve">TELEPHONE: HOR99              </v>
          </cell>
          <cell r="C219">
            <v>147.47</v>
          </cell>
          <cell r="D219">
            <v>0</v>
          </cell>
          <cell r="E219">
            <v>147.47</v>
          </cell>
        </row>
        <row r="220">
          <cell r="A220" t="str">
            <v>5520-HYL96</v>
          </cell>
          <cell r="B220" t="str">
            <v xml:space="preserve">TELEPHONE:                    </v>
          </cell>
          <cell r="C220">
            <v>350.2</v>
          </cell>
          <cell r="D220">
            <v>0</v>
          </cell>
          <cell r="E220">
            <v>350.2</v>
          </cell>
        </row>
        <row r="221">
          <cell r="A221" t="str">
            <v>5520-LCB99</v>
          </cell>
          <cell r="B221" t="str">
            <v xml:space="preserve">TELEPHONE: LCB99              </v>
          </cell>
          <cell r="C221">
            <v>31.78</v>
          </cell>
          <cell r="D221">
            <v>0</v>
          </cell>
          <cell r="E221">
            <v>31.78</v>
          </cell>
        </row>
        <row r="222">
          <cell r="A222" t="str">
            <v>5520-MGM99</v>
          </cell>
          <cell r="B222" t="str">
            <v xml:space="preserve">TELEPHONE: MGM99              </v>
          </cell>
          <cell r="C222">
            <v>64.38</v>
          </cell>
          <cell r="D222">
            <v>0</v>
          </cell>
          <cell r="E222">
            <v>64.38</v>
          </cell>
        </row>
        <row r="223">
          <cell r="A223" t="str">
            <v>5520-MIL97</v>
          </cell>
          <cell r="B223" t="str">
            <v xml:space="preserve">TELEPHONE:                    </v>
          </cell>
          <cell r="C223">
            <v>446.56</v>
          </cell>
          <cell r="D223">
            <v>0</v>
          </cell>
          <cell r="E223">
            <v>446.56</v>
          </cell>
        </row>
        <row r="224">
          <cell r="A224" t="str">
            <v>5520-PLZ99</v>
          </cell>
          <cell r="B224" t="str">
            <v xml:space="preserve">TELEPHONE: PLZ99              </v>
          </cell>
          <cell r="C224">
            <v>1.94</v>
          </cell>
          <cell r="D224">
            <v>0</v>
          </cell>
          <cell r="E224">
            <v>1.94</v>
          </cell>
        </row>
        <row r="225">
          <cell r="A225" t="str">
            <v>5520-UNI99</v>
          </cell>
          <cell r="B225" t="str">
            <v xml:space="preserve">TELEPHONE: UNI99              </v>
          </cell>
          <cell r="C225">
            <v>69.3</v>
          </cell>
          <cell r="D225">
            <v>0</v>
          </cell>
          <cell r="E225">
            <v>69.3</v>
          </cell>
        </row>
        <row r="226">
          <cell r="A226" t="str">
            <v>5520-ZZZZZ</v>
          </cell>
          <cell r="B226" t="str">
            <v xml:space="preserve">TELEPHONE:                    </v>
          </cell>
          <cell r="C226">
            <v>942.99</v>
          </cell>
          <cell r="D226">
            <v>0</v>
          </cell>
          <cell r="E226">
            <v>942.99</v>
          </cell>
        </row>
        <row r="227">
          <cell r="A227" t="str">
            <v>5540-CMT99</v>
          </cell>
          <cell r="B227" t="str">
            <v xml:space="preserve">TRAVEL: CMT99                 </v>
          </cell>
          <cell r="C227">
            <v>508.94</v>
          </cell>
          <cell r="D227">
            <v>0</v>
          </cell>
          <cell r="E227">
            <v>508.94</v>
          </cell>
        </row>
        <row r="228">
          <cell r="A228" t="str">
            <v>5540-CRO99</v>
          </cell>
          <cell r="B228" t="str">
            <v xml:space="preserve">TRAVEL: CRO99                 </v>
          </cell>
          <cell r="C228">
            <v>551.04999999999995</v>
          </cell>
          <cell r="D228">
            <v>0</v>
          </cell>
          <cell r="E228">
            <v>551.04999999999995</v>
          </cell>
        </row>
        <row r="229">
          <cell r="A229" t="str">
            <v>5540-LAK98</v>
          </cell>
          <cell r="B229" t="str">
            <v xml:space="preserve">TRAVEL: LAK98                 </v>
          </cell>
          <cell r="C229">
            <v>62.79</v>
          </cell>
          <cell r="D229">
            <v>0</v>
          </cell>
          <cell r="E229">
            <v>62.79</v>
          </cell>
        </row>
        <row r="230">
          <cell r="A230" t="str">
            <v>5540-LCB99</v>
          </cell>
          <cell r="B230" t="str">
            <v xml:space="preserve">TRAVEL: LCB99                 </v>
          </cell>
          <cell r="C230">
            <v>191</v>
          </cell>
          <cell r="D230">
            <v>0</v>
          </cell>
          <cell r="E230">
            <v>191</v>
          </cell>
        </row>
        <row r="231">
          <cell r="A231" t="str">
            <v>5540-PLZ99</v>
          </cell>
          <cell r="B231" t="str">
            <v xml:space="preserve">TRAVEL: PLZ99                 </v>
          </cell>
          <cell r="C231">
            <v>26.53</v>
          </cell>
          <cell r="D231">
            <v>0</v>
          </cell>
          <cell r="E231">
            <v>26.53</v>
          </cell>
        </row>
        <row r="232">
          <cell r="A232" t="str">
            <v>5540-TAH99</v>
          </cell>
          <cell r="B232" t="str">
            <v xml:space="preserve">TRAVEL: TAH99                 </v>
          </cell>
          <cell r="C232">
            <v>249.75</v>
          </cell>
          <cell r="D232">
            <v>0</v>
          </cell>
          <cell r="E232">
            <v>249.75</v>
          </cell>
        </row>
        <row r="233">
          <cell r="A233" t="str">
            <v>5540-ZZZZZ</v>
          </cell>
          <cell r="B233" t="str">
            <v xml:space="preserve">TRAVEL:                       </v>
          </cell>
          <cell r="C233">
            <v>28.97</v>
          </cell>
          <cell r="D233">
            <v>0</v>
          </cell>
          <cell r="E233">
            <v>28.97</v>
          </cell>
        </row>
        <row r="234">
          <cell r="A234" t="str">
            <v>5541-CMT99</v>
          </cell>
          <cell r="B234" t="str">
            <v xml:space="preserve">AIR FARE: CMT99               </v>
          </cell>
          <cell r="C234">
            <v>2575.7600000000002</v>
          </cell>
          <cell r="D234">
            <v>0</v>
          </cell>
          <cell r="E234">
            <v>2575.7600000000002</v>
          </cell>
        </row>
        <row r="235">
          <cell r="A235" t="str">
            <v>5541-CRO99</v>
          </cell>
          <cell r="B235" t="str">
            <v xml:space="preserve">AIR FARE: CRO99               </v>
          </cell>
          <cell r="C235">
            <v>4833.45</v>
          </cell>
          <cell r="D235">
            <v>0</v>
          </cell>
          <cell r="E235">
            <v>4833.45</v>
          </cell>
        </row>
        <row r="236">
          <cell r="A236" t="str">
            <v>5541-DYN99</v>
          </cell>
          <cell r="B236" t="str">
            <v xml:space="preserve">AIR FARE: DYN99               </v>
          </cell>
          <cell r="C236">
            <v>464</v>
          </cell>
          <cell r="D236">
            <v>0</v>
          </cell>
          <cell r="E236">
            <v>464</v>
          </cell>
        </row>
        <row r="237">
          <cell r="A237" t="str">
            <v>5541-LAK98</v>
          </cell>
          <cell r="B237" t="str">
            <v xml:space="preserve">AIR FARE: LAK98               </v>
          </cell>
          <cell r="C237">
            <v>84</v>
          </cell>
          <cell r="D237">
            <v>0</v>
          </cell>
          <cell r="E237">
            <v>84</v>
          </cell>
        </row>
        <row r="238">
          <cell r="A238" t="str">
            <v>5541-LCB99</v>
          </cell>
          <cell r="B238" t="str">
            <v xml:space="preserve">AIR FARE: LCB99               </v>
          </cell>
          <cell r="C238">
            <v>1673.75</v>
          </cell>
          <cell r="D238">
            <v>0</v>
          </cell>
          <cell r="E238">
            <v>1673.75</v>
          </cell>
        </row>
        <row r="239">
          <cell r="A239" t="str">
            <v>5541-PLZ99</v>
          </cell>
          <cell r="B239" t="str">
            <v xml:space="preserve">AIR FARE: PLZ99               </v>
          </cell>
          <cell r="C239">
            <v>306.39999999999998</v>
          </cell>
          <cell r="D239">
            <v>0</v>
          </cell>
          <cell r="E239">
            <v>306.39999999999998</v>
          </cell>
        </row>
        <row r="240">
          <cell r="A240" t="str">
            <v>5541-SER99</v>
          </cell>
          <cell r="B240" t="str">
            <v xml:space="preserve">AIR FARE: SER99               </v>
          </cell>
          <cell r="C240">
            <v>588.49</v>
          </cell>
          <cell r="D240">
            <v>0</v>
          </cell>
          <cell r="E240">
            <v>588.49</v>
          </cell>
        </row>
        <row r="241">
          <cell r="A241" t="str">
            <v>5541-TAH99</v>
          </cell>
          <cell r="B241" t="str">
            <v xml:space="preserve">AIR FARE: TAH99               </v>
          </cell>
          <cell r="C241">
            <v>1789</v>
          </cell>
          <cell r="D241">
            <v>0</v>
          </cell>
          <cell r="E241">
            <v>1789</v>
          </cell>
        </row>
        <row r="242">
          <cell r="A242" t="str">
            <v>5541-UNI99</v>
          </cell>
          <cell r="B242" t="str">
            <v xml:space="preserve">AIR FARE: UNI99               </v>
          </cell>
          <cell r="C242">
            <v>663.58</v>
          </cell>
          <cell r="D242">
            <v>0</v>
          </cell>
          <cell r="E242">
            <v>663.58</v>
          </cell>
        </row>
        <row r="243">
          <cell r="A243" t="str">
            <v>5541-ZZZZZ</v>
          </cell>
          <cell r="B243" t="str">
            <v xml:space="preserve">AIR FARE                      </v>
          </cell>
          <cell r="C243">
            <v>2725.31</v>
          </cell>
          <cell r="D243">
            <v>0</v>
          </cell>
          <cell r="E243">
            <v>2725.31</v>
          </cell>
        </row>
        <row r="244">
          <cell r="A244" t="str">
            <v>5542-CMT99</v>
          </cell>
          <cell r="B244" t="str">
            <v xml:space="preserve">LODGING: CMT99                </v>
          </cell>
          <cell r="C244">
            <v>1880.24</v>
          </cell>
          <cell r="D244">
            <v>0</v>
          </cell>
          <cell r="E244">
            <v>1880.24</v>
          </cell>
        </row>
        <row r="245">
          <cell r="A245" t="str">
            <v>5542-CRO99</v>
          </cell>
          <cell r="B245" t="str">
            <v xml:space="preserve">LODGING: CRO99                </v>
          </cell>
          <cell r="C245">
            <v>1467.97</v>
          </cell>
          <cell r="D245">
            <v>0</v>
          </cell>
          <cell r="E245">
            <v>1467.97</v>
          </cell>
        </row>
        <row r="246">
          <cell r="A246" t="str">
            <v>5542-LAK98</v>
          </cell>
          <cell r="B246" t="str">
            <v xml:space="preserve">LODGING: LAK98                </v>
          </cell>
          <cell r="C246">
            <v>78.03</v>
          </cell>
          <cell r="D246">
            <v>0</v>
          </cell>
          <cell r="E246">
            <v>78.03</v>
          </cell>
        </row>
        <row r="247">
          <cell r="A247" t="str">
            <v>5542-LCB99</v>
          </cell>
          <cell r="B247" t="str">
            <v xml:space="preserve">LODGING: LCB99                </v>
          </cell>
          <cell r="C247">
            <v>408.24</v>
          </cell>
          <cell r="D247">
            <v>0</v>
          </cell>
          <cell r="E247">
            <v>408.24</v>
          </cell>
        </row>
        <row r="248">
          <cell r="A248" t="str">
            <v>5542-PLZ99</v>
          </cell>
          <cell r="B248" t="str">
            <v xml:space="preserve">LODGING: PLZ99                </v>
          </cell>
          <cell r="C248">
            <v>82.75</v>
          </cell>
          <cell r="D248">
            <v>0</v>
          </cell>
          <cell r="E248">
            <v>82.75</v>
          </cell>
        </row>
        <row r="249">
          <cell r="A249" t="str">
            <v>5542-TAH99</v>
          </cell>
          <cell r="B249" t="str">
            <v xml:space="preserve">LODGING: TAH99                </v>
          </cell>
          <cell r="C249">
            <v>385.45</v>
          </cell>
          <cell r="D249">
            <v>0</v>
          </cell>
          <cell r="E249">
            <v>385.45</v>
          </cell>
        </row>
        <row r="250">
          <cell r="A250" t="str">
            <v>5542-UNI99</v>
          </cell>
          <cell r="B250" t="str">
            <v xml:space="preserve">LODGING: UNI99                </v>
          </cell>
          <cell r="C250">
            <v>1109.0899999999999</v>
          </cell>
          <cell r="D250">
            <v>0</v>
          </cell>
          <cell r="E250">
            <v>1109.0899999999999</v>
          </cell>
        </row>
        <row r="251">
          <cell r="A251" t="str">
            <v>5542-ZZZZZ</v>
          </cell>
          <cell r="B251" t="str">
            <v xml:space="preserve">LODGING                       </v>
          </cell>
          <cell r="C251">
            <v>1359.08</v>
          </cell>
          <cell r="D251">
            <v>0</v>
          </cell>
          <cell r="E251">
            <v>1359.08</v>
          </cell>
        </row>
        <row r="252">
          <cell r="A252" t="str">
            <v>7000-00000</v>
          </cell>
          <cell r="B252" t="str">
            <v xml:space="preserve">ACCOUNTING                    </v>
          </cell>
          <cell r="C252">
            <v>0</v>
          </cell>
          <cell r="D252">
            <v>3430.5</v>
          </cell>
          <cell r="E252">
            <v>-3430.5</v>
          </cell>
        </row>
        <row r="253">
          <cell r="A253" t="str">
            <v>7000-JNR98</v>
          </cell>
          <cell r="B253" t="str">
            <v xml:space="preserve">ACCOUNTING: JNR98             </v>
          </cell>
          <cell r="C253">
            <v>612.5</v>
          </cell>
          <cell r="D253">
            <v>0</v>
          </cell>
          <cell r="E253">
            <v>612.5</v>
          </cell>
        </row>
        <row r="254">
          <cell r="A254" t="str">
            <v>7000-MEXP9</v>
          </cell>
          <cell r="B254" t="str">
            <v xml:space="preserve">ACCOUNTING: MEXP9             </v>
          </cell>
          <cell r="C254">
            <v>2137.5</v>
          </cell>
          <cell r="D254">
            <v>0</v>
          </cell>
          <cell r="E254">
            <v>2137.5</v>
          </cell>
        </row>
        <row r="255">
          <cell r="A255" t="str">
            <v>7000-NYO97</v>
          </cell>
          <cell r="B255" t="str">
            <v xml:space="preserve">ACCOUNTING:                   </v>
          </cell>
          <cell r="C255">
            <v>118.5</v>
          </cell>
          <cell r="D255">
            <v>0</v>
          </cell>
          <cell r="E255">
            <v>118.5</v>
          </cell>
        </row>
        <row r="256">
          <cell r="A256" t="str">
            <v>7000-ZZZZZ</v>
          </cell>
          <cell r="B256" t="str">
            <v xml:space="preserve">ACCOUNTING:                   </v>
          </cell>
          <cell r="C256">
            <v>4742</v>
          </cell>
          <cell r="D256">
            <v>0</v>
          </cell>
          <cell r="E256">
            <v>4742</v>
          </cell>
        </row>
        <row r="257">
          <cell r="A257" t="str">
            <v>7010-00000</v>
          </cell>
          <cell r="B257" t="str">
            <v xml:space="preserve">ADP CHARGES                   </v>
          </cell>
          <cell r="C257">
            <v>523.04</v>
          </cell>
          <cell r="D257">
            <v>0</v>
          </cell>
          <cell r="E257">
            <v>523.04</v>
          </cell>
        </row>
        <row r="258">
          <cell r="A258" t="str">
            <v>7020-00000</v>
          </cell>
          <cell r="B258" t="str">
            <v xml:space="preserve">ADVERTISING                   </v>
          </cell>
          <cell r="C258">
            <v>7552.51</v>
          </cell>
          <cell r="D258">
            <v>0</v>
          </cell>
          <cell r="E258">
            <v>7552.51</v>
          </cell>
        </row>
        <row r="259">
          <cell r="A259" t="str">
            <v>7020-ZZZZZ</v>
          </cell>
          <cell r="B259" t="str">
            <v xml:space="preserve">ADVERTISING:                  </v>
          </cell>
          <cell r="C259">
            <v>2306.2800000000002</v>
          </cell>
          <cell r="D259">
            <v>0</v>
          </cell>
          <cell r="E259">
            <v>2306.2800000000002</v>
          </cell>
        </row>
        <row r="260">
          <cell r="A260" t="str">
            <v>7050-00000</v>
          </cell>
          <cell r="B260" t="str">
            <v xml:space="preserve">BANK SERVICE CHARGE           </v>
          </cell>
          <cell r="C260">
            <v>2024.84</v>
          </cell>
          <cell r="D260">
            <v>0</v>
          </cell>
          <cell r="E260">
            <v>2024.84</v>
          </cell>
        </row>
        <row r="261">
          <cell r="A261" t="str">
            <v>7060-00000</v>
          </cell>
          <cell r="B261" t="str">
            <v xml:space="preserve">CONTINUING EDUCATION - PROF   </v>
          </cell>
          <cell r="C261">
            <v>30</v>
          </cell>
          <cell r="D261">
            <v>0</v>
          </cell>
          <cell r="E261">
            <v>30</v>
          </cell>
        </row>
        <row r="262">
          <cell r="A262" t="str">
            <v>7060-NBSA9</v>
          </cell>
          <cell r="B262" t="str">
            <v>CONTINUING EDUCATION - PROF: N</v>
          </cell>
          <cell r="C262">
            <v>1300</v>
          </cell>
          <cell r="D262">
            <v>0</v>
          </cell>
          <cell r="E262">
            <v>1300</v>
          </cell>
        </row>
        <row r="263">
          <cell r="A263" t="str">
            <v>7060-ZZZZZ</v>
          </cell>
          <cell r="B263" t="str">
            <v xml:space="preserve">CONTINUING EDUCATION - PROF   </v>
          </cell>
          <cell r="C263">
            <v>20.11</v>
          </cell>
          <cell r="D263">
            <v>0</v>
          </cell>
          <cell r="E263">
            <v>20.11</v>
          </cell>
        </row>
        <row r="264">
          <cell r="A264" t="str">
            <v>7061-00000</v>
          </cell>
          <cell r="B264" t="str">
            <v xml:space="preserve">CONFERENCE SPONSORSHIP:       </v>
          </cell>
          <cell r="C264">
            <v>1500</v>
          </cell>
          <cell r="D264">
            <v>0</v>
          </cell>
          <cell r="E264">
            <v>1500</v>
          </cell>
        </row>
        <row r="265">
          <cell r="A265" t="str">
            <v>7061-ZZZZZ</v>
          </cell>
          <cell r="B265" t="str">
            <v xml:space="preserve">CONFERENCE SPONSORSHIP:       </v>
          </cell>
          <cell r="C265">
            <v>1005.58</v>
          </cell>
          <cell r="D265">
            <v>0</v>
          </cell>
          <cell r="E265">
            <v>1005.58</v>
          </cell>
        </row>
        <row r="266">
          <cell r="A266" t="str">
            <v>7090-00000</v>
          </cell>
          <cell r="B266" t="str">
            <v xml:space="preserve">DUES &amp; SUBSCRIPTIONS          </v>
          </cell>
          <cell r="C266">
            <v>7730.07</v>
          </cell>
          <cell r="D266">
            <v>0</v>
          </cell>
          <cell r="E266">
            <v>7730.07</v>
          </cell>
        </row>
        <row r="267">
          <cell r="A267" t="str">
            <v>7090-NYO97</v>
          </cell>
          <cell r="B267" t="str">
            <v xml:space="preserve">DUES &amp; SUBSCRIPTIONS:         </v>
          </cell>
          <cell r="C267">
            <v>7192</v>
          </cell>
          <cell r="D267">
            <v>0</v>
          </cell>
          <cell r="E267">
            <v>7192</v>
          </cell>
        </row>
        <row r="268">
          <cell r="A268" t="str">
            <v>7090-ZZZZZ</v>
          </cell>
          <cell r="B268" t="str">
            <v xml:space="preserve">DUES &amp; SUBSCRIPTIONS          </v>
          </cell>
          <cell r="C268">
            <v>4874.82</v>
          </cell>
          <cell r="D268">
            <v>0</v>
          </cell>
          <cell r="E268">
            <v>4874.82</v>
          </cell>
        </row>
        <row r="269">
          <cell r="A269" t="str">
            <v>7100-00000</v>
          </cell>
          <cell r="B269" t="str">
            <v xml:space="preserve">ENTERTAINMENT                 </v>
          </cell>
          <cell r="C269">
            <v>2709.88</v>
          </cell>
          <cell r="D269">
            <v>0</v>
          </cell>
          <cell r="E269">
            <v>2709.88</v>
          </cell>
        </row>
        <row r="270">
          <cell r="A270" t="str">
            <v>7100-FAM97</v>
          </cell>
          <cell r="B270" t="str">
            <v xml:space="preserve">ENTERTAINMENT:                </v>
          </cell>
          <cell r="C270">
            <v>255.73</v>
          </cell>
          <cell r="D270">
            <v>0</v>
          </cell>
          <cell r="E270">
            <v>255.73</v>
          </cell>
        </row>
        <row r="271">
          <cell r="A271" t="str">
            <v>7100-FRNP9</v>
          </cell>
          <cell r="B271" t="str">
            <v xml:space="preserve">ENTERTAINMENT:                </v>
          </cell>
          <cell r="C271">
            <v>415.33</v>
          </cell>
          <cell r="D271">
            <v>0</v>
          </cell>
          <cell r="E271">
            <v>415.33</v>
          </cell>
        </row>
        <row r="272">
          <cell r="A272" t="str">
            <v>7100-HTL97</v>
          </cell>
          <cell r="B272" t="str">
            <v xml:space="preserve">ENTERTAINMENT:                </v>
          </cell>
          <cell r="C272">
            <v>128.44999999999999</v>
          </cell>
          <cell r="D272">
            <v>0</v>
          </cell>
          <cell r="E272">
            <v>128.44999999999999</v>
          </cell>
        </row>
        <row r="273">
          <cell r="A273" t="str">
            <v>7100-JNR98</v>
          </cell>
          <cell r="B273" t="str">
            <v xml:space="preserve">ENTERTAINMENT: JNR98          </v>
          </cell>
          <cell r="C273">
            <v>3151.63</v>
          </cell>
          <cell r="D273">
            <v>0</v>
          </cell>
          <cell r="E273">
            <v>3151.63</v>
          </cell>
        </row>
        <row r="274">
          <cell r="A274" t="str">
            <v>7100-JPNP7</v>
          </cell>
          <cell r="B274" t="str">
            <v xml:space="preserve">ENTERTAINMENT:                </v>
          </cell>
          <cell r="C274">
            <v>313</v>
          </cell>
          <cell r="D274">
            <v>0</v>
          </cell>
          <cell r="E274">
            <v>313</v>
          </cell>
        </row>
        <row r="275">
          <cell r="A275" t="str">
            <v>7100-NBS97</v>
          </cell>
          <cell r="B275" t="str">
            <v xml:space="preserve">ENTERTAINMENT:                </v>
          </cell>
          <cell r="C275">
            <v>1106.01</v>
          </cell>
          <cell r="D275">
            <v>0</v>
          </cell>
          <cell r="E275">
            <v>1106.01</v>
          </cell>
        </row>
        <row r="276">
          <cell r="A276" t="str">
            <v>7100-NBSA9</v>
          </cell>
          <cell r="B276" t="str">
            <v xml:space="preserve">ENTERTAINMENT: NBSA9          </v>
          </cell>
          <cell r="C276">
            <v>912.62</v>
          </cell>
          <cell r="D276">
            <v>0</v>
          </cell>
          <cell r="E276">
            <v>912.62</v>
          </cell>
        </row>
        <row r="277">
          <cell r="A277" t="str">
            <v>7100-ZZZZZ</v>
          </cell>
          <cell r="B277" t="str">
            <v xml:space="preserve">ENTERTAINMENT:                </v>
          </cell>
          <cell r="C277">
            <v>3491.57</v>
          </cell>
          <cell r="D277">
            <v>0</v>
          </cell>
          <cell r="E277">
            <v>3491.57</v>
          </cell>
        </row>
        <row r="278">
          <cell r="A278" t="str">
            <v>7110-00000</v>
          </cell>
          <cell r="B278" t="str">
            <v xml:space="preserve">ENTERTAINMENT/PARTIES         </v>
          </cell>
          <cell r="C278">
            <v>691.98</v>
          </cell>
          <cell r="D278">
            <v>0</v>
          </cell>
          <cell r="E278">
            <v>691.98</v>
          </cell>
        </row>
        <row r="279">
          <cell r="A279" t="str">
            <v>7110-NYO97</v>
          </cell>
          <cell r="B279" t="str">
            <v xml:space="preserve">ENTERTAINMENT/PARTIES:        </v>
          </cell>
          <cell r="C279">
            <v>1401</v>
          </cell>
          <cell r="D279">
            <v>0</v>
          </cell>
          <cell r="E279">
            <v>1401</v>
          </cell>
        </row>
        <row r="280">
          <cell r="A280" t="str">
            <v>7110-ZZZZZ</v>
          </cell>
          <cell r="B280" t="str">
            <v xml:space="preserve">ENTERTAINMENT/PARTIES         </v>
          </cell>
          <cell r="C280">
            <v>1356.18</v>
          </cell>
          <cell r="D280">
            <v>0</v>
          </cell>
          <cell r="E280">
            <v>1356.18</v>
          </cell>
        </row>
        <row r="281">
          <cell r="A281" t="str">
            <v>7115-00000</v>
          </cell>
          <cell r="B281" t="str">
            <v>ENTERTAINMENT/PARTIES INTERNAL</v>
          </cell>
          <cell r="C281">
            <v>2538.04</v>
          </cell>
          <cell r="D281">
            <v>0</v>
          </cell>
          <cell r="E281">
            <v>2538.04</v>
          </cell>
        </row>
        <row r="282">
          <cell r="A282" t="str">
            <v>7115-NBSA9</v>
          </cell>
          <cell r="B282" t="str">
            <v>ENTERTAINMENT/PARTIES INTERNAL</v>
          </cell>
          <cell r="C282">
            <v>300</v>
          </cell>
          <cell r="D282">
            <v>0</v>
          </cell>
          <cell r="E282">
            <v>300</v>
          </cell>
        </row>
        <row r="283">
          <cell r="A283" t="str">
            <v>7115-ZZZZZ</v>
          </cell>
          <cell r="B283" t="str">
            <v>ENTERTAINMENT/PARTIES INTERNAL</v>
          </cell>
          <cell r="C283">
            <v>252.18</v>
          </cell>
          <cell r="D283">
            <v>0</v>
          </cell>
          <cell r="E283">
            <v>252.18</v>
          </cell>
        </row>
        <row r="284">
          <cell r="A284" t="str">
            <v>7120-00000</v>
          </cell>
          <cell r="B284" t="str">
            <v xml:space="preserve">EQUIPMENT RENTAL              </v>
          </cell>
          <cell r="C284">
            <v>8203.0499999999993</v>
          </cell>
          <cell r="D284">
            <v>0</v>
          </cell>
          <cell r="E284">
            <v>8203.0499999999993</v>
          </cell>
        </row>
        <row r="285">
          <cell r="A285" t="str">
            <v>7120-NYO97</v>
          </cell>
          <cell r="B285" t="str">
            <v xml:space="preserve">EQUIPMENT RENTAL:             </v>
          </cell>
          <cell r="C285">
            <v>658.16</v>
          </cell>
          <cell r="D285">
            <v>0</v>
          </cell>
          <cell r="E285">
            <v>658.16</v>
          </cell>
        </row>
        <row r="286">
          <cell r="A286" t="str">
            <v>7120-ZZZZZ</v>
          </cell>
          <cell r="B286" t="str">
            <v xml:space="preserve">EQUIPMENT RENTAL              </v>
          </cell>
          <cell r="C286">
            <v>4270.16</v>
          </cell>
          <cell r="D286">
            <v>0</v>
          </cell>
          <cell r="E286">
            <v>4270.16</v>
          </cell>
        </row>
        <row r="287">
          <cell r="A287" t="str">
            <v>7130-00000</v>
          </cell>
          <cell r="B287" t="str">
            <v xml:space="preserve">GIFTS - PROMOTIONAL           </v>
          </cell>
          <cell r="C287">
            <v>2329.67</v>
          </cell>
          <cell r="D287">
            <v>0</v>
          </cell>
          <cell r="E287">
            <v>2329.67</v>
          </cell>
        </row>
        <row r="288">
          <cell r="A288" t="str">
            <v>7130-ZZZZZ</v>
          </cell>
          <cell r="B288" t="str">
            <v xml:space="preserve">GIFTS - PROMOTIONAL           </v>
          </cell>
          <cell r="C288">
            <v>1497.98</v>
          </cell>
          <cell r="D288">
            <v>0</v>
          </cell>
          <cell r="E288">
            <v>1497.98</v>
          </cell>
        </row>
        <row r="289">
          <cell r="A289" t="str">
            <v>7140-00000</v>
          </cell>
          <cell r="B289" t="str">
            <v xml:space="preserve">HUMAN RESOURCE CONSULTING     </v>
          </cell>
          <cell r="C289">
            <v>16030.45</v>
          </cell>
          <cell r="D289">
            <v>0</v>
          </cell>
          <cell r="E289">
            <v>16030.45</v>
          </cell>
        </row>
        <row r="290">
          <cell r="A290" t="str">
            <v>7140-ZZZZZ</v>
          </cell>
          <cell r="B290" t="str">
            <v xml:space="preserve">HUMAN RESOURCE CONSULTING:    </v>
          </cell>
          <cell r="C290">
            <v>0</v>
          </cell>
          <cell r="D290">
            <v>7678.5</v>
          </cell>
          <cell r="E290">
            <v>-7678.5</v>
          </cell>
        </row>
        <row r="291">
          <cell r="A291" t="str">
            <v>7145-NBSA9</v>
          </cell>
          <cell r="B291" t="str">
            <v xml:space="preserve">RECRUITING EXPENSE: NBSA9     </v>
          </cell>
          <cell r="C291">
            <v>98.26</v>
          </cell>
          <cell r="D291">
            <v>0</v>
          </cell>
          <cell r="E291">
            <v>98.26</v>
          </cell>
        </row>
        <row r="292">
          <cell r="A292" t="str">
            <v>7150-00000</v>
          </cell>
          <cell r="B292" t="str">
            <v xml:space="preserve">INSURANCE - DENTAL            </v>
          </cell>
          <cell r="C292">
            <v>1963.8</v>
          </cell>
          <cell r="D292">
            <v>0</v>
          </cell>
          <cell r="E292">
            <v>1963.8</v>
          </cell>
        </row>
        <row r="293">
          <cell r="A293" t="str">
            <v>7150-FRN97</v>
          </cell>
          <cell r="B293" t="str">
            <v xml:space="preserve">INSURANCE - DENTAL: FRN-SAR   </v>
          </cell>
          <cell r="C293">
            <v>58.03</v>
          </cell>
          <cell r="D293">
            <v>0</v>
          </cell>
          <cell r="E293">
            <v>58.03</v>
          </cell>
        </row>
        <row r="294">
          <cell r="A294" t="str">
            <v>7150-JPNP7</v>
          </cell>
          <cell r="B294" t="str">
            <v xml:space="preserve">INSURANCE - DENTAL: JPN-RK    </v>
          </cell>
          <cell r="C294">
            <v>8.6999999999999993</v>
          </cell>
          <cell r="D294">
            <v>0</v>
          </cell>
          <cell r="E294">
            <v>8.6999999999999993</v>
          </cell>
        </row>
        <row r="295">
          <cell r="A295" t="str">
            <v>7150-NYO97</v>
          </cell>
          <cell r="B295" t="str">
            <v xml:space="preserve">INSURANCE - DENTAL: NY        </v>
          </cell>
          <cell r="C295">
            <v>346.37</v>
          </cell>
          <cell r="D295">
            <v>0</v>
          </cell>
          <cell r="E295">
            <v>346.37</v>
          </cell>
        </row>
        <row r="296">
          <cell r="A296" t="str">
            <v>7150-USP99</v>
          </cell>
          <cell r="B296" t="str">
            <v xml:space="preserve">INSURANCE - DENTAL: USP-RK    </v>
          </cell>
          <cell r="C296">
            <v>17.41</v>
          </cell>
          <cell r="D296">
            <v>0</v>
          </cell>
          <cell r="E296">
            <v>17.41</v>
          </cell>
        </row>
        <row r="297">
          <cell r="A297" t="str">
            <v>7151-FRN97</v>
          </cell>
          <cell r="B297" t="str">
            <v xml:space="preserve">INSURANCE - DENTAL: FRN-RK    </v>
          </cell>
          <cell r="C297">
            <v>8.6999999999999993</v>
          </cell>
          <cell r="D297">
            <v>0</v>
          </cell>
          <cell r="E297">
            <v>8.6999999999999993</v>
          </cell>
        </row>
        <row r="298">
          <cell r="A298" t="str">
            <v>7151-JPNP7</v>
          </cell>
          <cell r="B298" t="str">
            <v xml:space="preserve">INSURANCE - DENTAL: JPN-MVK   </v>
          </cell>
          <cell r="C298">
            <v>29.01</v>
          </cell>
          <cell r="D298">
            <v>0</v>
          </cell>
          <cell r="E298">
            <v>29.01</v>
          </cell>
        </row>
        <row r="299">
          <cell r="A299" t="str">
            <v>7151-USP99</v>
          </cell>
          <cell r="B299" t="str">
            <v xml:space="preserve">INSURANCE - DENTAL: USP-ML    </v>
          </cell>
          <cell r="C299">
            <v>11.43</v>
          </cell>
          <cell r="D299">
            <v>0</v>
          </cell>
          <cell r="E299">
            <v>11.43</v>
          </cell>
        </row>
        <row r="300">
          <cell r="A300" t="str">
            <v>7152-FRN97</v>
          </cell>
          <cell r="B300" t="str">
            <v xml:space="preserve">INSURANCE - DENTAL: FRN-BH    </v>
          </cell>
          <cell r="C300">
            <v>38.090000000000003</v>
          </cell>
          <cell r="D300">
            <v>0</v>
          </cell>
          <cell r="E300">
            <v>38.090000000000003</v>
          </cell>
        </row>
        <row r="301">
          <cell r="A301" t="str">
            <v>7152-JPNP7</v>
          </cell>
          <cell r="B301" t="str">
            <v xml:space="preserve">INSURANCE - DENTAL: JPN-MK    </v>
          </cell>
          <cell r="C301">
            <v>11.43</v>
          </cell>
          <cell r="D301">
            <v>0</v>
          </cell>
          <cell r="E301">
            <v>11.43</v>
          </cell>
        </row>
        <row r="302">
          <cell r="A302" t="str">
            <v>7160-00000</v>
          </cell>
          <cell r="B302" t="str">
            <v xml:space="preserve">INSURANCE - HEALTH            </v>
          </cell>
          <cell r="C302">
            <v>7194.35</v>
          </cell>
          <cell r="D302">
            <v>0</v>
          </cell>
          <cell r="E302">
            <v>7194.35</v>
          </cell>
        </row>
        <row r="303">
          <cell r="A303" t="str">
            <v>7160-FRN97</v>
          </cell>
          <cell r="B303" t="str">
            <v xml:space="preserve">INSURANCE - HEALTH: FRN-SAR   </v>
          </cell>
          <cell r="C303">
            <v>248.04</v>
          </cell>
          <cell r="D303">
            <v>0</v>
          </cell>
          <cell r="E303">
            <v>248.04</v>
          </cell>
        </row>
        <row r="304">
          <cell r="A304" t="str">
            <v>7160-JPNP7</v>
          </cell>
          <cell r="B304" t="str">
            <v xml:space="preserve">INSURANCE - HEALTH: JPN-MVK   </v>
          </cell>
          <cell r="C304">
            <v>113.1</v>
          </cell>
          <cell r="D304">
            <v>0</v>
          </cell>
          <cell r="E304">
            <v>113.1</v>
          </cell>
        </row>
        <row r="305">
          <cell r="A305" t="str">
            <v>7160-NYO97</v>
          </cell>
          <cell r="B305" t="str">
            <v xml:space="preserve">INSURANCE - HEALTH: NY        </v>
          </cell>
          <cell r="C305">
            <v>1461.36</v>
          </cell>
          <cell r="D305">
            <v>0</v>
          </cell>
          <cell r="E305">
            <v>1461.36</v>
          </cell>
        </row>
        <row r="306">
          <cell r="A306" t="str">
            <v>7160-USP99</v>
          </cell>
          <cell r="B306" t="str">
            <v xml:space="preserve">INSURANCE - HEALTH: USP-RK    </v>
          </cell>
          <cell r="C306">
            <v>67.86</v>
          </cell>
          <cell r="D306">
            <v>0</v>
          </cell>
          <cell r="E306">
            <v>67.86</v>
          </cell>
        </row>
        <row r="307">
          <cell r="A307" t="str">
            <v>7161-FRN97</v>
          </cell>
          <cell r="B307" t="str">
            <v xml:space="preserve">INSURANCE - HEALTH: FRN-RK    </v>
          </cell>
          <cell r="C307">
            <v>33.92</v>
          </cell>
          <cell r="D307">
            <v>0</v>
          </cell>
          <cell r="E307">
            <v>33.92</v>
          </cell>
        </row>
        <row r="308">
          <cell r="A308" t="str">
            <v>7161-JPNP7</v>
          </cell>
          <cell r="B308" t="str">
            <v xml:space="preserve">INSURANCE - HEALTH: JPN-RK    </v>
          </cell>
          <cell r="C308">
            <v>33.93</v>
          </cell>
          <cell r="D308">
            <v>0</v>
          </cell>
          <cell r="E308">
            <v>33.93</v>
          </cell>
        </row>
        <row r="309">
          <cell r="A309" t="str">
            <v>7161-USP99</v>
          </cell>
          <cell r="B309" t="str">
            <v xml:space="preserve">INSURANCE - HEALTH: USP-ML    </v>
          </cell>
          <cell r="C309">
            <v>15.76</v>
          </cell>
          <cell r="D309">
            <v>0</v>
          </cell>
          <cell r="E309">
            <v>15.76</v>
          </cell>
        </row>
        <row r="310">
          <cell r="A310" t="str">
            <v>7162-FRN97</v>
          </cell>
          <cell r="B310" t="str">
            <v xml:space="preserve">INSURANCE - HEALTH: FRN-BH    </v>
          </cell>
          <cell r="C310">
            <v>187.38</v>
          </cell>
          <cell r="D310">
            <v>0</v>
          </cell>
          <cell r="E310">
            <v>187.38</v>
          </cell>
        </row>
        <row r="311">
          <cell r="A311" t="str">
            <v>7162-JPNP7</v>
          </cell>
          <cell r="B311" t="str">
            <v xml:space="preserve">INSURANCE - HEALTH: JPN-MK    </v>
          </cell>
          <cell r="C311">
            <v>29.74</v>
          </cell>
          <cell r="D311">
            <v>0</v>
          </cell>
          <cell r="E311">
            <v>29.74</v>
          </cell>
        </row>
        <row r="312">
          <cell r="A312" t="str">
            <v>7170-00000</v>
          </cell>
          <cell r="B312" t="str">
            <v xml:space="preserve">INSURANCE - OTHER             </v>
          </cell>
          <cell r="C312">
            <v>15029.37</v>
          </cell>
          <cell r="D312">
            <v>0</v>
          </cell>
          <cell r="E312">
            <v>15029.37</v>
          </cell>
        </row>
        <row r="313">
          <cell r="A313" t="str">
            <v>7170-NYO97</v>
          </cell>
          <cell r="B313" t="str">
            <v xml:space="preserve">INSURANCE - OTHER:            </v>
          </cell>
          <cell r="C313">
            <v>126.45</v>
          </cell>
          <cell r="D313">
            <v>0</v>
          </cell>
          <cell r="E313">
            <v>126.45</v>
          </cell>
        </row>
        <row r="314">
          <cell r="A314" t="str">
            <v>7170-ZZZZZ</v>
          </cell>
          <cell r="B314" t="str">
            <v xml:space="preserve">INSURANCE - OTHER             </v>
          </cell>
          <cell r="C314">
            <v>4020.4</v>
          </cell>
          <cell r="D314">
            <v>0</v>
          </cell>
          <cell r="E314">
            <v>4020.4</v>
          </cell>
        </row>
        <row r="315">
          <cell r="A315" t="str">
            <v>7185-00000</v>
          </cell>
          <cell r="B315" t="str">
            <v xml:space="preserve">INTERNET                      </v>
          </cell>
          <cell r="C315">
            <v>3128.7</v>
          </cell>
          <cell r="D315">
            <v>0</v>
          </cell>
          <cell r="E315">
            <v>3128.7</v>
          </cell>
        </row>
        <row r="316">
          <cell r="A316" t="str">
            <v>7185-DNV99</v>
          </cell>
          <cell r="B316" t="str">
            <v xml:space="preserve">INTERNET: DNV99               </v>
          </cell>
          <cell r="C316">
            <v>80</v>
          </cell>
          <cell r="D316">
            <v>0</v>
          </cell>
          <cell r="E316">
            <v>80</v>
          </cell>
        </row>
        <row r="317">
          <cell r="A317" t="str">
            <v>7185-JPN97</v>
          </cell>
          <cell r="B317" t="str">
            <v xml:space="preserve">INTERNET:                     </v>
          </cell>
          <cell r="C317">
            <v>0.46</v>
          </cell>
          <cell r="D317">
            <v>0</v>
          </cell>
          <cell r="E317">
            <v>0.46</v>
          </cell>
        </row>
        <row r="318">
          <cell r="A318" t="str">
            <v>7185-ZZZZZ</v>
          </cell>
          <cell r="B318" t="str">
            <v xml:space="preserve">INTERNET                      </v>
          </cell>
          <cell r="C318">
            <v>976.24</v>
          </cell>
          <cell r="D318">
            <v>0</v>
          </cell>
          <cell r="E318">
            <v>976.24</v>
          </cell>
        </row>
        <row r="319">
          <cell r="A319" t="str">
            <v>7200-00000</v>
          </cell>
          <cell r="B319" t="str">
            <v xml:space="preserve">MAINTENANCE - COMPUTER        </v>
          </cell>
          <cell r="C319">
            <v>1271.94</v>
          </cell>
          <cell r="D319">
            <v>0</v>
          </cell>
          <cell r="E319">
            <v>1271.94</v>
          </cell>
        </row>
        <row r="320">
          <cell r="A320" t="str">
            <v>7200-NYO97</v>
          </cell>
          <cell r="B320" t="str">
            <v xml:space="preserve">MAINTENANCE - COMPUTER:       </v>
          </cell>
          <cell r="C320">
            <v>1001.31</v>
          </cell>
          <cell r="D320">
            <v>0</v>
          </cell>
          <cell r="E320">
            <v>1001.31</v>
          </cell>
        </row>
        <row r="321">
          <cell r="A321" t="str">
            <v>7220-00000</v>
          </cell>
          <cell r="B321" t="str">
            <v xml:space="preserve">MAINTENANCE - OTHER           </v>
          </cell>
          <cell r="C321">
            <v>363.95</v>
          </cell>
          <cell r="D321">
            <v>0</v>
          </cell>
          <cell r="E321">
            <v>363.95</v>
          </cell>
        </row>
        <row r="322">
          <cell r="A322" t="str">
            <v>7240-00000</v>
          </cell>
          <cell r="B322" t="str">
            <v xml:space="preserve">EMPLOYEE MEAL EXPENSE         </v>
          </cell>
          <cell r="C322">
            <v>187.06</v>
          </cell>
          <cell r="D322">
            <v>0</v>
          </cell>
          <cell r="E322">
            <v>187.06</v>
          </cell>
        </row>
        <row r="323">
          <cell r="A323" t="str">
            <v>7240-FAM97</v>
          </cell>
          <cell r="B323" t="str">
            <v xml:space="preserve">EMPLOYEE MEAL EXPENSE:        </v>
          </cell>
          <cell r="C323">
            <v>1081.51</v>
          </cell>
          <cell r="D323">
            <v>0</v>
          </cell>
          <cell r="E323">
            <v>1081.51</v>
          </cell>
        </row>
        <row r="324">
          <cell r="A324" t="str">
            <v>7240-FRNP9</v>
          </cell>
          <cell r="B324" t="str">
            <v xml:space="preserve">EMPLOYEE MEAL EXPENSE:        </v>
          </cell>
          <cell r="C324">
            <v>547.66999999999996</v>
          </cell>
          <cell r="D324">
            <v>0</v>
          </cell>
          <cell r="E324">
            <v>547.66999999999996</v>
          </cell>
        </row>
        <row r="325">
          <cell r="A325" t="str">
            <v>7240-HTL97</v>
          </cell>
          <cell r="B325" t="str">
            <v xml:space="preserve">EMPLOYEE MEAL EXPENSE:        </v>
          </cell>
          <cell r="C325">
            <v>84.76</v>
          </cell>
          <cell r="D325">
            <v>0</v>
          </cell>
          <cell r="E325">
            <v>84.76</v>
          </cell>
        </row>
        <row r="326">
          <cell r="A326" t="str">
            <v>7240-JNR98</v>
          </cell>
          <cell r="B326" t="str">
            <v xml:space="preserve">EMPLOYEE MEAL EXPENSE: JNR98  </v>
          </cell>
          <cell r="C326">
            <v>2462.3000000000002</v>
          </cell>
          <cell r="D326">
            <v>0</v>
          </cell>
          <cell r="E326">
            <v>2462.3000000000002</v>
          </cell>
        </row>
        <row r="327">
          <cell r="A327" t="str">
            <v>7240-JPNP7</v>
          </cell>
          <cell r="B327" t="str">
            <v xml:space="preserve">EMPLOYEE MEAL EXPENSE:        </v>
          </cell>
          <cell r="C327">
            <v>1083.99</v>
          </cell>
          <cell r="D327">
            <v>0</v>
          </cell>
          <cell r="E327">
            <v>1083.99</v>
          </cell>
        </row>
        <row r="328">
          <cell r="A328" t="str">
            <v>7240-NBS97</v>
          </cell>
          <cell r="B328" t="str">
            <v xml:space="preserve">EMPLOYEE MEAL EXPENSE:        </v>
          </cell>
          <cell r="C328">
            <v>16.399999999999999</v>
          </cell>
          <cell r="D328">
            <v>0</v>
          </cell>
          <cell r="E328">
            <v>16.399999999999999</v>
          </cell>
        </row>
        <row r="329">
          <cell r="A329" t="str">
            <v>7240-NBSA9</v>
          </cell>
          <cell r="B329" t="str">
            <v xml:space="preserve">EMPLOYEE MEAL EXPENSE: NBSA9  </v>
          </cell>
          <cell r="C329">
            <v>650.9</v>
          </cell>
          <cell r="D329">
            <v>0</v>
          </cell>
          <cell r="E329">
            <v>650.9</v>
          </cell>
        </row>
        <row r="330">
          <cell r="A330" t="str">
            <v>7240-ZZZZZ</v>
          </cell>
          <cell r="B330" t="str">
            <v xml:space="preserve">EMPLOYEE MEAL EXCHANGE        </v>
          </cell>
          <cell r="C330">
            <v>257.39</v>
          </cell>
          <cell r="D330">
            <v>0</v>
          </cell>
          <cell r="E330">
            <v>257.39</v>
          </cell>
        </row>
        <row r="331">
          <cell r="A331" t="str">
            <v>7247-00000</v>
          </cell>
          <cell r="B331" t="str">
            <v xml:space="preserve">SUPPORT STAFF DEVELOPMENT     </v>
          </cell>
          <cell r="C331">
            <v>115</v>
          </cell>
          <cell r="D331">
            <v>0</v>
          </cell>
          <cell r="E331">
            <v>115</v>
          </cell>
        </row>
        <row r="332">
          <cell r="A332" t="str">
            <v>7247-ZZZZZ</v>
          </cell>
          <cell r="B332" t="str">
            <v xml:space="preserve">SUPPORT STAFF DEVELOPMENT     </v>
          </cell>
          <cell r="C332">
            <v>77.09</v>
          </cell>
          <cell r="D332">
            <v>0</v>
          </cell>
          <cell r="E332">
            <v>77.09</v>
          </cell>
        </row>
        <row r="333">
          <cell r="A333" t="str">
            <v>7250-00000</v>
          </cell>
          <cell r="B333" t="str">
            <v xml:space="preserve">MESSENGER &amp; DELIVERY          </v>
          </cell>
          <cell r="C333">
            <v>117</v>
          </cell>
          <cell r="D333">
            <v>0</v>
          </cell>
          <cell r="E333">
            <v>117</v>
          </cell>
        </row>
        <row r="334">
          <cell r="A334" t="str">
            <v>7250-JPN97</v>
          </cell>
          <cell r="B334" t="str">
            <v xml:space="preserve">MESSENGER &amp; DELIVERY:         </v>
          </cell>
          <cell r="C334">
            <v>11</v>
          </cell>
          <cell r="D334">
            <v>0</v>
          </cell>
          <cell r="E334">
            <v>11</v>
          </cell>
        </row>
        <row r="335">
          <cell r="A335" t="str">
            <v>7250-NBS97</v>
          </cell>
          <cell r="B335" t="str">
            <v xml:space="preserve">MESSENGER &amp; DELIVERY:         </v>
          </cell>
          <cell r="C335">
            <v>25</v>
          </cell>
          <cell r="D335">
            <v>0</v>
          </cell>
          <cell r="E335">
            <v>25</v>
          </cell>
        </row>
        <row r="336">
          <cell r="A336" t="str">
            <v>7250-NYO97</v>
          </cell>
          <cell r="B336" t="str">
            <v xml:space="preserve">MESSENGER &amp; DELIVERY:         </v>
          </cell>
          <cell r="C336">
            <v>40</v>
          </cell>
          <cell r="D336">
            <v>0</v>
          </cell>
          <cell r="E336">
            <v>40</v>
          </cell>
        </row>
        <row r="337">
          <cell r="A337" t="str">
            <v>7250-ZZZZZ</v>
          </cell>
          <cell r="B337" t="str">
            <v xml:space="preserve">MESSENGER &amp; DELIVERY          </v>
          </cell>
          <cell r="C337">
            <v>129.38999999999999</v>
          </cell>
          <cell r="D337">
            <v>0</v>
          </cell>
          <cell r="E337">
            <v>129.38999999999999</v>
          </cell>
        </row>
        <row r="338">
          <cell r="A338" t="str">
            <v>7260-00000</v>
          </cell>
          <cell r="B338" t="str">
            <v xml:space="preserve">OVERNIGHT/SHIPPING            </v>
          </cell>
          <cell r="C338">
            <v>6221.54</v>
          </cell>
          <cell r="D338">
            <v>0</v>
          </cell>
          <cell r="E338">
            <v>6221.54</v>
          </cell>
        </row>
        <row r="339">
          <cell r="A339" t="str">
            <v>7260-DNV99</v>
          </cell>
          <cell r="B339" t="str">
            <v xml:space="preserve">OVERNIGHT/SHIPPING: DNV99     </v>
          </cell>
          <cell r="C339">
            <v>238.75</v>
          </cell>
          <cell r="D339">
            <v>0</v>
          </cell>
          <cell r="E339">
            <v>238.75</v>
          </cell>
        </row>
        <row r="340">
          <cell r="A340" t="str">
            <v>7260-FRN97</v>
          </cell>
          <cell r="B340" t="str">
            <v xml:space="preserve">OVERNIGHT/SHIPPING:           </v>
          </cell>
          <cell r="C340">
            <v>62.4</v>
          </cell>
          <cell r="D340">
            <v>0</v>
          </cell>
          <cell r="E340">
            <v>62.4</v>
          </cell>
        </row>
        <row r="341">
          <cell r="A341" t="str">
            <v>7260-HTL97</v>
          </cell>
          <cell r="B341" t="str">
            <v xml:space="preserve">OVERNIGHT/SHIPPING:           </v>
          </cell>
          <cell r="C341">
            <v>104.32</v>
          </cell>
          <cell r="D341">
            <v>0</v>
          </cell>
          <cell r="E341">
            <v>104.32</v>
          </cell>
        </row>
        <row r="342">
          <cell r="A342" t="str">
            <v>7260-JPN97</v>
          </cell>
          <cell r="B342" t="str">
            <v xml:space="preserve">OVERNIGHT/SHIPPING:           </v>
          </cell>
          <cell r="C342">
            <v>98.16</v>
          </cell>
          <cell r="D342">
            <v>0</v>
          </cell>
          <cell r="E342">
            <v>98.16</v>
          </cell>
        </row>
        <row r="343">
          <cell r="A343" t="str">
            <v>7260-JPNP7</v>
          </cell>
          <cell r="B343" t="str">
            <v xml:space="preserve">OVERNIGHT/SHIPPING:           </v>
          </cell>
          <cell r="C343">
            <v>0</v>
          </cell>
          <cell r="D343">
            <v>522.32000000000005</v>
          </cell>
          <cell r="E343">
            <v>-522.32000000000005</v>
          </cell>
        </row>
        <row r="344">
          <cell r="A344" t="str">
            <v>7260-MEX99</v>
          </cell>
          <cell r="B344" t="str">
            <v xml:space="preserve">OVERNIGHT/SHIPPING: MEX99     </v>
          </cell>
          <cell r="C344">
            <v>387.01</v>
          </cell>
          <cell r="D344">
            <v>0</v>
          </cell>
          <cell r="E344">
            <v>387.01</v>
          </cell>
        </row>
        <row r="345">
          <cell r="A345" t="str">
            <v>7260-NBS97</v>
          </cell>
          <cell r="B345" t="str">
            <v xml:space="preserve">OVERNIGHT/SHIPPING:           </v>
          </cell>
          <cell r="C345">
            <v>120.4</v>
          </cell>
          <cell r="D345">
            <v>0</v>
          </cell>
          <cell r="E345">
            <v>120.4</v>
          </cell>
        </row>
        <row r="346">
          <cell r="A346" t="str">
            <v>7260-NNB97</v>
          </cell>
          <cell r="B346" t="str">
            <v xml:space="preserve">OVERNIGHT/SHIPPING:           </v>
          </cell>
          <cell r="C346">
            <v>109.7</v>
          </cell>
          <cell r="D346">
            <v>0</v>
          </cell>
          <cell r="E346">
            <v>109.7</v>
          </cell>
        </row>
        <row r="347">
          <cell r="A347" t="str">
            <v>7260-NYO97</v>
          </cell>
          <cell r="B347" t="str">
            <v xml:space="preserve">OVERNIGHT/SHIPPING:           </v>
          </cell>
          <cell r="C347">
            <v>1357.92</v>
          </cell>
          <cell r="D347">
            <v>0</v>
          </cell>
          <cell r="E347">
            <v>1357.92</v>
          </cell>
        </row>
        <row r="348">
          <cell r="A348" t="str">
            <v>7260-ZZZZZ</v>
          </cell>
          <cell r="B348" t="str">
            <v xml:space="preserve">OVERNIGHT/SHIPPING            </v>
          </cell>
          <cell r="C348">
            <v>1129.4000000000001</v>
          </cell>
          <cell r="D348">
            <v>0</v>
          </cell>
          <cell r="E348">
            <v>1129.4000000000001</v>
          </cell>
        </row>
        <row r="349">
          <cell r="A349" t="str">
            <v>7270-00000</v>
          </cell>
          <cell r="B349" t="str">
            <v xml:space="preserve">OTHER EXPENSES                </v>
          </cell>
          <cell r="C349">
            <v>97.32</v>
          </cell>
          <cell r="D349">
            <v>0</v>
          </cell>
          <cell r="E349">
            <v>97.32</v>
          </cell>
        </row>
        <row r="350">
          <cell r="A350" t="str">
            <v>7290-00000</v>
          </cell>
          <cell r="B350" t="str">
            <v xml:space="preserve">OFF SITE STORAGE              </v>
          </cell>
          <cell r="C350">
            <v>2615.77</v>
          </cell>
          <cell r="D350">
            <v>0</v>
          </cell>
          <cell r="E350">
            <v>2615.77</v>
          </cell>
        </row>
        <row r="351">
          <cell r="A351" t="str">
            <v>7290-ZZZZZ</v>
          </cell>
          <cell r="B351" t="str">
            <v xml:space="preserve">OFF SITE STORAGE              </v>
          </cell>
          <cell r="C351">
            <v>1692.75</v>
          </cell>
          <cell r="D351">
            <v>0</v>
          </cell>
          <cell r="E351">
            <v>1692.75</v>
          </cell>
        </row>
        <row r="352">
          <cell r="A352" t="str">
            <v>7300-00000</v>
          </cell>
          <cell r="B352" t="str">
            <v xml:space="preserve">OFFICE EXPENSE                </v>
          </cell>
          <cell r="C352">
            <v>3075.31</v>
          </cell>
          <cell r="D352">
            <v>0</v>
          </cell>
          <cell r="E352">
            <v>3075.31</v>
          </cell>
        </row>
        <row r="353">
          <cell r="A353" t="str">
            <v>7300-DNV99</v>
          </cell>
          <cell r="B353" t="str">
            <v xml:space="preserve">OFFICE EXPENSE: DNV99         </v>
          </cell>
          <cell r="C353">
            <v>12</v>
          </cell>
          <cell r="D353">
            <v>0</v>
          </cell>
          <cell r="E353">
            <v>12</v>
          </cell>
        </row>
        <row r="354">
          <cell r="A354" t="str">
            <v>7300-FAM97</v>
          </cell>
          <cell r="B354" t="str">
            <v xml:space="preserve">OFFICE EXPENSE:               </v>
          </cell>
          <cell r="C354">
            <v>1644.77</v>
          </cell>
          <cell r="D354">
            <v>0</v>
          </cell>
          <cell r="E354">
            <v>1644.77</v>
          </cell>
        </row>
        <row r="355">
          <cell r="A355" t="str">
            <v>7300-NBS97</v>
          </cell>
          <cell r="B355" t="str">
            <v xml:space="preserve">OFFICE EXPENSE:               </v>
          </cell>
          <cell r="C355">
            <v>16</v>
          </cell>
          <cell r="D355">
            <v>0</v>
          </cell>
          <cell r="E355">
            <v>16</v>
          </cell>
        </row>
        <row r="356">
          <cell r="A356" t="str">
            <v>7300-NBSA9</v>
          </cell>
          <cell r="B356" t="str">
            <v xml:space="preserve">OFFICE EXPENSE: NBSA9         </v>
          </cell>
          <cell r="C356">
            <v>181.18</v>
          </cell>
          <cell r="D356">
            <v>0</v>
          </cell>
          <cell r="E356">
            <v>181.18</v>
          </cell>
        </row>
        <row r="357">
          <cell r="A357" t="str">
            <v>7300-NYO97</v>
          </cell>
          <cell r="B357" t="str">
            <v xml:space="preserve">OFFICE EXPENSE:               </v>
          </cell>
          <cell r="C357">
            <v>2153.42</v>
          </cell>
          <cell r="D357">
            <v>0</v>
          </cell>
          <cell r="E357">
            <v>2153.42</v>
          </cell>
        </row>
        <row r="358">
          <cell r="A358" t="str">
            <v>7300-ZZZZZ</v>
          </cell>
          <cell r="B358" t="str">
            <v xml:space="preserve">OFFICE EXPENSE                </v>
          </cell>
          <cell r="C358">
            <v>2559.79</v>
          </cell>
          <cell r="D358">
            <v>0</v>
          </cell>
          <cell r="E358">
            <v>2559.79</v>
          </cell>
        </row>
        <row r="359">
          <cell r="A359" t="str">
            <v>7305-00000</v>
          </cell>
          <cell r="B359" t="str">
            <v xml:space="preserve">OFFICE SUPPLIES               </v>
          </cell>
          <cell r="C359">
            <v>4014.32</v>
          </cell>
          <cell r="D359">
            <v>0</v>
          </cell>
          <cell r="E359">
            <v>4014.32</v>
          </cell>
        </row>
        <row r="360">
          <cell r="A360" t="str">
            <v>7305-NYO97</v>
          </cell>
          <cell r="B360" t="str">
            <v xml:space="preserve">OFFICE SUPPLIES:              </v>
          </cell>
          <cell r="C360">
            <v>56.87</v>
          </cell>
          <cell r="D360">
            <v>0</v>
          </cell>
          <cell r="E360">
            <v>56.87</v>
          </cell>
        </row>
        <row r="361">
          <cell r="A361" t="str">
            <v>7305-ZZZZZ</v>
          </cell>
          <cell r="B361" t="str">
            <v xml:space="preserve">OFFICE SUPPLIES:              </v>
          </cell>
          <cell r="C361">
            <v>2580.41</v>
          </cell>
          <cell r="D361">
            <v>0</v>
          </cell>
          <cell r="E361">
            <v>2580.41</v>
          </cell>
        </row>
        <row r="362">
          <cell r="A362" t="str">
            <v>7315-00000</v>
          </cell>
          <cell r="B362" t="str">
            <v xml:space="preserve">COPIER PAPER                  </v>
          </cell>
          <cell r="C362">
            <v>433.54</v>
          </cell>
          <cell r="D362">
            <v>0</v>
          </cell>
          <cell r="E362">
            <v>433.54</v>
          </cell>
        </row>
        <row r="363">
          <cell r="A363" t="str">
            <v>7315-ZZZZZ</v>
          </cell>
          <cell r="B363" t="str">
            <v xml:space="preserve">COPIER PAPER                  </v>
          </cell>
          <cell r="C363">
            <v>290.64</v>
          </cell>
          <cell r="D363">
            <v>0</v>
          </cell>
          <cell r="E363">
            <v>290.64</v>
          </cell>
        </row>
        <row r="364">
          <cell r="A364" t="str">
            <v>7320-00000</v>
          </cell>
          <cell r="B364" t="str">
            <v xml:space="preserve">TEMPORARY OUTSIDE SERVICE     </v>
          </cell>
          <cell r="C364">
            <v>8972.52</v>
          </cell>
          <cell r="D364">
            <v>0</v>
          </cell>
          <cell r="E364">
            <v>8972.52</v>
          </cell>
        </row>
        <row r="365">
          <cell r="A365" t="str">
            <v>7320-ZZZZZ</v>
          </cell>
          <cell r="B365" t="str">
            <v xml:space="preserve">TEMPORARY OUTSIDE SERVICE     </v>
          </cell>
          <cell r="C365">
            <v>4084.02</v>
          </cell>
          <cell r="D365">
            <v>0</v>
          </cell>
          <cell r="E365">
            <v>4084.02</v>
          </cell>
        </row>
        <row r="366">
          <cell r="A366" t="str">
            <v>7330-00000</v>
          </cell>
          <cell r="B366" t="str">
            <v xml:space="preserve">PARKING                       </v>
          </cell>
          <cell r="C366">
            <v>6140.95</v>
          </cell>
          <cell r="D366">
            <v>0</v>
          </cell>
          <cell r="E366">
            <v>6140.95</v>
          </cell>
        </row>
        <row r="367">
          <cell r="A367" t="str">
            <v>7330-HTL97</v>
          </cell>
          <cell r="B367" t="str">
            <v xml:space="preserve">PARKING:                      </v>
          </cell>
          <cell r="C367">
            <v>32.85</v>
          </cell>
          <cell r="D367">
            <v>0</v>
          </cell>
          <cell r="E367">
            <v>32.85</v>
          </cell>
        </row>
        <row r="368">
          <cell r="A368" t="str">
            <v>7330-JPNP7</v>
          </cell>
          <cell r="B368" t="str">
            <v xml:space="preserve">PARKING:                      </v>
          </cell>
          <cell r="C368">
            <v>0</v>
          </cell>
          <cell r="D368">
            <v>18.5</v>
          </cell>
          <cell r="E368">
            <v>-18.5</v>
          </cell>
        </row>
        <row r="369">
          <cell r="A369" t="str">
            <v>7330-NBS97</v>
          </cell>
          <cell r="B369" t="str">
            <v xml:space="preserve">PARKING:                      </v>
          </cell>
          <cell r="C369">
            <v>78</v>
          </cell>
          <cell r="D369">
            <v>0</v>
          </cell>
          <cell r="E369">
            <v>78</v>
          </cell>
        </row>
        <row r="370">
          <cell r="A370" t="str">
            <v>7330-NBSA9</v>
          </cell>
          <cell r="B370" t="str">
            <v xml:space="preserve">PARKING: NBSA9                </v>
          </cell>
          <cell r="C370">
            <v>74.66</v>
          </cell>
          <cell r="D370">
            <v>0</v>
          </cell>
          <cell r="E370">
            <v>74.66</v>
          </cell>
        </row>
        <row r="371">
          <cell r="A371" t="str">
            <v>7330-ZZZZZ</v>
          </cell>
          <cell r="B371" t="str">
            <v xml:space="preserve">PARKING                       </v>
          </cell>
          <cell r="C371">
            <v>100.54</v>
          </cell>
          <cell r="D371">
            <v>0</v>
          </cell>
          <cell r="E371">
            <v>100.54</v>
          </cell>
        </row>
        <row r="372">
          <cell r="A372" t="str">
            <v>7355-00000</v>
          </cell>
          <cell r="B372" t="str">
            <v xml:space="preserve">PHOTOGRAPHY                   </v>
          </cell>
          <cell r="C372">
            <v>68.709999999999994</v>
          </cell>
          <cell r="D372">
            <v>0</v>
          </cell>
          <cell r="E372">
            <v>68.709999999999994</v>
          </cell>
        </row>
        <row r="373">
          <cell r="A373" t="str">
            <v>7355-FAM97</v>
          </cell>
          <cell r="B373" t="str">
            <v xml:space="preserve">PHOTOGRAPHY:                  </v>
          </cell>
          <cell r="C373">
            <v>27.2</v>
          </cell>
          <cell r="D373">
            <v>0</v>
          </cell>
          <cell r="E373">
            <v>27.2</v>
          </cell>
        </row>
        <row r="374">
          <cell r="A374" t="str">
            <v>7355-NBSA9</v>
          </cell>
          <cell r="B374" t="str">
            <v xml:space="preserve">PHOTOGRAPHY: NBSA9            </v>
          </cell>
          <cell r="C374">
            <v>8.1300000000000008</v>
          </cell>
          <cell r="D374">
            <v>0</v>
          </cell>
          <cell r="E374">
            <v>8.1300000000000008</v>
          </cell>
        </row>
        <row r="375">
          <cell r="A375" t="str">
            <v>7355-ZZZZZ</v>
          </cell>
          <cell r="B375" t="str">
            <v xml:space="preserve">PHOTOGRAPHY:                  </v>
          </cell>
          <cell r="C375">
            <v>64.3</v>
          </cell>
          <cell r="D375">
            <v>0</v>
          </cell>
          <cell r="E375">
            <v>64.3</v>
          </cell>
        </row>
        <row r="376">
          <cell r="A376" t="str">
            <v>7360-00000</v>
          </cell>
          <cell r="B376" t="str">
            <v xml:space="preserve">POSTAGE                       </v>
          </cell>
          <cell r="C376">
            <v>0</v>
          </cell>
          <cell r="D376">
            <v>43.87</v>
          </cell>
          <cell r="E376">
            <v>-43.87</v>
          </cell>
        </row>
        <row r="377">
          <cell r="A377" t="str">
            <v>7365-NBS97</v>
          </cell>
          <cell r="B377" t="str">
            <v xml:space="preserve">PRESENTATIONS:                </v>
          </cell>
          <cell r="C377">
            <v>708.28</v>
          </cell>
          <cell r="D377">
            <v>0</v>
          </cell>
          <cell r="E377">
            <v>708.28</v>
          </cell>
        </row>
        <row r="378">
          <cell r="A378" t="str">
            <v>7365-ZZZZZ</v>
          </cell>
          <cell r="B378" t="str">
            <v xml:space="preserve">PRESENTATIONS:                </v>
          </cell>
          <cell r="C378">
            <v>362.85</v>
          </cell>
          <cell r="D378">
            <v>0</v>
          </cell>
          <cell r="E378">
            <v>362.85</v>
          </cell>
        </row>
        <row r="379">
          <cell r="A379" t="str">
            <v>7410-00000</v>
          </cell>
          <cell r="B379" t="str">
            <v xml:space="preserve">RENT                          </v>
          </cell>
          <cell r="C379">
            <v>23053.98</v>
          </cell>
          <cell r="D379">
            <v>0</v>
          </cell>
          <cell r="E379">
            <v>23053.98</v>
          </cell>
        </row>
        <row r="380">
          <cell r="A380" t="str">
            <v>7410-DNV99</v>
          </cell>
          <cell r="B380" t="str">
            <v xml:space="preserve">RENT: DNV99                   </v>
          </cell>
          <cell r="C380">
            <v>1023</v>
          </cell>
          <cell r="D380">
            <v>0</v>
          </cell>
          <cell r="E380">
            <v>1023</v>
          </cell>
        </row>
        <row r="381">
          <cell r="A381" t="str">
            <v>7410-NYO97</v>
          </cell>
          <cell r="B381" t="str">
            <v xml:space="preserve">RENT:                         </v>
          </cell>
          <cell r="C381">
            <v>13421.9</v>
          </cell>
          <cell r="D381">
            <v>0</v>
          </cell>
          <cell r="E381">
            <v>13421.9</v>
          </cell>
        </row>
        <row r="382">
          <cell r="A382" t="str">
            <v>7410-OCO97</v>
          </cell>
          <cell r="B382" t="str">
            <v xml:space="preserve">RENT:                         </v>
          </cell>
          <cell r="C382">
            <v>750</v>
          </cell>
          <cell r="D382">
            <v>0</v>
          </cell>
          <cell r="E382">
            <v>750</v>
          </cell>
        </row>
        <row r="383">
          <cell r="A383" t="str">
            <v>7415-00000</v>
          </cell>
          <cell r="B383" t="str">
            <v xml:space="preserve">REPORTS-ENVIRONMENTAL &amp; OTHER </v>
          </cell>
          <cell r="C383">
            <v>69</v>
          </cell>
          <cell r="D383">
            <v>0</v>
          </cell>
          <cell r="E383">
            <v>69</v>
          </cell>
        </row>
        <row r="384">
          <cell r="A384" t="str">
            <v>7415-HTL97</v>
          </cell>
          <cell r="B384" t="str">
            <v>REPORTS-ENVIRONMENTAL &amp; OTHER:</v>
          </cell>
          <cell r="C384">
            <v>900</v>
          </cell>
          <cell r="D384">
            <v>0</v>
          </cell>
          <cell r="E384">
            <v>900</v>
          </cell>
        </row>
        <row r="385">
          <cell r="A385" t="str">
            <v>7415-ZZZZZ</v>
          </cell>
          <cell r="B385" t="str">
            <v xml:space="preserve">REPORTS-ENVIRONMENTAL &amp; OTHER </v>
          </cell>
          <cell r="C385">
            <v>46.26</v>
          </cell>
          <cell r="D385">
            <v>0</v>
          </cell>
          <cell r="E385">
            <v>46.26</v>
          </cell>
        </row>
        <row r="386">
          <cell r="A386" t="str">
            <v>7430-00000</v>
          </cell>
          <cell r="B386" t="str">
            <v xml:space="preserve">TAXES &amp; LICENSES              </v>
          </cell>
          <cell r="C386">
            <v>241.92</v>
          </cell>
          <cell r="D386">
            <v>0</v>
          </cell>
          <cell r="E386">
            <v>241.92</v>
          </cell>
        </row>
        <row r="387">
          <cell r="A387" t="str">
            <v>7430-ZZZZZ</v>
          </cell>
          <cell r="B387" t="str">
            <v xml:space="preserve">TAXES &amp; LICENSES              </v>
          </cell>
          <cell r="C387">
            <v>251.4</v>
          </cell>
          <cell r="D387">
            <v>0</v>
          </cell>
          <cell r="E387">
            <v>251.4</v>
          </cell>
        </row>
        <row r="388">
          <cell r="A388" t="str">
            <v>7440-00000</v>
          </cell>
          <cell r="B388" t="str">
            <v xml:space="preserve">TELEPHONE-LOCAL               </v>
          </cell>
          <cell r="C388">
            <v>6130.92</v>
          </cell>
          <cell r="D388">
            <v>0</v>
          </cell>
          <cell r="E388">
            <v>6130.92</v>
          </cell>
        </row>
        <row r="389">
          <cell r="A389" t="str">
            <v>7440-DNV99</v>
          </cell>
          <cell r="B389" t="str">
            <v xml:space="preserve">TELEPHONE-LOCAL: DNV99        </v>
          </cell>
          <cell r="C389">
            <v>50</v>
          </cell>
          <cell r="D389">
            <v>0</v>
          </cell>
          <cell r="E389">
            <v>50</v>
          </cell>
        </row>
        <row r="390">
          <cell r="A390" t="str">
            <v>7440-FRNP9</v>
          </cell>
          <cell r="B390" t="str">
            <v xml:space="preserve">TELEPHONE-LOCAL:              </v>
          </cell>
          <cell r="C390">
            <v>5.33</v>
          </cell>
          <cell r="D390">
            <v>0</v>
          </cell>
          <cell r="E390">
            <v>5.33</v>
          </cell>
        </row>
        <row r="391">
          <cell r="A391" t="str">
            <v>7440-HTL97</v>
          </cell>
          <cell r="B391" t="str">
            <v xml:space="preserve">TELEPHONE-LOCAL:              </v>
          </cell>
          <cell r="C391">
            <v>5.79</v>
          </cell>
          <cell r="D391">
            <v>0</v>
          </cell>
          <cell r="E391">
            <v>5.79</v>
          </cell>
        </row>
        <row r="392">
          <cell r="A392" t="str">
            <v>7440-JPNP7</v>
          </cell>
          <cell r="B392" t="str">
            <v xml:space="preserve">TELEPHONE-LOCAL:              </v>
          </cell>
          <cell r="C392">
            <v>30.75</v>
          </cell>
          <cell r="D392">
            <v>0</v>
          </cell>
          <cell r="E392">
            <v>30.75</v>
          </cell>
        </row>
        <row r="393">
          <cell r="A393" t="str">
            <v>7440-NBS97</v>
          </cell>
          <cell r="B393" t="str">
            <v xml:space="preserve">TELEPHONE-LOCAL:              </v>
          </cell>
          <cell r="C393">
            <v>1</v>
          </cell>
          <cell r="D393">
            <v>0</v>
          </cell>
          <cell r="E393">
            <v>1</v>
          </cell>
        </row>
        <row r="394">
          <cell r="A394" t="str">
            <v>7440-NBSA9</v>
          </cell>
          <cell r="B394" t="str">
            <v xml:space="preserve">TELEPHONE-LOCAL: NBSA9        </v>
          </cell>
          <cell r="C394">
            <v>51.5</v>
          </cell>
          <cell r="D394">
            <v>0</v>
          </cell>
          <cell r="E394">
            <v>51.5</v>
          </cell>
        </row>
        <row r="395">
          <cell r="A395" t="str">
            <v>7440-NYO97</v>
          </cell>
          <cell r="B395" t="str">
            <v xml:space="preserve">TELEPHONE-LOCAL:              </v>
          </cell>
          <cell r="C395">
            <v>993.4</v>
          </cell>
          <cell r="D395">
            <v>0</v>
          </cell>
          <cell r="E395">
            <v>993.4</v>
          </cell>
        </row>
        <row r="396">
          <cell r="A396" t="str">
            <v>7440-OCO97</v>
          </cell>
          <cell r="B396" t="str">
            <v xml:space="preserve">TELEPHONE-LOCAL:              </v>
          </cell>
          <cell r="C396">
            <v>233.97</v>
          </cell>
          <cell r="D396">
            <v>0</v>
          </cell>
          <cell r="E396">
            <v>233.97</v>
          </cell>
        </row>
        <row r="397">
          <cell r="A397" t="str">
            <v>7440-ZZZZZ</v>
          </cell>
          <cell r="B397" t="str">
            <v xml:space="preserve">TELEPHONE-LOCAL               </v>
          </cell>
          <cell r="C397">
            <v>953.94</v>
          </cell>
          <cell r="D397">
            <v>0</v>
          </cell>
          <cell r="E397">
            <v>953.94</v>
          </cell>
        </row>
        <row r="398">
          <cell r="A398" t="str">
            <v>7445-00000</v>
          </cell>
          <cell r="B398" t="str">
            <v xml:space="preserve">TELEPHONE-LONG DISTANCE       </v>
          </cell>
          <cell r="C398">
            <v>4051.81</v>
          </cell>
          <cell r="D398">
            <v>0</v>
          </cell>
          <cell r="E398">
            <v>4051.81</v>
          </cell>
        </row>
        <row r="399">
          <cell r="A399" t="str">
            <v>7445-DNV99</v>
          </cell>
          <cell r="B399" t="str">
            <v>TELEPHONE-LONG DISTANCE: DNV99</v>
          </cell>
          <cell r="C399">
            <v>157.09</v>
          </cell>
          <cell r="D399">
            <v>0</v>
          </cell>
          <cell r="E399">
            <v>157.09</v>
          </cell>
        </row>
        <row r="400">
          <cell r="A400" t="str">
            <v>7445-JPNP7</v>
          </cell>
          <cell r="B400" t="str">
            <v xml:space="preserve">TELEPHONE-LONG DISTANCE:      </v>
          </cell>
          <cell r="C400">
            <v>0</v>
          </cell>
          <cell r="D400">
            <v>330.37</v>
          </cell>
          <cell r="E400">
            <v>-330.37</v>
          </cell>
        </row>
        <row r="401">
          <cell r="A401" t="str">
            <v>7445-NYO97</v>
          </cell>
          <cell r="B401" t="str">
            <v xml:space="preserve">TELEPHONE-LONG DISTANCE:      </v>
          </cell>
          <cell r="C401">
            <v>1012.95</v>
          </cell>
          <cell r="D401">
            <v>0</v>
          </cell>
          <cell r="E401">
            <v>1012.95</v>
          </cell>
        </row>
        <row r="402">
          <cell r="A402" t="str">
            <v>7445-ZZZZZ</v>
          </cell>
          <cell r="B402" t="str">
            <v xml:space="preserve">TELEPHONE-LONG DISTANCE       </v>
          </cell>
          <cell r="C402">
            <v>4052.52</v>
          </cell>
          <cell r="D402">
            <v>0</v>
          </cell>
          <cell r="E402">
            <v>4052.52</v>
          </cell>
        </row>
        <row r="403">
          <cell r="A403" t="str">
            <v>7447-00000</v>
          </cell>
          <cell r="B403" t="str">
            <v xml:space="preserve">TELEPHONE-OTHER               </v>
          </cell>
          <cell r="C403">
            <v>4011.76</v>
          </cell>
          <cell r="D403">
            <v>0</v>
          </cell>
          <cell r="E403">
            <v>4011.76</v>
          </cell>
        </row>
        <row r="404">
          <cell r="A404" t="str">
            <v>7447-FAM97</v>
          </cell>
          <cell r="B404" t="str">
            <v xml:space="preserve">TELEPHONE-OTHER:              </v>
          </cell>
          <cell r="C404">
            <v>178.38</v>
          </cell>
          <cell r="D404">
            <v>0</v>
          </cell>
          <cell r="E404">
            <v>178.38</v>
          </cell>
        </row>
        <row r="405">
          <cell r="A405" t="str">
            <v>7447-JPN97</v>
          </cell>
          <cell r="B405" t="str">
            <v xml:space="preserve">TELEPHONE-OTHER:              </v>
          </cell>
          <cell r="C405">
            <v>0</v>
          </cell>
          <cell r="D405">
            <v>245.35</v>
          </cell>
          <cell r="E405">
            <v>-245.35</v>
          </cell>
        </row>
        <row r="406">
          <cell r="A406" t="str">
            <v>7447-JPNP7</v>
          </cell>
          <cell r="B406" t="str">
            <v xml:space="preserve">TELEPHONE-OTHER:              </v>
          </cell>
          <cell r="C406">
            <v>112.93</v>
          </cell>
          <cell r="D406">
            <v>0</v>
          </cell>
          <cell r="E406">
            <v>112.93</v>
          </cell>
        </row>
        <row r="407">
          <cell r="A407" t="str">
            <v>7447-MEX99</v>
          </cell>
          <cell r="B407" t="str">
            <v xml:space="preserve">TELEPHONE-OTHER: MEX99        </v>
          </cell>
          <cell r="C407">
            <v>2328.69</v>
          </cell>
          <cell r="D407">
            <v>0</v>
          </cell>
          <cell r="E407">
            <v>2328.69</v>
          </cell>
        </row>
        <row r="408">
          <cell r="A408" t="str">
            <v>7447-MEXP9</v>
          </cell>
          <cell r="B408" t="str">
            <v xml:space="preserve">TELEPHONE-OTHER: MEXP9        </v>
          </cell>
          <cell r="C408">
            <v>124.62</v>
          </cell>
          <cell r="D408">
            <v>0</v>
          </cell>
          <cell r="E408">
            <v>124.62</v>
          </cell>
        </row>
        <row r="409">
          <cell r="A409" t="str">
            <v>7447-NBS97</v>
          </cell>
          <cell r="B409" t="str">
            <v xml:space="preserve">TELEPHONE-OTHER:              </v>
          </cell>
          <cell r="C409">
            <v>13.5</v>
          </cell>
          <cell r="D409">
            <v>0</v>
          </cell>
          <cell r="E409">
            <v>13.5</v>
          </cell>
        </row>
        <row r="410">
          <cell r="A410" t="str">
            <v>7447-NBSA9</v>
          </cell>
          <cell r="B410" t="str">
            <v xml:space="preserve">TELEPHONE-OTHER: NBSA9        </v>
          </cell>
          <cell r="C410">
            <v>4.5</v>
          </cell>
          <cell r="D410">
            <v>0</v>
          </cell>
          <cell r="E410">
            <v>4.5</v>
          </cell>
        </row>
        <row r="411">
          <cell r="A411" t="str">
            <v>7447-NYO97</v>
          </cell>
          <cell r="B411" t="str">
            <v xml:space="preserve">TELEPHONE-OTHER:              </v>
          </cell>
          <cell r="C411">
            <v>6317.25</v>
          </cell>
          <cell r="D411">
            <v>0</v>
          </cell>
          <cell r="E411">
            <v>6317.25</v>
          </cell>
        </row>
        <row r="412">
          <cell r="A412" t="str">
            <v>7447-ZZZZZ</v>
          </cell>
          <cell r="B412" t="str">
            <v xml:space="preserve">TELEPHONE-OTHER               </v>
          </cell>
          <cell r="C412">
            <v>13667.97</v>
          </cell>
          <cell r="D412">
            <v>0</v>
          </cell>
          <cell r="E412">
            <v>13667.97</v>
          </cell>
        </row>
        <row r="413">
          <cell r="A413" t="str">
            <v>7450-00000</v>
          </cell>
          <cell r="B413" t="str">
            <v xml:space="preserve">TRAVEL                        </v>
          </cell>
          <cell r="C413">
            <v>92.03</v>
          </cell>
          <cell r="D413">
            <v>0</v>
          </cell>
          <cell r="E413">
            <v>92.03</v>
          </cell>
        </row>
        <row r="414">
          <cell r="A414" t="str">
            <v>7450-FAM97</v>
          </cell>
          <cell r="B414" t="str">
            <v xml:space="preserve">TRAVEL:                       </v>
          </cell>
          <cell r="C414">
            <v>192.68</v>
          </cell>
          <cell r="D414">
            <v>0</v>
          </cell>
          <cell r="E414">
            <v>192.68</v>
          </cell>
        </row>
        <row r="415">
          <cell r="A415" t="str">
            <v>7450-FRNP9</v>
          </cell>
          <cell r="B415" t="str">
            <v xml:space="preserve">TRAVEL:                       </v>
          </cell>
          <cell r="C415">
            <v>150.75</v>
          </cell>
          <cell r="D415">
            <v>0</v>
          </cell>
          <cell r="E415">
            <v>150.75</v>
          </cell>
        </row>
        <row r="416">
          <cell r="A416" t="str">
            <v>7450-HTL97</v>
          </cell>
          <cell r="B416" t="str">
            <v xml:space="preserve">TRAVEL                        </v>
          </cell>
          <cell r="C416">
            <v>174.3</v>
          </cell>
          <cell r="D416">
            <v>0</v>
          </cell>
          <cell r="E416">
            <v>174.3</v>
          </cell>
        </row>
        <row r="417">
          <cell r="A417" t="str">
            <v>7450-JPNP7</v>
          </cell>
          <cell r="B417" t="str">
            <v xml:space="preserve">TRAVEL:                       </v>
          </cell>
          <cell r="C417">
            <v>92.52</v>
          </cell>
          <cell r="D417">
            <v>0</v>
          </cell>
          <cell r="E417">
            <v>92.52</v>
          </cell>
        </row>
        <row r="418">
          <cell r="A418" t="str">
            <v>7450-NBS97</v>
          </cell>
          <cell r="B418" t="str">
            <v xml:space="preserve">TRAVEL                        </v>
          </cell>
          <cell r="C418">
            <v>451.48</v>
          </cell>
          <cell r="D418">
            <v>0</v>
          </cell>
          <cell r="E418">
            <v>451.48</v>
          </cell>
        </row>
        <row r="419">
          <cell r="A419" t="str">
            <v>7450-NBSA9</v>
          </cell>
          <cell r="B419" t="str">
            <v xml:space="preserve">TRAVEL: NBSA9                 </v>
          </cell>
          <cell r="C419">
            <v>752.62</v>
          </cell>
          <cell r="D419">
            <v>0</v>
          </cell>
          <cell r="E419">
            <v>752.62</v>
          </cell>
        </row>
        <row r="420">
          <cell r="A420" t="str">
            <v>7450-ZZZZZ</v>
          </cell>
          <cell r="B420" t="str">
            <v xml:space="preserve">TRAVEL                        </v>
          </cell>
          <cell r="C420">
            <v>966.19</v>
          </cell>
          <cell r="D420">
            <v>0</v>
          </cell>
          <cell r="E420">
            <v>966.19</v>
          </cell>
        </row>
        <row r="421">
          <cell r="A421" t="str">
            <v>7451-FAM97</v>
          </cell>
          <cell r="B421" t="str">
            <v xml:space="preserve">AIR FARE                      </v>
          </cell>
          <cell r="C421">
            <v>322</v>
          </cell>
          <cell r="D421">
            <v>0</v>
          </cell>
          <cell r="E421">
            <v>322</v>
          </cell>
        </row>
        <row r="422">
          <cell r="A422" t="str">
            <v>7451-FRNP9</v>
          </cell>
          <cell r="B422" t="str">
            <v xml:space="preserve">AIR FARE                      </v>
          </cell>
          <cell r="C422">
            <v>5609.15</v>
          </cell>
          <cell r="D422">
            <v>0</v>
          </cell>
          <cell r="E422">
            <v>5609.15</v>
          </cell>
        </row>
        <row r="423">
          <cell r="A423" t="str">
            <v>7451-HTL97</v>
          </cell>
          <cell r="B423" t="str">
            <v xml:space="preserve">AIR FARE: HTL97               </v>
          </cell>
          <cell r="C423">
            <v>1972.2</v>
          </cell>
          <cell r="D423">
            <v>0</v>
          </cell>
          <cell r="E423">
            <v>1972.2</v>
          </cell>
        </row>
        <row r="424">
          <cell r="A424" t="str">
            <v>7451-JPNP7</v>
          </cell>
          <cell r="B424" t="str">
            <v xml:space="preserve">AIR FARE: JPNP7               </v>
          </cell>
          <cell r="C424">
            <v>0</v>
          </cell>
          <cell r="D424">
            <v>3395</v>
          </cell>
          <cell r="E424">
            <v>-3395</v>
          </cell>
        </row>
        <row r="425">
          <cell r="A425" t="str">
            <v>7451-NBS97</v>
          </cell>
          <cell r="B425" t="str">
            <v xml:space="preserve">AIR FARE                      </v>
          </cell>
          <cell r="C425">
            <v>1375.5</v>
          </cell>
          <cell r="D425">
            <v>0</v>
          </cell>
          <cell r="E425">
            <v>1375.5</v>
          </cell>
        </row>
        <row r="426">
          <cell r="A426" t="str">
            <v>7451-NBSA9</v>
          </cell>
          <cell r="B426" t="str">
            <v xml:space="preserve">AIR FARE: NBSA9               </v>
          </cell>
          <cell r="C426">
            <v>4688.2</v>
          </cell>
          <cell r="D426">
            <v>0</v>
          </cell>
          <cell r="E426">
            <v>4688.2</v>
          </cell>
        </row>
        <row r="427">
          <cell r="A427" t="str">
            <v>7451-ZZZZZ</v>
          </cell>
          <cell r="B427" t="str">
            <v xml:space="preserve">AIR FARE                      </v>
          </cell>
          <cell r="C427">
            <v>3192.19</v>
          </cell>
          <cell r="D427">
            <v>0</v>
          </cell>
          <cell r="E427">
            <v>3192.19</v>
          </cell>
        </row>
        <row r="428">
          <cell r="A428" t="str">
            <v>7452-00000</v>
          </cell>
          <cell r="B428" t="str">
            <v xml:space="preserve">LODGING                       </v>
          </cell>
          <cell r="C428">
            <v>218.5</v>
          </cell>
          <cell r="D428">
            <v>0</v>
          </cell>
          <cell r="E428">
            <v>218.5</v>
          </cell>
        </row>
        <row r="429">
          <cell r="A429" t="str">
            <v>7452-FAM97</v>
          </cell>
          <cell r="B429" t="str">
            <v xml:space="preserve">LODGING                       </v>
          </cell>
          <cell r="C429">
            <v>263.20999999999998</v>
          </cell>
          <cell r="D429">
            <v>0</v>
          </cell>
          <cell r="E429">
            <v>263.20999999999998</v>
          </cell>
        </row>
        <row r="430">
          <cell r="A430" t="str">
            <v>7452-FRNP9</v>
          </cell>
          <cell r="B430" t="str">
            <v xml:space="preserve">LODGING                       </v>
          </cell>
          <cell r="C430">
            <v>1516.83</v>
          </cell>
          <cell r="D430">
            <v>0</v>
          </cell>
          <cell r="E430">
            <v>1516.83</v>
          </cell>
        </row>
        <row r="431">
          <cell r="A431" t="str">
            <v>7452-HTL97</v>
          </cell>
          <cell r="B431" t="str">
            <v xml:space="preserve">LODGING: HTL97                </v>
          </cell>
          <cell r="C431">
            <v>585.98</v>
          </cell>
          <cell r="D431">
            <v>0</v>
          </cell>
          <cell r="E431">
            <v>585.98</v>
          </cell>
        </row>
        <row r="432">
          <cell r="A432" t="str">
            <v>7452-JPNP7</v>
          </cell>
          <cell r="B432" t="str">
            <v xml:space="preserve">LODGING: JPNP7                </v>
          </cell>
          <cell r="C432">
            <v>808.82</v>
          </cell>
          <cell r="D432">
            <v>0</v>
          </cell>
          <cell r="E432">
            <v>808.82</v>
          </cell>
        </row>
        <row r="433">
          <cell r="A433" t="str">
            <v>7452-NBS97</v>
          </cell>
          <cell r="B433" t="str">
            <v xml:space="preserve">LODGING                       </v>
          </cell>
          <cell r="C433">
            <v>557.55999999999995</v>
          </cell>
          <cell r="D433">
            <v>0</v>
          </cell>
          <cell r="E433">
            <v>557.55999999999995</v>
          </cell>
        </row>
        <row r="434">
          <cell r="A434" t="str">
            <v>7452-NBSA9</v>
          </cell>
          <cell r="B434" t="str">
            <v xml:space="preserve">LODGING: NBSA9                </v>
          </cell>
          <cell r="C434">
            <v>2319.2800000000002</v>
          </cell>
          <cell r="D434">
            <v>0</v>
          </cell>
          <cell r="E434">
            <v>2319.2800000000002</v>
          </cell>
        </row>
        <row r="435">
          <cell r="A435" t="str">
            <v>7452-ZZZZZ</v>
          </cell>
          <cell r="B435" t="str">
            <v xml:space="preserve">LODGING                       </v>
          </cell>
          <cell r="C435">
            <v>4417.3</v>
          </cell>
          <cell r="D435">
            <v>0</v>
          </cell>
          <cell r="E435">
            <v>4417.3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외부채"/>
      <sheetName val="Sheet1"/>
      <sheetName val="Sheet2"/>
      <sheetName val="Sheet3"/>
      <sheetName val="Template"/>
      <sheetName val="노무비"/>
      <sheetName val="TB"/>
      <sheetName val="조직Code"/>
      <sheetName val="TB(수정후)"/>
      <sheetName val="Summary"/>
      <sheetName val="Initial Input Variable"/>
      <sheetName val="단기금융상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현금"/>
      <sheetName val="예금"/>
      <sheetName val="단기금융상품"/>
      <sheetName val="장기금융상품"/>
      <sheetName val="단퇴"/>
      <sheetName val="조정표"/>
      <sheetName val="미수수익"/>
      <sheetName val="이자수익PT"/>
      <sheetName val="외화환산"/>
      <sheetName val="XREF"/>
      <sheetName val="Tickmarks"/>
      <sheetName val="부외부채"/>
      <sheetName val="TB"/>
      <sheetName val="조직Code"/>
      <sheetName val="노무비"/>
      <sheetName val="보수규정"/>
      <sheetName val="보수"/>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지급수수료내역"/>
      <sheetName val="운용성과수수료"/>
      <sheetName val="보수"/>
      <sheetName val="DISC"/>
      <sheetName val="건물별IS"/>
      <sheetName val="건물별IS (2)"/>
      <sheetName val="보수규정"/>
      <sheetName val="보수(회사제시)"/>
      <sheetName val="Tickmarks"/>
      <sheetName val="단기금융상품"/>
      <sheetName val="부외부채"/>
      <sheetName val="1 Cash Flow Analysis"/>
      <sheetName val="TB"/>
      <sheetName val="MatchCode"/>
      <sheetName val="LS"/>
    </sheetNames>
    <sheetDataSet>
      <sheetData sheetId="0" refreshError="1"/>
      <sheetData sheetId="1" refreshError="1"/>
      <sheetData sheetId="2">
        <row r="2">
          <cell r="C2" t="str">
            <v>KOCREF NPS 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LS (2)"/>
      <sheetName val="보수규정"/>
      <sheetName val="보수"/>
      <sheetName val="위탁보수"/>
      <sheetName val="단기금융상품"/>
      <sheetName val="부외부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및 예치금Lead"/>
      <sheetName val="보정"/>
      <sheetName val="현금실사"/>
      <sheetName val="주석"/>
      <sheetName val="현금및예치금 명세서"/>
      <sheetName val="지준예치금산출내역"/>
      <sheetName val="지준예치금이자"/>
      <sheetName val="이자수익PT"/>
      <sheetName val="미수수익"/>
      <sheetName val="XREF"/>
      <sheetName val="Tickmarks"/>
      <sheetName val="LS"/>
      <sheetName val="보수규정"/>
      <sheetName val="보수"/>
      <sheetName val="위탁보수"/>
      <sheetName val="단기금융상품"/>
      <sheetName val="TB"/>
    </sheetNames>
    <sheetDataSet>
      <sheetData sheetId="0"/>
      <sheetData sheetId="1" refreshError="1"/>
      <sheetData sheetId="2"/>
      <sheetData sheetId="3"/>
      <sheetData sheetId="4"/>
      <sheetData sheetId="5"/>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
      <sheetName val="Deliquency List"/>
      <sheetName val="Feb‐04 VR"/>
      <sheetName val="Variance"/>
      <sheetName val="Actual"/>
      <sheetName val="RentRoll"/>
      <sheetName val="RentRoll (2)"/>
      <sheetName val="RentRoll(駐） (2)"/>
      <sheetName val="RentRoll(駐）"/>
      <sheetName val="RentRoll（TR）"/>
      <sheetName val="RentRoll（TR） (2)"/>
      <sheetName val="Stacking Plan"/>
      <sheetName val="Sheet1"/>
      <sheetName val="Budget"/>
      <sheetName val="Sheet2"/>
      <sheetName val="TB"/>
      <sheetName val="노무비"/>
      <sheetName val="INPUT"/>
      <sheetName val="Initial Input Variable"/>
      <sheetName val="Macro Codes"/>
      <sheetName val="6호기"/>
      <sheetName val="데이타"/>
      <sheetName val="판관비"/>
      <sheetName val="유형"/>
      <sheetName val="고정부채"/>
      <sheetName val="현금 및 예치금Lead"/>
      <sheetName val="현금및예치금 명세서"/>
      <sheetName val="미수수익"/>
      <sheetName val="XREF"/>
      <sheetName val="LS"/>
      <sheetName val="보수규정"/>
      <sheetName val="보수"/>
      <sheetName val="지분법(지분수정전)"/>
      <sheetName val="Rent R."/>
      <sheetName val="Collateral"/>
      <sheetName val="Replacement"/>
      <sheetName val="Rent Roll"/>
      <sheetName val="미수이자"/>
      <sheetName val="Occ, Other Rev, Exp, Dispo"/>
      <sheetName val="Tenants"/>
      <sheetName val="Template"/>
      <sheetName val="내역서"/>
      <sheetName val="노임단가"/>
      <sheetName val="ABO"/>
      <sheetName val="PRJ"/>
      <sheetName val="Ⅳ.1.KEY수입"/>
      <sheetName val="Ⅳ-4.수익총괄"/>
      <sheetName val="관계회사거래내역및 채권채무잔액 99"/>
      <sheetName val="ASSUM"/>
      <sheetName val="Macro!"/>
      <sheetName val="Sim"/>
      <sheetName val="ADR"/>
      <sheetName val="ARDEBT"/>
      <sheetName val="Total"/>
      <sheetName val="대차대조표"/>
      <sheetName val="리츠"/>
      <sheetName val="Debt"/>
      <sheetName val="TI CALC"/>
      <sheetName val="#REF"/>
      <sheetName val="TEMP報告書ﾃｰﾌﾞﾙ情報"/>
      <sheetName val="TEMP報告書ﾃｰﾌﾞﾙ情報媒体"/>
      <sheetName val="Data"/>
      <sheetName val="급여표"/>
      <sheetName val="98지급계획"/>
      <sheetName val="ExecutiveSummary_"/>
      <sheetName val="Deliquency_List"/>
      <sheetName val="Feb‐04_VR"/>
      <sheetName val="RentRoll_(2)"/>
      <sheetName val="RentRoll(駐）_(2)"/>
      <sheetName val="RentRoll（TR）_(2)"/>
      <sheetName val="Stacking_Plan"/>
      <sheetName val="Occ,_Other_Rev,_Exp,_Dispo"/>
      <sheetName val="Rent_Roll"/>
      <sheetName val="Initial_Input_Variable"/>
      <sheetName val="Macro_Codes"/>
      <sheetName val="Inputs"/>
      <sheetName val="Sheet3 (2)"/>
      <sheetName val="2.대외공문"/>
      <sheetName val="별제권_정리담보권1"/>
      <sheetName val="Control"/>
      <sheetName val="계정"/>
      <sheetName val="table"/>
      <sheetName val="Uskei（契約）"/>
      <sheetName val="Actuals &amp; Forecast"/>
      <sheetName val="Property Information Summary"/>
      <sheetName val="Martyn Apr"/>
      <sheetName val="Sector 3 Summary"/>
      <sheetName val="Todoroki Feb-04"/>
      <sheetName val="Main Assumptions"/>
      <sheetName val="リスト"/>
      <sheetName val="選択リスト"/>
      <sheetName val="PL"/>
      <sheetName val="Wkg"/>
      <sheetName val="부외부채"/>
      <sheetName val="Trial Balance"/>
      <sheetName val="Cap Table"/>
      <sheetName val="Share Price"/>
      <sheetName val="Assumptions"/>
      <sheetName val="Civil Boq"/>
      <sheetName val="LevModel"/>
      <sheetName val="受益者"/>
      <sheetName val="현금_및_예치금Lead"/>
      <sheetName val="현금및예치금_명세서"/>
      <sheetName val="Ⅳ_1_KEY수입"/>
      <sheetName val="Ⅳ-4_수익총괄"/>
      <sheetName val="Letting Report"/>
      <sheetName val="Overall Portfolio"/>
      <sheetName val="Payment Schedule"/>
      <sheetName val="BS_임대료"/>
      <sheetName val="BS_보증금"/>
      <sheetName val="매출세금계산서합계"/>
      <sheetName val="매출계산서합계"/>
      <sheetName val="현금영수증"/>
      <sheetName val="비용"/>
      <sheetName val="IS"/>
      <sheetName val="미수금"/>
      <sheetName val="간주부가세"/>
      <sheetName val="SD"/>
      <sheetName val="DTA"/>
      <sheetName val="DTA Calcuation"/>
      <sheetName val="Other creditors"/>
      <sheetName val="Amt due to Related companies"/>
      <sheetName val="Indirect tax payable"/>
      <sheetName val="AP"/>
      <sheetName val="Accrued expenses"/>
      <sheetName val="10.10.2003"/>
      <sheetName val="PK checklist"/>
      <sheetName val="6月"/>
      <sheetName val="가도공"/>
      <sheetName val="area detail"/>
      <sheetName val="OG &amp; AC Calculations"/>
      <sheetName val="Dvlp Summary"/>
      <sheetName val="Assump"/>
      <sheetName val="Static Data"/>
      <sheetName val="Rooms"/>
      <sheetName val="BTS vs Multi"/>
      <sheetName val="T2 &amp; TB Acs"/>
      <sheetName val="Setting"/>
      <sheetName val="物件概要"/>
      <sheetName val="EQT-ESTN"/>
      <sheetName val="もとのボトム"/>
      <sheetName val="手元比準表"/>
      <sheetName val="プルダウンシート"/>
      <sheetName val="(Monthly)"/>
      <sheetName val="인원계획-미화"/>
      <sheetName val="Fee Rate Summary"/>
      <sheetName val="Customize Your Invoice"/>
      <sheetName val="Entry list"/>
      <sheetName val="PRC TB"/>
      <sheetName val="1.1 Project Data"/>
      <sheetName val="Cash Flow Annual"/>
      <sheetName val="RATE"/>
      <sheetName val="Setup"/>
      <sheetName val="CF cap"/>
      <sheetName val="ForEx"/>
      <sheetName val="Misc Data"/>
      <sheetName val="BwaLesehilfe"/>
      <sheetName val="Cash"/>
      <sheetName val="Status"/>
      <sheetName val="Coslada III"/>
      <sheetName val="表紙"/>
      <sheetName val="Ikoma Data"/>
      <sheetName val="Major Assumption"/>
      <sheetName val="A-General"/>
      <sheetName val="sum"/>
      <sheetName val="37含み経"/>
      <sheetName val="請求コードMST"/>
      <sheetName val="Sector_3_Summary"/>
      <sheetName val="Todoroki_Feb-04"/>
      <sheetName val="Main_Assumptions"/>
      <sheetName val="Rent_R_"/>
      <sheetName val="관계회사거래내역및_채권채무잔액_99"/>
      <sheetName val="Letting_Report"/>
      <sheetName val="Income Valuation"/>
      <sheetName val="ML_LS Promote"/>
      <sheetName val="Utdata"/>
      <sheetName val="TBL賃貸住宅情報"/>
      <sheetName val="Approved Renov Payment Schedule"/>
      <sheetName val="A"/>
      <sheetName val="Betas"/>
      <sheetName val="持株比率"/>
      <sheetName val="2限定"/>
      <sheetName val="BOND LIABILITY"/>
      <sheetName val="PRESUPUESTO 99-00"/>
      <sheetName val="1"/>
      <sheetName val="RCN EY cash flow summary"/>
      <sheetName val="05年度PM02以前"/>
      <sheetName val="P&amp;L"/>
      <sheetName val="TI_CALC"/>
      <sheetName val="Martyn_Apr"/>
      <sheetName val="Rest Rev"/>
      <sheetName val="目录"/>
      <sheetName val="Cash bal Mar"/>
      <sheetName val="Pg2.Maint Svc Stats"/>
      <sheetName val="2008账"/>
      <sheetName val="LS-BS"/>
      <sheetName val="Interpretations (incl piling)"/>
      <sheetName val="source"/>
      <sheetName val="序时账"/>
      <sheetName val="Cash bal"/>
      <sheetName val=" Assump"/>
      <sheetName val="PF_C&amp;I"/>
      <sheetName val="BREA Model"/>
      <sheetName val="tanka"/>
      <sheetName val="S&amp;U"/>
      <sheetName val="台帳（Rent）"/>
      <sheetName val="NOI Analysis"/>
      <sheetName val="Taxes&amp;Insurance"/>
      <sheetName val="Schedule 5A"/>
      <sheetName val="00"/>
      <sheetName val="往来明细"/>
      <sheetName val="往来明细1"/>
      <sheetName val="往来明细2"/>
      <sheetName val="月度序时账"/>
      <sheetName val="Cash Flow"/>
      <sheetName val="base case"/>
      <sheetName val="General information"/>
      <sheetName val="機械設備"/>
      <sheetName val="Non-Statistical Sampling"/>
      <sheetName val="3-1-1现金"/>
      <sheetName val="1999"/>
      <sheetName val="Capital"/>
      <sheetName val="MENU"/>
      <sheetName val="Arch Mgt Fee 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nt Roll"/>
      <sheetName val="Summary"/>
      <sheetName val="1 Cash Flow Analysis"/>
      <sheetName val="2 Unleveraged Report"/>
      <sheetName val="3 Leveraged Report"/>
      <sheetName val="Reversion Calcs"/>
      <sheetName val="CAPEX &amp; Insur. Calcs"/>
      <sheetName val="Property Tax Calcs"/>
      <sheetName val="Budget"/>
      <sheetName val="보수규정"/>
      <sheetName val="보수"/>
      <sheetName val="단기금융상품"/>
      <sheetName val="현금 및 예치금Lead"/>
      <sheetName val="현금및예치금 명세서"/>
      <sheetName val="미수수익"/>
      <sheetName val="XREF"/>
      <sheetName val="부외부채"/>
      <sheetName val="7.31연체현황"/>
    </sheetNames>
    <sheetDataSet>
      <sheetData sheetId="0" refreshError="1"/>
      <sheetData sheetId="1" refreshError="1">
        <row r="1">
          <cell r="K1">
            <v>3.30579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6.30"/>
      <sheetName val="6.30연체현황"/>
      <sheetName val="7.31연체현황"/>
      <sheetName val="6.30원금연체분"/>
      <sheetName val="9.30원금연체분"/>
      <sheetName val="12.31원금연체분 "/>
      <sheetName val="9.30"/>
      <sheetName val="12.31"/>
      <sheetName val="청구표"/>
      <sheetName val="연체현황 (2)"/>
      <sheetName val="진방"/>
      <sheetName val="해운"/>
      <sheetName val="남광"/>
      <sheetName val="영수증"/>
      <sheetName val="Rent Roll"/>
      <sheetName val="Budget"/>
      <sheetName val="TB"/>
      <sheetName val="현금 및 예치금Lead"/>
      <sheetName val="현금및예치금 명세서"/>
      <sheetName val="미수수익"/>
      <sheetName val="XREF"/>
      <sheetName val="LS"/>
      <sheetName val="Walse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heetName val="Cash Flow"/>
      <sheetName val="Won Fwd Curve"/>
      <sheetName val="Chonsei"/>
      <sheetName val="Walsei"/>
      <sheetName val="Occupancy"/>
      <sheetName val="Rent Roll"/>
      <sheetName val="Mrtg Table"/>
      <sheetName val="7.31연체현황"/>
      <sheetName val="Budget"/>
      <sheetName val="Total"/>
    </sheetNames>
    <sheetDataSet>
      <sheetData sheetId="0"/>
      <sheetData sheetId="1"/>
      <sheetData sheetId="2"/>
      <sheetData sheetId="3"/>
      <sheetData sheetId="4">
        <row r="7">
          <cell r="E7" t="str">
            <v>A</v>
          </cell>
          <cell r="F7">
            <v>33750</v>
          </cell>
          <cell r="G7">
            <v>33750</v>
          </cell>
          <cell r="H7">
            <v>33750</v>
          </cell>
          <cell r="I7">
            <v>33750</v>
          </cell>
          <cell r="J7">
            <v>33750</v>
          </cell>
          <cell r="K7">
            <v>33750</v>
          </cell>
          <cell r="L7">
            <v>33750</v>
          </cell>
          <cell r="M7">
            <v>33750</v>
          </cell>
          <cell r="N7">
            <v>33750</v>
          </cell>
          <cell r="O7">
            <v>33750</v>
          </cell>
          <cell r="P7">
            <v>33750</v>
          </cell>
          <cell r="Q7">
            <v>33750</v>
          </cell>
          <cell r="R7">
            <v>34762.5</v>
          </cell>
          <cell r="S7">
            <v>34762.5</v>
          </cell>
          <cell r="T7">
            <v>34762.5</v>
          </cell>
          <cell r="U7">
            <v>34762.5</v>
          </cell>
          <cell r="V7">
            <v>34762.5</v>
          </cell>
          <cell r="W7">
            <v>34762.5</v>
          </cell>
          <cell r="X7">
            <v>34762.5</v>
          </cell>
          <cell r="Y7">
            <v>34762.5</v>
          </cell>
          <cell r="Z7">
            <v>34762.5</v>
          </cell>
          <cell r="AA7">
            <v>34762.5</v>
          </cell>
          <cell r="AB7">
            <v>34762.5</v>
          </cell>
          <cell r="AC7">
            <v>34762.5</v>
          </cell>
          <cell r="AD7">
            <v>35805.375</v>
          </cell>
          <cell r="AE7">
            <v>35805.375</v>
          </cell>
          <cell r="AF7">
            <v>35805.375</v>
          </cell>
          <cell r="AG7">
            <v>35805.375</v>
          </cell>
          <cell r="AH7">
            <v>35805.375</v>
          </cell>
          <cell r="AI7">
            <v>35805.375</v>
          </cell>
          <cell r="AJ7">
            <v>35805.375</v>
          </cell>
          <cell r="AK7">
            <v>35805.375</v>
          </cell>
          <cell r="AL7">
            <v>35805.375</v>
          </cell>
          <cell r="AM7">
            <v>35805.375</v>
          </cell>
          <cell r="AN7">
            <v>35805.375</v>
          </cell>
          <cell r="AO7">
            <v>35805.375</v>
          </cell>
          <cell r="AP7">
            <v>36879.536249999997</v>
          </cell>
          <cell r="AQ7">
            <v>36879.536249999997</v>
          </cell>
          <cell r="AR7">
            <v>36879.536249999997</v>
          </cell>
          <cell r="AS7">
            <v>36879.536249999997</v>
          </cell>
          <cell r="AT7">
            <v>36879.536249999997</v>
          </cell>
          <cell r="AU7">
            <v>36879.536249999997</v>
          </cell>
          <cell r="AV7">
            <v>36879.536249999997</v>
          </cell>
          <cell r="AW7">
            <v>36879.536249999997</v>
          </cell>
          <cell r="AX7">
            <v>36879.536249999997</v>
          </cell>
          <cell r="AY7">
            <v>36879.536249999997</v>
          </cell>
          <cell r="AZ7">
            <v>36879.536249999997</v>
          </cell>
          <cell r="BA7">
            <v>36879.536249999997</v>
          </cell>
          <cell r="BB7">
            <v>37985.9223375</v>
          </cell>
          <cell r="BC7">
            <v>37985.9223375</v>
          </cell>
          <cell r="BD7">
            <v>37985.9223375</v>
          </cell>
          <cell r="BE7">
            <v>37985.9223375</v>
          </cell>
          <cell r="BF7">
            <v>37985.9223375</v>
          </cell>
          <cell r="BG7">
            <v>37985.9223375</v>
          </cell>
          <cell r="BH7">
            <v>37985.9223375</v>
          </cell>
          <cell r="BI7">
            <v>37985.9223375</v>
          </cell>
          <cell r="BJ7">
            <v>37985.9223375</v>
          </cell>
          <cell r="BK7">
            <v>37985.9223375</v>
          </cell>
          <cell r="BL7">
            <v>37985.9223375</v>
          </cell>
          <cell r="BM7">
            <v>37985.9223375</v>
          </cell>
          <cell r="BN7">
            <v>39125.500007625</v>
          </cell>
          <cell r="BO7">
            <v>39125.500007625</v>
          </cell>
          <cell r="BP7">
            <v>39125.500007625</v>
          </cell>
          <cell r="BQ7">
            <v>39125.500007625</v>
          </cell>
          <cell r="BR7">
            <v>39125.500007625</v>
          </cell>
          <cell r="BS7">
            <v>39125.500007625</v>
          </cell>
          <cell r="BT7">
            <v>39125.500007625</v>
          </cell>
          <cell r="BU7">
            <v>39125.500007625</v>
          </cell>
          <cell r="BV7">
            <v>39125.500007625</v>
          </cell>
          <cell r="BW7">
            <v>39125.500007625</v>
          </cell>
          <cell r="BX7">
            <v>39125.500007625</v>
          </cell>
          <cell r="BY7">
            <v>39125.500007625</v>
          </cell>
        </row>
        <row r="8">
          <cell r="E8" t="str">
            <v>B</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row>
        <row r="9">
          <cell r="E9" t="str">
            <v>C</v>
          </cell>
          <cell r="F9">
            <v>61875</v>
          </cell>
          <cell r="G9">
            <v>61875</v>
          </cell>
          <cell r="H9">
            <v>61875</v>
          </cell>
          <cell r="I9">
            <v>61875</v>
          </cell>
          <cell r="J9">
            <v>61875</v>
          </cell>
          <cell r="K9">
            <v>61875</v>
          </cell>
          <cell r="L9">
            <v>61875</v>
          </cell>
          <cell r="M9">
            <v>61875</v>
          </cell>
          <cell r="N9">
            <v>61875</v>
          </cell>
          <cell r="O9">
            <v>61875</v>
          </cell>
          <cell r="P9">
            <v>61875</v>
          </cell>
          <cell r="Q9">
            <v>61875</v>
          </cell>
          <cell r="R9">
            <v>63731.25</v>
          </cell>
          <cell r="S9">
            <v>63731.25</v>
          </cell>
          <cell r="T9">
            <v>63731.25</v>
          </cell>
          <cell r="U9">
            <v>63731.25</v>
          </cell>
          <cell r="V9">
            <v>63731.25</v>
          </cell>
          <cell r="W9">
            <v>63731.25</v>
          </cell>
          <cell r="X9">
            <v>63731.25</v>
          </cell>
          <cell r="Y9">
            <v>63731.25</v>
          </cell>
          <cell r="Z9">
            <v>63731.25</v>
          </cell>
          <cell r="AA9">
            <v>63731.25</v>
          </cell>
          <cell r="AB9">
            <v>63731.25</v>
          </cell>
          <cell r="AC9">
            <v>63731.25</v>
          </cell>
          <cell r="AD9">
            <v>65643.1875</v>
          </cell>
          <cell r="AE9">
            <v>65643.1875</v>
          </cell>
          <cell r="AF9">
            <v>65643.1875</v>
          </cell>
          <cell r="AG9">
            <v>65643.1875</v>
          </cell>
          <cell r="AH9">
            <v>65643.1875</v>
          </cell>
          <cell r="AI9">
            <v>65643.1875</v>
          </cell>
          <cell r="AJ9">
            <v>65643.1875</v>
          </cell>
          <cell r="AK9">
            <v>65643.1875</v>
          </cell>
          <cell r="AL9">
            <v>65643.1875</v>
          </cell>
          <cell r="AM9">
            <v>65643.1875</v>
          </cell>
          <cell r="AN9">
            <v>65643.1875</v>
          </cell>
          <cell r="AO9">
            <v>65643.1875</v>
          </cell>
          <cell r="AP9">
            <v>67612.483124999999</v>
          </cell>
          <cell r="AQ9">
            <v>67612.483124999999</v>
          </cell>
          <cell r="AR9">
            <v>67612.483124999999</v>
          </cell>
          <cell r="AS9">
            <v>67612.483124999999</v>
          </cell>
          <cell r="AT9">
            <v>67612.483124999999</v>
          </cell>
          <cell r="AU9">
            <v>67612.483124999999</v>
          </cell>
          <cell r="AV9">
            <v>67612.483124999999</v>
          </cell>
          <cell r="AW9">
            <v>67612.483124999999</v>
          </cell>
          <cell r="AX9">
            <v>67612.483124999999</v>
          </cell>
          <cell r="AY9">
            <v>67612.483124999999</v>
          </cell>
          <cell r="AZ9">
            <v>67612.483124999999</v>
          </cell>
          <cell r="BA9">
            <v>67612.483124999999</v>
          </cell>
          <cell r="BB9">
            <v>69640.85761875</v>
          </cell>
          <cell r="BC9">
            <v>69640.85761875</v>
          </cell>
          <cell r="BD9">
            <v>69640.85761875</v>
          </cell>
          <cell r="BE9">
            <v>69640.85761875</v>
          </cell>
          <cell r="BF9">
            <v>69640.85761875</v>
          </cell>
          <cell r="BG9">
            <v>69640.85761875</v>
          </cell>
          <cell r="BH9">
            <v>69640.85761875</v>
          </cell>
          <cell r="BI9">
            <v>69640.85761875</v>
          </cell>
          <cell r="BJ9">
            <v>69640.85761875</v>
          </cell>
          <cell r="BK9">
            <v>69640.85761875</v>
          </cell>
          <cell r="BL9">
            <v>69640.85761875</v>
          </cell>
          <cell r="BM9">
            <v>69640.85761875</v>
          </cell>
          <cell r="BN9">
            <v>71730.083347312495</v>
          </cell>
          <cell r="BO9">
            <v>71730.083347312495</v>
          </cell>
          <cell r="BP9">
            <v>71730.083347312495</v>
          </cell>
          <cell r="BQ9">
            <v>71730.083347312495</v>
          </cell>
          <cell r="BR9">
            <v>71730.083347312495</v>
          </cell>
          <cell r="BS9">
            <v>71730.083347312495</v>
          </cell>
          <cell r="BT9">
            <v>71730.083347312495</v>
          </cell>
          <cell r="BU9">
            <v>71730.083347312495</v>
          </cell>
          <cell r="BV9">
            <v>71730.083347312495</v>
          </cell>
          <cell r="BW9">
            <v>71730.083347312495</v>
          </cell>
          <cell r="BX9">
            <v>71730.083347312495</v>
          </cell>
          <cell r="BY9">
            <v>71730.083347312495</v>
          </cell>
        </row>
        <row r="10">
          <cell r="E10" t="str">
            <v>D</v>
          </cell>
          <cell r="F10">
            <v>42750</v>
          </cell>
          <cell r="G10">
            <v>42750</v>
          </cell>
          <cell r="H10">
            <v>42750</v>
          </cell>
          <cell r="I10">
            <v>42750</v>
          </cell>
          <cell r="J10">
            <v>42750</v>
          </cell>
          <cell r="K10">
            <v>42750</v>
          </cell>
          <cell r="L10">
            <v>42750</v>
          </cell>
          <cell r="M10">
            <v>42750</v>
          </cell>
          <cell r="N10">
            <v>42750</v>
          </cell>
          <cell r="O10">
            <v>42750</v>
          </cell>
          <cell r="P10">
            <v>42750</v>
          </cell>
          <cell r="Q10">
            <v>42750</v>
          </cell>
          <cell r="R10">
            <v>44032.5</v>
          </cell>
          <cell r="S10">
            <v>44032.5</v>
          </cell>
          <cell r="T10">
            <v>44032.5</v>
          </cell>
          <cell r="U10">
            <v>44032.5</v>
          </cell>
          <cell r="V10">
            <v>44032.5</v>
          </cell>
          <cell r="W10">
            <v>44032.5</v>
          </cell>
          <cell r="X10">
            <v>44032.5</v>
          </cell>
          <cell r="Y10">
            <v>44032.5</v>
          </cell>
          <cell r="Z10">
            <v>44032.5</v>
          </cell>
          <cell r="AA10">
            <v>44032.5</v>
          </cell>
          <cell r="AB10">
            <v>44032.5</v>
          </cell>
          <cell r="AC10">
            <v>44032.5</v>
          </cell>
          <cell r="AD10">
            <v>45353.474999999999</v>
          </cell>
          <cell r="AE10">
            <v>45353.474999999999</v>
          </cell>
          <cell r="AF10">
            <v>45353.474999999999</v>
          </cell>
          <cell r="AG10">
            <v>45353.474999999999</v>
          </cell>
          <cell r="AH10">
            <v>45353.474999999999</v>
          </cell>
          <cell r="AI10">
            <v>45353.474999999999</v>
          </cell>
          <cell r="AJ10">
            <v>45353.474999999999</v>
          </cell>
          <cell r="AK10">
            <v>45353.474999999999</v>
          </cell>
          <cell r="AL10">
            <v>45353.474999999999</v>
          </cell>
          <cell r="AM10">
            <v>45353.474999999999</v>
          </cell>
          <cell r="AN10">
            <v>45353.474999999999</v>
          </cell>
          <cell r="AO10">
            <v>45353.474999999999</v>
          </cell>
          <cell r="AP10">
            <v>46714.079250000003</v>
          </cell>
          <cell r="AQ10">
            <v>46714.079250000003</v>
          </cell>
          <cell r="AR10">
            <v>46714.079250000003</v>
          </cell>
          <cell r="AS10">
            <v>46714.079250000003</v>
          </cell>
          <cell r="AT10">
            <v>46714.079250000003</v>
          </cell>
          <cell r="AU10">
            <v>46714.079250000003</v>
          </cell>
          <cell r="AV10">
            <v>46714.079250000003</v>
          </cell>
          <cell r="AW10">
            <v>46714.079250000003</v>
          </cell>
          <cell r="AX10">
            <v>46714.079250000003</v>
          </cell>
          <cell r="AY10">
            <v>46714.079250000003</v>
          </cell>
          <cell r="AZ10">
            <v>46714.079250000003</v>
          </cell>
          <cell r="BA10">
            <v>46714.079250000003</v>
          </cell>
          <cell r="BB10">
            <v>48115.501627500002</v>
          </cell>
          <cell r="BC10">
            <v>48115.501627500002</v>
          </cell>
          <cell r="BD10">
            <v>48115.501627500002</v>
          </cell>
          <cell r="BE10">
            <v>48115.501627500002</v>
          </cell>
          <cell r="BF10">
            <v>48115.501627500002</v>
          </cell>
          <cell r="BG10">
            <v>48115.501627500002</v>
          </cell>
          <cell r="BH10">
            <v>48115.501627500002</v>
          </cell>
          <cell r="BI10">
            <v>48115.501627500002</v>
          </cell>
          <cell r="BJ10">
            <v>48115.501627500002</v>
          </cell>
          <cell r="BK10">
            <v>48115.501627500002</v>
          </cell>
          <cell r="BL10">
            <v>48115.501627500002</v>
          </cell>
          <cell r="BM10">
            <v>48115.501627500002</v>
          </cell>
          <cell r="BN10">
            <v>49558.966676325006</v>
          </cell>
          <cell r="BO10">
            <v>49558.966676325006</v>
          </cell>
          <cell r="BP10">
            <v>49558.966676325006</v>
          </cell>
          <cell r="BQ10">
            <v>49558.966676325006</v>
          </cell>
          <cell r="BR10">
            <v>49558.966676325006</v>
          </cell>
          <cell r="BS10">
            <v>49558.966676325006</v>
          </cell>
          <cell r="BT10">
            <v>49558.966676325006</v>
          </cell>
          <cell r="BU10">
            <v>49558.966676325006</v>
          </cell>
          <cell r="BV10">
            <v>49558.966676325006</v>
          </cell>
          <cell r="BW10">
            <v>49558.966676325006</v>
          </cell>
          <cell r="BX10">
            <v>49558.966676325006</v>
          </cell>
          <cell r="BY10">
            <v>49558.966676325006</v>
          </cell>
        </row>
        <row r="11">
          <cell r="E11" t="str">
            <v>E</v>
          </cell>
          <cell r="F11">
            <v>42750</v>
          </cell>
          <cell r="G11">
            <v>42750</v>
          </cell>
          <cell r="H11">
            <v>42750</v>
          </cell>
          <cell r="I11">
            <v>42750</v>
          </cell>
          <cell r="J11">
            <v>42750</v>
          </cell>
          <cell r="K11">
            <v>42750</v>
          </cell>
          <cell r="L11">
            <v>42750</v>
          </cell>
          <cell r="M11">
            <v>42750</v>
          </cell>
          <cell r="N11">
            <v>42750</v>
          </cell>
          <cell r="O11">
            <v>42750</v>
          </cell>
          <cell r="P11">
            <v>42750</v>
          </cell>
          <cell r="Q11">
            <v>42750</v>
          </cell>
          <cell r="R11">
            <v>44032.5</v>
          </cell>
          <cell r="S11">
            <v>44032.5</v>
          </cell>
          <cell r="T11">
            <v>44032.5</v>
          </cell>
          <cell r="U11">
            <v>44032.5</v>
          </cell>
          <cell r="V11">
            <v>44032.5</v>
          </cell>
          <cell r="W11">
            <v>44032.5</v>
          </cell>
          <cell r="X11">
            <v>44032.5</v>
          </cell>
          <cell r="Y11">
            <v>44032.5</v>
          </cell>
          <cell r="Z11">
            <v>44032.5</v>
          </cell>
          <cell r="AA11">
            <v>44032.5</v>
          </cell>
          <cell r="AB11">
            <v>44032.5</v>
          </cell>
          <cell r="AC11">
            <v>44032.5</v>
          </cell>
          <cell r="AD11">
            <v>45353.474999999999</v>
          </cell>
          <cell r="AE11">
            <v>45353.474999999999</v>
          </cell>
          <cell r="AF11">
            <v>45353.474999999999</v>
          </cell>
          <cell r="AG11">
            <v>45353.474999999999</v>
          </cell>
          <cell r="AH11">
            <v>45353.474999999999</v>
          </cell>
          <cell r="AI11">
            <v>45353.474999999999</v>
          </cell>
          <cell r="AJ11">
            <v>45353.474999999999</v>
          </cell>
          <cell r="AK11">
            <v>45353.474999999999</v>
          </cell>
          <cell r="AL11">
            <v>45353.474999999999</v>
          </cell>
          <cell r="AM11">
            <v>45353.474999999999</v>
          </cell>
          <cell r="AN11">
            <v>45353.474999999999</v>
          </cell>
          <cell r="AO11">
            <v>45353.474999999999</v>
          </cell>
          <cell r="AP11">
            <v>46714.079250000003</v>
          </cell>
          <cell r="AQ11">
            <v>46714.079250000003</v>
          </cell>
          <cell r="AR11">
            <v>46714.079250000003</v>
          </cell>
          <cell r="AS11">
            <v>46714.079250000003</v>
          </cell>
          <cell r="AT11">
            <v>46714.079250000003</v>
          </cell>
          <cell r="AU11">
            <v>46714.079250000003</v>
          </cell>
          <cell r="AV11">
            <v>46714.079250000003</v>
          </cell>
          <cell r="AW11">
            <v>46714.079250000003</v>
          </cell>
          <cell r="AX11">
            <v>46714.079250000003</v>
          </cell>
          <cell r="AY11">
            <v>46714.079250000003</v>
          </cell>
          <cell r="AZ11">
            <v>46714.079250000003</v>
          </cell>
          <cell r="BA11">
            <v>46714.079250000003</v>
          </cell>
          <cell r="BB11">
            <v>48115.501627500002</v>
          </cell>
          <cell r="BC11">
            <v>48115.501627500002</v>
          </cell>
          <cell r="BD11">
            <v>48115.501627500002</v>
          </cell>
          <cell r="BE11">
            <v>48115.501627500002</v>
          </cell>
          <cell r="BF11">
            <v>48115.501627500002</v>
          </cell>
          <cell r="BG11">
            <v>48115.501627500002</v>
          </cell>
          <cell r="BH11">
            <v>48115.501627500002</v>
          </cell>
          <cell r="BI11">
            <v>48115.501627500002</v>
          </cell>
          <cell r="BJ11">
            <v>48115.501627500002</v>
          </cell>
          <cell r="BK11">
            <v>48115.501627500002</v>
          </cell>
          <cell r="BL11">
            <v>48115.501627500002</v>
          </cell>
          <cell r="BM11">
            <v>48115.501627500002</v>
          </cell>
          <cell r="BN11">
            <v>49558.966676325006</v>
          </cell>
          <cell r="BO11">
            <v>49558.966676325006</v>
          </cell>
          <cell r="BP11">
            <v>49558.966676325006</v>
          </cell>
          <cell r="BQ11">
            <v>49558.966676325006</v>
          </cell>
          <cell r="BR11">
            <v>49558.966676325006</v>
          </cell>
          <cell r="BS11">
            <v>49558.966676325006</v>
          </cell>
          <cell r="BT11">
            <v>49558.966676325006</v>
          </cell>
          <cell r="BU11">
            <v>49558.966676325006</v>
          </cell>
          <cell r="BV11">
            <v>49558.966676325006</v>
          </cell>
          <cell r="BW11">
            <v>49558.966676325006</v>
          </cell>
          <cell r="BX11">
            <v>49558.966676325006</v>
          </cell>
          <cell r="BY11">
            <v>49558.966676325006</v>
          </cell>
        </row>
      </sheetData>
      <sheetData sheetId="5"/>
      <sheetData sheetId="6"/>
      <sheetData sheetId="7"/>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ckmarks "/>
      <sheetName val="감가상각누계액"/>
      <sheetName val="XREF"/>
      <sheetName val="1.외주공사"/>
      <sheetName val="경영현황"/>
      <sheetName val="감소Test"/>
      <sheetName val="감사인검토내역(PAJE)"/>
      <sheetName val="유형자산증감"/>
      <sheetName val="DATA"/>
      <sheetName val="수정사항summary(반기)"/>
      <sheetName val="관세"/>
      <sheetName val="공사미수금"/>
      <sheetName val="취득 처분명세_반기"/>
      <sheetName val="SUMMARY"/>
      <sheetName val="조회서"/>
      <sheetName val="인건비 내역서"/>
      <sheetName val="한세A4PL"/>
      <sheetName val="RESULT"/>
      <sheetName val="Worksheet in 5760 감가상각비(누계액)명세서"/>
      <sheetName val="동해title"/>
      <sheetName val="3110-2"/>
      <sheetName val="유형"/>
      <sheetName val="고정부채"/>
      <sheetName val="시산표"/>
      <sheetName val="lead"/>
      <sheetName val="손익"/>
      <sheetName val="감가상각LS"/>
      <sheetName val="LS "/>
      <sheetName val="감가상각"/>
      <sheetName val="Sheet1"/>
      <sheetName val="기타의투자자산"/>
      <sheetName val="장기대여금"/>
      <sheetName val="600-4"/>
      <sheetName val="D620"/>
      <sheetName val="매출채권"/>
      <sheetName val="기타당좌자산"/>
      <sheetName val="5300"/>
      <sheetName val="5500"/>
      <sheetName val="유형자산증가"/>
      <sheetName val="부외부채"/>
      <sheetName val="매입채무"/>
      <sheetName val="SS10"/>
      <sheetName val="손익계산서"/>
      <sheetName val="0.총괄"/>
      <sheetName val="3"/>
      <sheetName val="MARCH 25"/>
      <sheetName val="매출"/>
      <sheetName val="6120"/>
      <sheetName val="xxxxxx"/>
      <sheetName val="시산표(매출조정전)"/>
      <sheetName val="고정자산원본"/>
      <sheetName val="감액검토_x_"/>
      <sheetName val="보증금"/>
      <sheetName val="1.LEAD"/>
      <sheetName val="손익합산"/>
      <sheetName val="compare2"/>
      <sheetName val="LS"/>
      <sheetName val="자료"/>
      <sheetName val="INFO"/>
      <sheetName val="외환차손익"/>
      <sheetName val="5400-재고자산Lead"/>
      <sheetName val="만기"/>
      <sheetName val="99발견사항"/>
      <sheetName val="발견사항"/>
      <sheetName val="wbs"/>
      <sheetName val="wpl"/>
      <sheetName val="대차대조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상품매출원가"/>
      <sheetName val="회사제시"/>
      <sheetName val="거래처별매출비율_Interim"/>
      <sheetName val="1998 P &amp; L"/>
      <sheetName val="분양미수금"/>
      <sheetName val="신기술(비상장)0412"/>
      <sheetName val="리드"/>
      <sheetName val="후순위채05.01.20"/>
      <sheetName val="통계자료"/>
      <sheetName val="매출LS"/>
      <sheetName val="Seasonality"/>
      <sheetName val="#REF"/>
      <sheetName val="Balanc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총괄"/>
      <sheetName val="Template"/>
      <sheetName val="PdmDesigner"/>
      <sheetName val="FN"/>
      <sheetName val="Menu_Link"/>
      <sheetName val="TB(BS)"/>
      <sheetName val="TB(PL)"/>
      <sheetName val="PAJE"/>
      <sheetName val="PRJE"/>
      <sheetName val="무형"/>
      <sheetName val="1_외주공사"/>
      <sheetName val="비품(94이전)"/>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front"/>
      <sheetName val="재료비"/>
      <sheetName val="가공비"/>
      <sheetName val="판관비"/>
      <sheetName val="생판계획"/>
      <sheetName val="5100-현금"/>
      <sheetName val="9월제조원가"/>
      <sheetName val="Tickmarks"/>
      <sheetName val="종합_SP"/>
      <sheetName val="종합_MP"/>
      <sheetName val="무림SP_상세"/>
      <sheetName val="무림페이퍼_상세"/>
      <sheetName val="종합"/>
      <sheetName val="매출채권(집계)"/>
      <sheetName val="외상매출금 합계표(조회서 refer) "/>
      <sheetName val="대체적인 절차 refer(외상매출금)"/>
      <sheetName val="국내외상매출금(S)"/>
      <sheetName val="국내외상매출금(P)"/>
      <sheetName val="국내외상매출(B)"/>
      <sheetName val="외화외상매출금"/>
      <sheetName val="받을어음 합계표(조회서 refer)"/>
      <sheetName val="받을어음(S)"/>
      <sheetName val="받을어음(P)"/>
      <sheetName val="받을어음(B)"/>
      <sheetName val="구매카드"/>
      <sheetName val="부도어음"/>
      <sheetName val="memo"/>
      <sheetName val="BS"/>
      <sheetName val="PL"/>
      <sheetName val="MCS"/>
      <sheetName val="CF"/>
      <sheetName val="RE"/>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9월"/>
      <sheetName val="채권9월"/>
      <sheetName val="입금9월"/>
      <sheetName val="10월"/>
      <sheetName val="채권10월"/>
      <sheetName val="입금10월"/>
      <sheetName val="11월"/>
      <sheetName val="채권11월"/>
      <sheetName val="입금11월"/>
      <sheetName val="12월"/>
      <sheetName val="12월채권"/>
      <sheetName val="입금12월"/>
      <sheetName val="당좌자산"/>
      <sheetName val="재고자산"/>
      <sheetName val="투자자산"/>
      <sheetName val="유형자산"/>
      <sheetName val="건설가계정명세서"/>
      <sheetName val="감가상각비"/>
      <sheetName val="감가상각충당금"/>
      <sheetName val="현금과예금"/>
      <sheetName val="현금명세서"/>
      <sheetName val="예금명세서"/>
      <sheetName val="외상매출금"/>
      <sheetName val="받을어음"/>
      <sheetName val="단기대여금&amp;주임종단기대여금"/>
      <sheetName val="미수금"/>
      <sheetName val="미수수익"/>
      <sheetName val="미착원재료"/>
      <sheetName val="선급금&amp;지사관리비"/>
      <sheetName val="선급비용"/>
      <sheetName val="지급보증금"/>
      <sheetName val="선급법인세"/>
      <sheetName val="투자유가증권&amp;출자금&amp;출자주식"/>
      <sheetName val="특정현금과 예금"/>
      <sheetName val="가입권"/>
      <sheetName val="전신전화가입권"/>
      <sheetName val="임차보증금"/>
      <sheetName val="상표권"/>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0701"/>
      <sheetName val="02"/>
      <sheetName val="03"/>
      <sheetName val="04"/>
      <sheetName val="05"/>
      <sheetName val="06"/>
      <sheetName val="07"/>
      <sheetName val="08"/>
      <sheetName val="09"/>
      <sheetName val="10"/>
      <sheetName val="11"/>
      <sheetName val="12"/>
      <sheetName val="비교"/>
      <sheetName val="2차분"/>
      <sheetName val="피벗"/>
      <sheetName val="기본데이터"/>
      <sheetName val="양식(최종)"/>
      <sheetName val="양식(최종) (2)"/>
      <sheetName val="FS96"/>
      <sheetName val="8월현금흐름표"/>
      <sheetName val="basic_info"/>
      <sheetName val="조회총괄"/>
      <sheetName val="XLUTIL"/>
      <sheetName val="차수"/>
      <sheetName val="96수표어음"/>
      <sheetName val="로케션"/>
      <sheetName val="master"/>
      <sheetName val="Estrazione"/>
      <sheetName val="Links"/>
      <sheetName val="Macro1"/>
      <sheetName val="COND"/>
      <sheetName val="5600"/>
      <sheetName val="Macro2"/>
      <sheetName val="영업"/>
      <sheetName val="종합일지"/>
      <sheetName val="대환취급"/>
      <sheetName val="분당임차변경"/>
      <sheetName val="Macro4"/>
      <sheetName val="Gen Assumptions"/>
      <sheetName val="관리대장(2001장비)"/>
      <sheetName val="4b Consolidated PL"/>
      <sheetName val="전체현황"/>
      <sheetName val="발생집계"/>
      <sheetName val="을"/>
      <sheetName val="INMD1198"/>
      <sheetName val="INFG1198"/>
      <sheetName val="Korea Sign-Internal"/>
      <sheetName val="pre-anal손익계산서"/>
      <sheetName val="pre-anal대차대조표"/>
      <sheetName val="calendar"/>
      <sheetName val="HEADER"/>
      <sheetName val="language"/>
      <sheetName val="Borrower"/>
      <sheetName val="Property"/>
      <sheetName val="공문"/>
      <sheetName val="Cover"/>
      <sheetName val="Priorities"/>
      <sheetName val="Rate"/>
      <sheetName val="Date"/>
      <sheetName val="월별수입"/>
      <sheetName val="유통망계획"/>
      <sheetName val="Index"/>
      <sheetName val="선수금"/>
      <sheetName val="폐토수익화 "/>
      <sheetName val="Com-Button"/>
      <sheetName val="총괄KD"/>
      <sheetName val="공통부대비"/>
      <sheetName val="TEL"/>
      <sheetName val="지분법(AK) (2)"/>
      <sheetName val="한일자야(감액손실) (2)"/>
      <sheetName val="원판매입"/>
      <sheetName val="Secured Master"/>
      <sheetName val="1_當期시산표"/>
      <sheetName val="손익분석"/>
      <sheetName val="정부노임단가"/>
      <sheetName val="3분기"/>
      <sheetName val="구동"/>
      <sheetName val="PLarp"/>
      <sheetName val="9703"/>
      <sheetName val="801000"/>
      <sheetName val="Köpfe"/>
      <sheetName val="BAL.(TTL)"/>
      <sheetName val="총괄표"/>
      <sheetName val="MetaData"/>
      <sheetName val="9811 YTD"/>
      <sheetName val="流资汇总"/>
      <sheetName val=" 견적서"/>
      <sheetName val="제조원가"/>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000000"/>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GENERAL"/>
      <sheetName val="Inv "/>
      <sheetName val="++++"/>
      <sheetName val="1"/>
      <sheetName val="시나리오"/>
      <sheetName val="순수통장"/>
      <sheetName val="적립수신"/>
      <sheetName val="TBclosing"/>
      <sheetName val="재무가정"/>
      <sheetName val="Æo°¡±aAØ"/>
      <sheetName val="2.대외공문"/>
      <sheetName val="중요성(출)"/>
      <sheetName val="전부인쇄"/>
      <sheetName val="경비분류(1)"/>
      <sheetName val="Oper Amount"/>
      <sheetName val="WBS98"/>
      <sheetName val="급여이체(농) (2)"/>
      <sheetName val="AL"/>
      <sheetName val="m_COA"/>
      <sheetName val="06년예상보험료 (2)"/>
      <sheetName val="1~10월실적"/>
      <sheetName val="에스피"/>
      <sheetName val="페이퍼"/>
      <sheetName val="코드Mapping"/>
      <sheetName val="신무림1"/>
      <sheetName val="DB"/>
      <sheetName val="급여"/>
      <sheetName val="Base"/>
      <sheetName val="기타주식-명세"/>
      <sheetName val="libor"/>
      <sheetName val="투자유가증권"/>
      <sheetName val="1-KUNDE.XLS"/>
      <sheetName val="main"/>
      <sheetName val="요약"/>
      <sheetName val="Serial"/>
      <sheetName val="Data Sheet"/>
      <sheetName val="DS-최종"/>
      <sheetName val="인천_계획"/>
      <sheetName val="고정자산-회사제시"/>
      <sheetName val="JUYO"/>
      <sheetName val="Intercompany AR &amp; AP"/>
      <sheetName val="Ctrl"/>
      <sheetName val="환율-LIBOR"/>
      <sheetName val="2_직영공사"/>
      <sheetName val="Korea_Sign-Internal"/>
      <sheetName val="4b_Consolidated_PL"/>
      <sheetName val="Gen_Assumptions"/>
      <sheetName val="1998_P_&amp;_L"/>
      <sheetName val="정의"/>
      <sheetName val="변제"/>
      <sheetName val="이자"/>
      <sheetName val="상환대상"/>
      <sheetName val="가정"/>
      <sheetName val="여신현황"/>
      <sheetName val="소비자가"/>
      <sheetName val="argl(1)"/>
      <sheetName val="재고"/>
      <sheetName val="2-2.매출분석"/>
      <sheetName val="F12"/>
      <sheetName val="A4 BS"/>
      <sheetName val="X3"/>
      <sheetName val="WI"/>
      <sheetName val="A(1)"/>
      <sheetName val="A (3)"/>
      <sheetName val="SS20"/>
      <sheetName val="2.지분법적용주식Leadsheet(회사제시)"/>
      <sheetName val="4.지분법평가요약"/>
      <sheetName val="5.지분법분개"/>
      <sheetName val="일보_생산"/>
      <sheetName val="사업부별"/>
      <sheetName val="Income Statement"/>
      <sheetName val="Ratios"/>
      <sheetName val="3.1수율첨부"/>
      <sheetName val="She"/>
      <sheetName val="경기연합"/>
      <sheetName val="대외공문"/>
      <sheetName val="R(BS-PL-RE)"/>
      <sheetName val="Code"/>
      <sheetName val="수출제비"/>
      <sheetName val="용역비"/>
      <sheetName val="교제비"/>
      <sheetName val="graph data1"/>
      <sheetName val="graph data2"/>
      <sheetName val="분석적검토"/>
      <sheetName val="P6.작업선박시간표"/>
      <sheetName val="P2.breakdown"/>
      <sheetName val="원데이타(1)"/>
      <sheetName val="여담"/>
      <sheetName val="99년(원본) "/>
      <sheetName val="Walsei"/>
      <sheetName val="7.31연체현황"/>
      <sheetName val="Rent Roll"/>
      <sheetName val="Budget"/>
      <sheetName val="Initial Input Variable"/>
      <sheetName val="VAT reconcile"/>
      <sheetName val="재무비율분석"/>
      <sheetName val="LS (2)"/>
      <sheetName val="건물 (2)"/>
      <sheetName val="유선방송설비 (2)"/>
      <sheetName val="차량운반구 (2)"/>
      <sheetName val="전송선로설비 (2)"/>
      <sheetName val="집기비품 (2)"/>
      <sheetName val="공구기구 (2)"/>
      <sheetName val="구축물 (2)"/>
      <sheetName val="컨버터 (2)"/>
      <sheetName val="건물"/>
      <sheetName val="MatchCode"/>
      <sheetName val="제품분류코드"/>
      <sheetName val="mm10"/>
      <sheetName val="지분법평가"/>
      <sheetName val="기초데이타"/>
      <sheetName val="공정가치"/>
      <sheetName val=""/>
      <sheetName val="토지"/>
      <sheetName val="F456"/>
      <sheetName val="감가상각비재계산_08"/>
      <sheetName val="2-2매장별매출계획"/>
      <sheetName val="이자율"/>
      <sheetName val="대손설정"/>
      <sheetName val="금융자산 control"/>
      <sheetName val="금융부채 control"/>
      <sheetName val="F3"/>
      <sheetName val="P.L"/>
      <sheetName val="T&amp;C"/>
      <sheetName val="Valid Values"/>
      <sheetName val="경비"/>
      <sheetName val="수정시산표"/>
      <sheetName val="Material Service Orders All"/>
      <sheetName val="C_Lead"/>
      <sheetName val="8월 예상"/>
      <sheetName val="달성 상황  분석(8월)"/>
      <sheetName val="년계획"/>
      <sheetName val="수금"/>
      <sheetName val="계획"/>
      <sheetName val="CAUDIT"/>
      <sheetName val="현금"/>
      <sheetName val="LeadSchedule"/>
      <sheetName val="현금및예치금집계표"/>
      <sheetName val="불량Database"/>
      <sheetName val="차액보증"/>
      <sheetName val="cable-data"/>
      <sheetName val="CTEMCOST"/>
      <sheetName val="Sheet14"/>
      <sheetName val="Sheet13"/>
      <sheetName val="개인별_최종"/>
      <sheetName val="Revenue Link"/>
      <sheetName val="BASIS(Pre)"/>
      <sheetName val="enums"/>
      <sheetName val="설계명세서"/>
      <sheetName val="예산명세서"/>
      <sheetName val="자료입력"/>
      <sheetName val="교육계획"/>
      <sheetName val="Profile"/>
      <sheetName val="Values"/>
      <sheetName val="Parameters"/>
      <sheetName val="내역서1"/>
      <sheetName val="97(US,EP,PCT,KR)"/>
      <sheetName val="DETAIL"/>
      <sheetName val="She??2"/>
      <sheetName val="제안서입력"/>
      <sheetName val="기안"/>
      <sheetName val="진행 현황표(45주)"/>
      <sheetName val="04LS"/>
      <sheetName val="Tbom-tot"/>
      <sheetName val="Claim Hrs"/>
      <sheetName val="F-4,5"/>
      <sheetName val="HT_1"/>
      <sheetName val="BRAKE"/>
      <sheetName val="TDTKP"/>
      <sheetName val="DK-KH"/>
      <sheetName val="WTB"/>
      <sheetName val="PAJE,PRJE"/>
      <sheetName val="forecasting"/>
      <sheetName val="TOT"/>
      <sheetName val="She__2"/>
      <sheetName val="수소로COS"/>
      <sheetName val="p5. 유무형자산"/>
      <sheetName val="갑지"/>
      <sheetName val="Table"/>
      <sheetName val="수량산출"/>
      <sheetName val="Steam Table"/>
      <sheetName val="Maintenance Plan(설비)"/>
      <sheetName val="Schedule"/>
      <sheetName val="F4.2"/>
      <sheetName val="F4.3"/>
      <sheetName val="Intl def"/>
      <sheetName val="Fed'l Taxable Inc"/>
      <sheetName val="Fx Assumptions"/>
      <sheetName val="Prov. Vac."/>
      <sheetName val="ISI W2s"/>
      <sheetName val="US Paid"/>
      <sheetName val="Summary-Final"/>
      <sheetName val="Rollforward to Final"/>
      <sheetName val="Pref B"/>
      <sheetName val="MAT"/>
      <sheetName val="Flowchart"/>
      <sheetName val="FF20"/>
      <sheetName val="CAJE.CRJE"/>
      <sheetName val="O 100 Lead"/>
      <sheetName val="inus영업BACKUP"/>
      <sheetName val="F12_BS"/>
      <sheetName val="F3_PL"/>
      <sheetName val="2001"/>
      <sheetName val="제조경비"/>
      <sheetName val="현금및현금등가물"/>
      <sheetName val="CS"/>
      <sheetName val="Income"/>
      <sheetName val="label"/>
    </sheetNames>
    <sheetDataSet>
      <sheetData sheetId="0">
        <row r="2">
          <cell r="A2">
            <v>140236</v>
          </cell>
        </row>
      </sheetData>
      <sheetData sheetId="1">
        <row r="2">
          <cell r="A2">
            <v>120195</v>
          </cell>
        </row>
      </sheetData>
      <sheetData sheetId="2">
        <row r="2">
          <cell r="A2">
            <v>140236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ow r="2">
          <cell r="G2">
            <v>0</v>
          </cell>
        </row>
      </sheetData>
      <sheetData sheetId="556">
        <row r="2">
          <cell r="A2">
            <v>120195</v>
          </cell>
        </row>
      </sheetData>
      <sheetData sheetId="557">
        <row r="2">
          <cell r="A2">
            <v>120195</v>
          </cell>
        </row>
      </sheetData>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reconcile"/>
      <sheetName val="간주매출부가세"/>
      <sheetName val="선급부가"/>
      <sheetName val="납입부가"/>
      <sheetName val="7.31연체현황"/>
      <sheetName val="Rent Roll"/>
      <sheetName val="감가상각누계액"/>
      <sheetName val="XREF"/>
      <sheetName val="비품(94이전)"/>
      <sheetName val="Walsei"/>
      <sheetName val="Budget"/>
      <sheetName val="현금 및 예치금Lead"/>
      <sheetName val="현금및예치금 명세서"/>
      <sheetName val="미수수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BS(6월)"/>
      <sheetName val="F3-PL(6월)"/>
      <sheetName val="F4_PAJE(6월)"/>
      <sheetName val="F5_PRJE(6월)"/>
      <sheetName val="정산표(1-6)"/>
      <sheetName val="현금흐름표"/>
      <sheetName val="F12(4-6월)"/>
      <sheetName val="F3(4-6월)"/>
      <sheetName val="F4_PAJE(6월) (2)"/>
      <sheetName val="F5_PRJE(6월) (2)"/>
      <sheetName val="정산표(4-6)"/>
      <sheetName val="질문사항"/>
      <sheetName val="Sheet2"/>
      <sheetName val="Sheet3"/>
      <sheetName val="VAT reconcile"/>
      <sheetName val="감가상각누계액"/>
      <sheetName val="XREF"/>
      <sheetName val="Walsei"/>
      <sheetName val="WBS"/>
      <sheetName val="업무분장"/>
      <sheetName val="F3_P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재무비율분석"/>
      <sheetName val="2002-re"/>
      <sheetName val="현금흐름표"/>
      <sheetName val="현금흐름검증표"/>
      <sheetName val="F12_BS"/>
      <sheetName val="F3_PL"/>
      <sheetName val="F4_PAJE"/>
      <sheetName val="F5_PRJE"/>
      <sheetName val="CAJE"/>
      <sheetName val="CRJE"/>
      <sheetName val="XREF"/>
      <sheetName val="F4_PAJE(6월)"/>
      <sheetName val="VAT reconcile"/>
      <sheetName val="감가상각누계액"/>
      <sheetName val="현금및예치금집계표"/>
      <sheetName val="현금및등가물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단체퇴직보험예치금명세서"/>
      <sheetName val="이자수익ｔｅｓｔ"/>
      <sheetName val="이자수익ｔｅｓｔ (2)"/>
      <sheetName val="이자수익(미수이자)P.T"/>
      <sheetName val="쌍용정산(미수)10"/>
      <sheetName val="미수수익11"/>
      <sheetName val="XREF"/>
      <sheetName val="Tickmarks"/>
      <sheetName val="F3_PL"/>
      <sheetName val="F4_PAJE(6월)"/>
      <sheetName val="VAT reconcile"/>
    </sheetNames>
    <sheetDataSet>
      <sheetData sheetId="0"/>
      <sheetData sheetId="1">
        <row r="20">
          <cell r="E20">
            <v>2748185692</v>
          </cell>
        </row>
        <row r="23">
          <cell r="E23">
            <v>0</v>
          </cell>
        </row>
      </sheetData>
      <sheetData sheetId="2">
        <row r="19">
          <cell r="C19">
            <v>6214618</v>
          </cell>
        </row>
        <row r="65">
          <cell r="C65">
            <v>170241683675</v>
          </cell>
        </row>
        <row r="73">
          <cell r="C73">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2">
          <cell r="A12">
            <v>6214618</v>
          </cell>
          <cell r="B12">
            <v>6214618</v>
          </cell>
          <cell r="D12" t="str">
            <v>현금 및 예치금</v>
          </cell>
          <cell r="E12" t="str">
            <v>!</v>
          </cell>
        </row>
        <row r="16">
          <cell r="A16">
            <v>170241683675</v>
          </cell>
          <cell r="B16">
            <v>170241683675</v>
          </cell>
          <cell r="D16" t="str">
            <v>현금 및 예치금</v>
          </cell>
          <cell r="E16" t="str">
            <v>!</v>
          </cell>
        </row>
        <row r="18">
          <cell r="A18">
            <v>0</v>
          </cell>
          <cell r="B18">
            <v>0</v>
          </cell>
          <cell r="D18" t="str">
            <v>현금 및 예치금</v>
          </cell>
          <cell r="E18" t="str">
            <v>!</v>
          </cell>
        </row>
        <row r="20">
          <cell r="A20">
            <v>0</v>
          </cell>
          <cell r="B20">
            <v>0</v>
          </cell>
          <cell r="D20" t="str">
            <v>현금 및 예치금</v>
          </cell>
          <cell r="E20" t="str">
            <v>!</v>
          </cell>
        </row>
      </sheetData>
      <sheetData sheetId="12"/>
      <sheetData sheetId="13" refreshError="1"/>
      <sheetData sheetId="14" refreshError="1"/>
      <sheetData sheetId="1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
      <sheetName val="f3"/>
      <sheetName val="f4"/>
      <sheetName val="f5"/>
      <sheetName val="f6"/>
      <sheetName val="XREF"/>
      <sheetName val="F4_PAJE(6월)"/>
      <sheetName val="현금및예치금집계표"/>
      <sheetName val="현금및등가물명세서"/>
      <sheetName val="SS20"/>
      <sheetName val="SS10"/>
      <sheetName val="3-1.LGD(기업)"/>
      <sheetName val="기업금융단_송길방"/>
      <sheetName val="고정자산 리드"/>
      <sheetName val="자본"/>
      <sheetName val="AUDIT MEMO"/>
      <sheetName val="F12_BS"/>
      <sheetName val="F3_PL"/>
      <sheetName val="손익합산"/>
      <sheetName val="현금및예치금-기말"/>
      <sheetName val="외화예치금명세"/>
      <sheetName val="현금및현금등가물"/>
      <sheetName val="Summary"/>
      <sheetName val="Leadsheet"/>
      <sheetName val="인건비 내역서"/>
      <sheetName val="종합2"/>
      <sheetName val="개발담당자 "/>
      <sheetName val="유통망계획"/>
      <sheetName val="F4_PAJE"/>
      <sheetName val="상품매출원가"/>
      <sheetName val="Ⅱ1-0타"/>
      <sheetName val="A"/>
      <sheetName val="투자주식명세"/>
      <sheetName val="증감리드"/>
      <sheetName val="CAJE.CRJE"/>
      <sheetName val="재무비율분석"/>
      <sheetName val="한화국토개발 ok"/>
      <sheetName val="F1,2"/>
      <sheetName val="F45"/>
      <sheetName val="LEAD"/>
      <sheetName val="PjtCode"/>
      <sheetName val="세무서코드"/>
      <sheetName val="PL"/>
      <sheetName val="BS누적"/>
      <sheetName val="TB(PL)"/>
      <sheetName val="누TB"/>
      <sheetName val="Other_Sch"/>
      <sheetName val="동해title"/>
      <sheetName val="미실현손익명세서"/>
      <sheetName val="SPC(3차)"/>
      <sheetName val="#REF"/>
      <sheetName val="2.지분법적용주식Leadsheet(1)"/>
      <sheetName val="Sheet1"/>
      <sheetName val="손익"/>
      <sheetName val="Version Control"/>
      <sheetName val="source"/>
      <sheetName val="RUL2"/>
      <sheetName val="EQT-ESTN"/>
      <sheetName val="총괄표"/>
      <sheetName val="정산표"/>
      <sheetName val="시산표"/>
      <sheetName val="2261 wtb_1Q03의 워크시트"/>
      <sheetName val="일보_생산"/>
      <sheetName val="한세A4PL"/>
      <sheetName val="F-4,5"/>
      <sheetName val="5400-재고자산Lead"/>
      <sheetName val="감가상각누계액"/>
      <sheetName val="현금흐름표"/>
      <sheetName val="수익증권(25기말)"/>
      <sheetName val="2.대외공문"/>
      <sheetName val="1Q"/>
      <sheetName val="경기지분법_3Q"/>
      <sheetName val="LS 2012"/>
      <sheetName val="법인세비용(03년말)"/>
      <sheetName val="작성대상회사"/>
      <sheetName val="3"/>
      <sheetName val="6120"/>
      <sheetName val="Sheet3"/>
      <sheetName val="CRITERIA1"/>
      <sheetName val="Groups"/>
      <sheetName val="감가상각비"/>
      <sheetName val="수정사항"/>
      <sheetName val="04LS"/>
      <sheetName val="보정"/>
      <sheetName val="현금 및 예치금Lead"/>
      <sheetName val="유가증권LS"/>
      <sheetName val="TB - 201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Leadsheet"/>
      <sheetName val="XREF"/>
      <sheetName val="영업수익LS"/>
      <sheetName val="계정별원장"/>
      <sheetName val="LEAD"/>
      <sheetName val="Tickmarks"/>
      <sheetName val="현금및예치금집계표"/>
      <sheetName val="현금및등가물명세서"/>
      <sheetName val="F3_PL"/>
      <sheetName val="F4_PAJE(6월)"/>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EF"/>
      <sheetName val="Tickmarks"/>
      <sheetName val="유형자산명세서"/>
      <sheetName val="Sheet1"/>
      <sheetName val="Leadsheet"/>
      <sheetName val="현금및예치금집계표"/>
      <sheetName val="현금및등가물명세서"/>
      <sheetName val="유형"/>
      <sheetName val="고정부채"/>
      <sheetName val="Rent Roll"/>
      <sheetName val="total"/>
      <sheetName val="Budget"/>
      <sheetName val="FN"/>
      <sheetName val="원재료 단가 test"/>
      <sheetName val="은행조회서CS"/>
      <sheetName val="BA"/>
      <sheetName val="PL"/>
      <sheetName val="채권조회서 Roll-forward test"/>
      <sheetName val="노무비"/>
      <sheetName val="감가상각누계액"/>
      <sheetName val="이자비용Overall"/>
      <sheetName val="T4. 재공-2"/>
      <sheetName val="1.외주공사"/>
      <sheetName val="p.1 sub_lead"/>
      <sheetName val="상품매출원가"/>
      <sheetName val="투자유가증권명세서"/>
      <sheetName val="5630-해외투유평가"/>
      <sheetName val="5100-현금및등가물lead"/>
      <sheetName val="6400-고정부채lead"/>
      <sheetName val="Template"/>
      <sheetName val="승용"/>
      <sheetName val="Turkey"/>
      <sheetName val="QRY_EXPORT_FOR_ANALYSIS"/>
      <sheetName val="6120"/>
      <sheetName val="Lead"/>
      <sheetName val="유형자산증가"/>
      <sheetName val="2.직영공사"/>
      <sheetName val="무형"/>
      <sheetName val="심리RN"/>
      <sheetName val="TB(PL)"/>
      <sheetName val="PAJE"/>
      <sheetName val="TB(BS)"/>
      <sheetName val="PRJE"/>
      <sheetName val="국고보조금"/>
      <sheetName val="LS"/>
      <sheetName val="공사미수금"/>
      <sheetName val="0.총괄"/>
      <sheetName val="수정분개"/>
      <sheetName val="Significant Processes"/>
      <sheetName val="R(BS-PL-RE)"/>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시산표"/>
      <sheetName val="원가"/>
      <sheetName val="회계처리요약"/>
      <sheetName val="환율금리"/>
      <sheetName val="투자자별매매비중_2"/>
      <sheetName val="투자자별매매비중"/>
      <sheetName val="증시자금 신용공여"/>
      <sheetName val="지수"/>
      <sheetName val="97(US,EP,PCT,KR)"/>
      <sheetName val="언양"/>
      <sheetName val="CTEMCOST"/>
      <sheetName val="Worksheet in 5720 유형자산 LEAD"/>
      <sheetName val="Revenue Link"/>
      <sheetName val="Sheet14"/>
      <sheetName val="Sheet13"/>
      <sheetName val="RG_CARDEALER"/>
      <sheetName val="cable-data"/>
      <sheetName val="개인별_최종"/>
      <sheetName val="참고_ 카본단가 비교"/>
      <sheetName val="TP지원 (2)"/>
      <sheetName val="분양미수금"/>
      <sheetName val="매출채권 lead"/>
      <sheetName val="매입채무"/>
      <sheetName val="Income"/>
      <sheetName val="Walsei"/>
      <sheetName val="label"/>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4">
          <cell r="A4" t="str">
            <v>감사기준일 : 1999.12.31</v>
          </cell>
        </row>
      </sheetData>
      <sheetData sheetId="51">
        <row r="1">
          <cell r="A1" t="str">
            <v>감 사 업 무 분 담 표</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VAT reconcile"/>
      <sheetName val="XREF"/>
      <sheetName val="Leadsheet"/>
      <sheetName val="단기금융상품"/>
      <sheetName val="현금및예치금집계표"/>
      <sheetName val="현금및등가물명세서"/>
      <sheetName val="F3_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이자수익(미수이자)P.T"/>
      <sheetName val="XREF"/>
      <sheetName val="Tickmarks"/>
      <sheetName val="F3_PL"/>
      <sheetName val="LS "/>
      <sheetName val="F4_PAJE(6월)"/>
      <sheetName val="Leadsheet"/>
      <sheetName val="5300"/>
      <sheetName val="매출채권"/>
      <sheetName val="기타당좌자산"/>
      <sheetName val="VAT reconcile"/>
    </sheetNames>
    <sheetDataSet>
      <sheetData sheetId="0" refreshError="1"/>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6월"/>
      <sheetName val="VAT reconcile"/>
      <sheetName val="0806"/>
      <sheetName val="보수"/>
      <sheetName val="잡이익 "/>
      <sheetName val="미수금"/>
      <sheetName val="장기선급비용"/>
      <sheetName val="선지급비용"/>
      <sheetName val="부동산미지급금 "/>
      <sheetName val="선수금"/>
      <sheetName val="선수주차료"/>
      <sheetName val="XREF"/>
      <sheetName val="LS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VAT reconcile"/>
      <sheetName val="LS "/>
      <sheetName val="유형"/>
      <sheetName val="기타고정자산L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AL3"/>
      <sheetName val="ms"/>
      <sheetName val="ms (2)"/>
      <sheetName val="Sheet2"/>
      <sheetName val="Sheet3"/>
      <sheetName val="中野"/>
      <sheetName val="中野 (2)"/>
      <sheetName val="Walsei"/>
      <sheetName val="01"/>
      <sheetName val="(Monthly)"/>
      <sheetName val="Rent Roll"/>
      <sheetName val="テラスハウス"/>
      <sheetName val="戸建て"/>
      <sheetName val="アパート"/>
      <sheetName val="マンション"/>
      <sheetName val="王子一覧"/>
      <sheetName val="XREF"/>
      <sheetName val="VAT reconcile"/>
      <sheetName val="FA(REITs)"/>
      <sheetName val="Budget"/>
      <sheetName val="TB"/>
      <sheetName val="유형"/>
      <sheetName val="고정부채"/>
      <sheetName val="設定用"/>
      <sheetName val="リスト"/>
      <sheetName val="OVAL3.XLS"/>
      <sheetName val="현금흐름표"/>
      <sheetName val="Main Assumptions"/>
      <sheetName val="①パターン１（当月）"/>
      <sheetName val="その他契約"/>
      <sheetName val="データベース"/>
      <sheetName val="k"/>
      <sheetName val="Prop"/>
      <sheetName val="抽出／ビル実績データ"/>
      <sheetName val="Property Information Summary"/>
      <sheetName val="Simulation"/>
      <sheetName val="Assumption"/>
      <sheetName val="수량산출"/>
      <sheetName val="Sch9"/>
      <sheetName val="ms_(2)"/>
      <sheetName val="中野_(2)"/>
      <sheetName val="管理費"/>
      <sheetName val="DataSheet2"/>
      <sheetName val="DataSheet1"/>
      <sheetName val="入力用(駐車)"/>
      <sheetName val="入力用(家賃)"/>
      <sheetName val="ﾘｽﾄ"/>
      <sheetName val="ビル実績データ"/>
      <sheetName val="Macro Codes"/>
      <sheetName val="Input"/>
      <sheetName val="販売図面"/>
      <sheetName val="Assump"/>
      <sheetName val="京王井の頭線"/>
      <sheetName val="京王線"/>
      <sheetName val="山手線"/>
      <sheetName val="小田急線"/>
      <sheetName val="西武新宿線"/>
      <sheetName val="西武池袋線"/>
      <sheetName val="地下鉄"/>
      <sheetName val="中央線"/>
      <sheetName val="東急新玉川線"/>
      <sheetName val="東急東横線"/>
      <sheetName val="Sheet4"/>
      <sheetName val="Work1"/>
      <sheetName val="Sheet1"/>
      <sheetName val="2限定"/>
      <sheetName val="土地賃貸借契約の概要"/>
      <sheetName val="Lookup"/>
      <sheetName val="#REF"/>
      <sheetName val="table"/>
      <sheetName val="List"/>
      <sheetName val="抽出_ビル実績データ"/>
      <sheetName val="損益計算書"/>
      <sheetName val="検針表"/>
    </sheetNames>
    <definedNames>
      <definedName name="ボタン2_Click"/>
    </defined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격비"/>
      <sheetName val="구월채무"/>
      <sheetName val="동수원채무"/>
      <sheetName val="수원킴스채무"/>
      <sheetName val="평촌채무"/>
      <sheetName val="Sheet1"/>
      <sheetName val="Sheet1 (2)"/>
      <sheetName val="평택점"/>
      <sheetName val="계산 (3)"/>
      <sheetName val="계산 (4)"/>
      <sheetName val="참고"/>
      <sheetName val="공사개요"/>
      <sheetName val="정산표"/>
      <sheetName val="물건별_채무"/>
      <sheetName val="회사정보"/>
      <sheetName val="XREF"/>
      <sheetName val="노무비"/>
      <sheetName val="VAT reconcile"/>
      <sheetName val="הגדרה"/>
      <sheetName val="Template"/>
      <sheetName val="공통가설"/>
      <sheetName val="FA(REITs)"/>
      <sheetName val="Sheet1_(2)"/>
      <sheetName val="계산_(3)"/>
      <sheetName val="계산_(4)"/>
      <sheetName val="월간"/>
      <sheetName val="5500"/>
      <sheetName val="감가상각누계액"/>
    </sheetNames>
    <sheetDataSet>
      <sheetData sheetId="0" refreshError="1">
        <row r="1">
          <cell r="B1" t="str">
            <v>건물(10F)</v>
          </cell>
          <cell r="C1">
            <v>35</v>
          </cell>
        </row>
        <row r="2">
          <cell r="B2" t="str">
            <v>건물(11F)</v>
          </cell>
          <cell r="C2">
            <v>35</v>
          </cell>
        </row>
        <row r="3">
          <cell r="B3" t="str">
            <v>건물(12F)</v>
          </cell>
          <cell r="C3">
            <v>35</v>
          </cell>
        </row>
        <row r="4">
          <cell r="B4" t="str">
            <v>건물(13F)</v>
          </cell>
          <cell r="C4">
            <v>35</v>
          </cell>
        </row>
        <row r="5">
          <cell r="B5" t="str">
            <v>건물(14F)</v>
          </cell>
          <cell r="C5">
            <v>35</v>
          </cell>
        </row>
        <row r="6">
          <cell r="B6" t="str">
            <v>건물(1F)</v>
          </cell>
          <cell r="C6">
            <v>100</v>
          </cell>
        </row>
        <row r="7">
          <cell r="B7" t="str">
            <v>건물(2F)</v>
          </cell>
          <cell r="C7">
            <v>50</v>
          </cell>
        </row>
        <row r="8">
          <cell r="B8" t="str">
            <v>건물(3F)</v>
          </cell>
          <cell r="C8">
            <v>35</v>
          </cell>
        </row>
        <row r="9">
          <cell r="B9" t="str">
            <v>건물(4F)</v>
          </cell>
          <cell r="C9">
            <v>35</v>
          </cell>
        </row>
        <row r="10">
          <cell r="B10" t="str">
            <v>건물(5F)</v>
          </cell>
          <cell r="C10">
            <v>35</v>
          </cell>
        </row>
        <row r="11">
          <cell r="B11" t="str">
            <v>건물(6F)</v>
          </cell>
          <cell r="C11">
            <v>35</v>
          </cell>
        </row>
        <row r="12">
          <cell r="B12" t="str">
            <v>건물(7F)</v>
          </cell>
          <cell r="C12">
            <v>35</v>
          </cell>
        </row>
        <row r="13">
          <cell r="B13" t="str">
            <v>건물(8F)</v>
          </cell>
          <cell r="C13">
            <v>35</v>
          </cell>
        </row>
        <row r="14">
          <cell r="B14" t="str">
            <v>건물(9F)</v>
          </cell>
          <cell r="C14">
            <v>35</v>
          </cell>
        </row>
        <row r="15">
          <cell r="B15" t="str">
            <v>건물(B1)</v>
          </cell>
          <cell r="C15">
            <v>45</v>
          </cell>
        </row>
        <row r="16">
          <cell r="B16" t="str">
            <v>건물(B2)</v>
          </cell>
          <cell r="C16">
            <v>35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겉표지"/>
      <sheetName val="환율"/>
      <sheetName val="당좌예금"/>
      <sheetName val="보통예금"/>
      <sheetName val="MMDA"/>
      <sheetName val="외화당좌예금"/>
      <sheetName val="정기예금"/>
      <sheetName val="외화정기예금"/>
      <sheetName val="외화예적금 환산평가"/>
      <sheetName val="받을어음명세서"/>
      <sheetName val="쌍용정산"/>
      <sheetName val="미수수익"/>
      <sheetName val="선급법인세"/>
      <sheetName val="별단예금"/>
      <sheetName val="단퇴예치"/>
      <sheetName val="원화단기차입"/>
      <sheetName val="외화단기차입금(Banker's)"/>
      <sheetName val="미지급금"/>
      <sheetName val="외화은행미지급금"/>
      <sheetName val="쌍용정산미지급금"/>
      <sheetName val="원화미지급비용(회계팀)"/>
      <sheetName val="외화차입금 미지급비용[환산평가]"/>
      <sheetName val="외화미지급비용(후급이자)"/>
      <sheetName val="유동성 차입금(외화)"/>
      <sheetName val="사채"/>
      <sheetName val="원화장기차입"/>
      <sheetName val="외화장기성 차입금"/>
      <sheetName val="견질명세"/>
      <sheetName val="어음및수표수불현황"/>
      <sheetName val="어음및수표실사"/>
      <sheetName val="어음및수표발행현황"/>
      <sheetName val="장기차입금"/>
      <sheetName val="유동성장기부채"/>
      <sheetName val="융통어음목록"/>
      <sheetName val="결산체크"/>
      <sheetName val="Sheet2"/>
      <sheetName val="Sheet3"/>
      <sheetName val="손익"/>
      <sheetName val="현금흐름"/>
      <sheetName val="가격비"/>
      <sheetName val="서울결산서"/>
      <sheetName val="회사정보"/>
    </sheetNames>
    <sheetDataSet>
      <sheetData sheetId="0"/>
      <sheetData sheetId="1">
        <row r="9">
          <cell r="B9">
            <v>607.04</v>
          </cell>
          <cell r="D9">
            <v>591.03</v>
          </cell>
        </row>
        <row r="11">
          <cell r="D11">
            <v>706.97</v>
          </cell>
        </row>
        <row r="14">
          <cell r="B14">
            <v>1187.27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환율"/>
      <sheetName val="기타유형자산(99년)"/>
      <sheetName val="시흥면세"/>
      <sheetName val="계정code"/>
    </sheetNames>
    <sheetDataSet>
      <sheetData sheetId="0">
        <row r="6">
          <cell r="C6" t="str">
            <v>시대종합건설㈜</v>
          </cell>
        </row>
        <row r="7">
          <cell r="C7" t="str">
            <v>장하림.이종선</v>
          </cell>
        </row>
        <row r="8">
          <cell r="C8" t="str">
            <v>114-81-33298</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민은행입금내역"/>
      <sheetName val="issued"/>
      <sheetName val="임대료분류"/>
      <sheetName val="conclusion"/>
      <sheetName val="결정단가"/>
      <sheetName val="comparables"/>
      <sheetName val="Deduction"/>
      <sheetName val="other"/>
    </sheetNames>
    <sheetDataSet>
      <sheetData sheetId="0" refreshError="1"/>
      <sheetData sheetId="1">
        <row r="3">
          <cell r="C3" t="str">
            <v>극동빌딩 9월분 임대료,관리비,수도광열비,주차료 청구 내역</v>
          </cell>
        </row>
        <row r="5">
          <cell r="C5" t="str">
            <v>빌딩명</v>
          </cell>
          <cell r="F5" t="str">
            <v>Item</v>
          </cell>
          <cell r="G5" t="str">
            <v>기간</v>
          </cell>
          <cell r="H5" t="str">
            <v>공급가</v>
          </cell>
        </row>
        <row r="6">
          <cell r="C6">
            <v>1</v>
          </cell>
          <cell r="F6" t="str">
            <v>임대료</v>
          </cell>
          <cell r="G6">
            <v>40057</v>
          </cell>
          <cell r="H6">
            <v>8973684</v>
          </cell>
        </row>
        <row r="7">
          <cell r="C7">
            <v>1</v>
          </cell>
          <cell r="F7" t="str">
            <v>임대료</v>
          </cell>
          <cell r="G7">
            <v>40057</v>
          </cell>
          <cell r="H7">
            <v>10079324</v>
          </cell>
        </row>
        <row r="8">
          <cell r="C8">
            <v>1</v>
          </cell>
          <cell r="F8" t="str">
            <v>임대료</v>
          </cell>
          <cell r="G8">
            <v>40057</v>
          </cell>
          <cell r="H8">
            <v>126132054</v>
          </cell>
        </row>
        <row r="9">
          <cell r="C9">
            <v>1</v>
          </cell>
          <cell r="F9" t="str">
            <v>임대료</v>
          </cell>
          <cell r="G9">
            <v>40057</v>
          </cell>
          <cell r="H9">
            <v>8351655</v>
          </cell>
        </row>
        <row r="10">
          <cell r="C10">
            <v>1</v>
          </cell>
          <cell r="F10" t="str">
            <v>임대료</v>
          </cell>
          <cell r="G10">
            <v>40057</v>
          </cell>
          <cell r="H10">
            <v>64970799</v>
          </cell>
        </row>
        <row r="11">
          <cell r="C11">
            <v>1</v>
          </cell>
          <cell r="F11" t="str">
            <v>임대료</v>
          </cell>
          <cell r="G11">
            <v>40057</v>
          </cell>
          <cell r="H11">
            <v>7247300</v>
          </cell>
        </row>
        <row r="12">
          <cell r="C12">
            <v>1</v>
          </cell>
          <cell r="F12" t="str">
            <v>임대료</v>
          </cell>
          <cell r="G12">
            <v>40057</v>
          </cell>
          <cell r="H12">
            <v>8535319</v>
          </cell>
        </row>
        <row r="13">
          <cell r="C13">
            <v>1</v>
          </cell>
          <cell r="F13" t="str">
            <v>임대료</v>
          </cell>
          <cell r="G13">
            <v>40057</v>
          </cell>
          <cell r="H13">
            <v>7553340</v>
          </cell>
        </row>
        <row r="14">
          <cell r="C14">
            <v>1</v>
          </cell>
          <cell r="F14" t="str">
            <v>임대료</v>
          </cell>
          <cell r="G14">
            <v>40057</v>
          </cell>
          <cell r="H14">
            <v>17322732</v>
          </cell>
        </row>
        <row r="15">
          <cell r="C15">
            <v>1</v>
          </cell>
          <cell r="F15" t="str">
            <v>임대료</v>
          </cell>
          <cell r="G15">
            <v>40057</v>
          </cell>
          <cell r="H15">
            <v>80729099</v>
          </cell>
        </row>
        <row r="16">
          <cell r="C16">
            <v>1</v>
          </cell>
          <cell r="F16" t="str">
            <v>임대료</v>
          </cell>
          <cell r="G16">
            <v>40057</v>
          </cell>
          <cell r="H16">
            <v>32529494</v>
          </cell>
        </row>
        <row r="17">
          <cell r="C17">
            <v>1</v>
          </cell>
          <cell r="F17" t="str">
            <v>임대료</v>
          </cell>
          <cell r="G17">
            <v>40057</v>
          </cell>
          <cell r="H17">
            <v>2828175</v>
          </cell>
        </row>
        <row r="18">
          <cell r="C18">
            <v>1</v>
          </cell>
          <cell r="F18" t="str">
            <v>임대료</v>
          </cell>
          <cell r="G18">
            <v>40057</v>
          </cell>
          <cell r="H18">
            <v>35477710</v>
          </cell>
        </row>
        <row r="19">
          <cell r="C19">
            <v>1</v>
          </cell>
          <cell r="F19" t="str">
            <v>임대료</v>
          </cell>
          <cell r="G19">
            <v>40057</v>
          </cell>
          <cell r="H19">
            <v>10075433</v>
          </cell>
        </row>
        <row r="20">
          <cell r="C20">
            <v>1</v>
          </cell>
          <cell r="F20" t="str">
            <v>임대료</v>
          </cell>
          <cell r="G20">
            <v>40057</v>
          </cell>
          <cell r="H20">
            <v>5681309</v>
          </cell>
        </row>
        <row r="21">
          <cell r="C21">
            <v>1</v>
          </cell>
          <cell r="F21" t="str">
            <v>임대료</v>
          </cell>
          <cell r="G21">
            <v>40057</v>
          </cell>
          <cell r="H21">
            <v>13566152</v>
          </cell>
        </row>
        <row r="22">
          <cell r="C22">
            <v>1</v>
          </cell>
          <cell r="F22" t="str">
            <v>임대료</v>
          </cell>
          <cell r="G22">
            <v>40057</v>
          </cell>
          <cell r="H22">
            <v>13864372</v>
          </cell>
        </row>
        <row r="23">
          <cell r="C23">
            <v>1</v>
          </cell>
          <cell r="F23" t="str">
            <v>임대료</v>
          </cell>
          <cell r="G23">
            <v>40057</v>
          </cell>
          <cell r="H23">
            <v>9098488</v>
          </cell>
        </row>
        <row r="24">
          <cell r="C24">
            <v>1</v>
          </cell>
          <cell r="F24" t="str">
            <v>임대료</v>
          </cell>
          <cell r="G24">
            <v>40057</v>
          </cell>
          <cell r="H24">
            <v>20527650</v>
          </cell>
        </row>
        <row r="25">
          <cell r="C25">
            <v>1</v>
          </cell>
          <cell r="F25" t="str">
            <v>임대료</v>
          </cell>
          <cell r="G25">
            <v>40057</v>
          </cell>
          <cell r="H25">
            <v>11832000</v>
          </cell>
        </row>
        <row r="26">
          <cell r="C26">
            <v>1</v>
          </cell>
          <cell r="F26" t="str">
            <v>임대료</v>
          </cell>
          <cell r="G26">
            <v>40057</v>
          </cell>
          <cell r="H26">
            <v>14014618</v>
          </cell>
        </row>
        <row r="27">
          <cell r="C27">
            <v>1</v>
          </cell>
          <cell r="F27" t="str">
            <v>임대료</v>
          </cell>
          <cell r="G27">
            <v>40057</v>
          </cell>
          <cell r="H27">
            <v>5953526</v>
          </cell>
        </row>
        <row r="28">
          <cell r="C28">
            <v>1</v>
          </cell>
          <cell r="F28" t="str">
            <v>임대료</v>
          </cell>
          <cell r="G28">
            <v>40057</v>
          </cell>
          <cell r="H28">
            <v>1791178</v>
          </cell>
        </row>
        <row r="29">
          <cell r="C29">
            <v>1</v>
          </cell>
          <cell r="F29" t="str">
            <v>임대료</v>
          </cell>
          <cell r="G29">
            <v>40057</v>
          </cell>
          <cell r="H29">
            <v>5921220</v>
          </cell>
        </row>
        <row r="30">
          <cell r="C30">
            <v>1</v>
          </cell>
          <cell r="F30" t="str">
            <v>임대료</v>
          </cell>
          <cell r="G30">
            <v>40057</v>
          </cell>
          <cell r="H30">
            <v>5966125</v>
          </cell>
        </row>
        <row r="31">
          <cell r="C31">
            <v>1</v>
          </cell>
          <cell r="F31" t="str">
            <v>임대료</v>
          </cell>
          <cell r="G31">
            <v>40057</v>
          </cell>
          <cell r="H31">
            <v>65047059</v>
          </cell>
        </row>
        <row r="32">
          <cell r="C32">
            <v>1</v>
          </cell>
          <cell r="F32" t="str">
            <v>임대료</v>
          </cell>
          <cell r="G32">
            <v>40057</v>
          </cell>
          <cell r="H32">
            <v>2828133</v>
          </cell>
        </row>
        <row r="33">
          <cell r="C33">
            <v>1</v>
          </cell>
          <cell r="F33" t="str">
            <v>임대료</v>
          </cell>
          <cell r="G33">
            <v>40057</v>
          </cell>
          <cell r="H33">
            <v>2828133</v>
          </cell>
        </row>
        <row r="34">
          <cell r="C34">
            <v>1</v>
          </cell>
          <cell r="F34" t="str">
            <v>임대료</v>
          </cell>
          <cell r="G34">
            <v>40057</v>
          </cell>
          <cell r="H34">
            <v>26080872</v>
          </cell>
        </row>
        <row r="35">
          <cell r="C35">
            <v>1</v>
          </cell>
          <cell r="F35" t="str">
            <v>임대료</v>
          </cell>
          <cell r="G35">
            <v>40057</v>
          </cell>
          <cell r="H35">
            <v>50585472</v>
          </cell>
        </row>
        <row r="36">
          <cell r="C36">
            <v>1</v>
          </cell>
          <cell r="F36" t="str">
            <v>임대료</v>
          </cell>
          <cell r="G36">
            <v>40057</v>
          </cell>
          <cell r="H36">
            <v>7019078</v>
          </cell>
        </row>
        <row r="37">
          <cell r="C37">
            <v>1</v>
          </cell>
          <cell r="F37" t="str">
            <v>임대료</v>
          </cell>
          <cell r="G37">
            <v>40057</v>
          </cell>
          <cell r="H37">
            <v>5681309</v>
          </cell>
        </row>
        <row r="38">
          <cell r="C38">
            <v>1</v>
          </cell>
          <cell r="F38" t="str">
            <v>임대료</v>
          </cell>
          <cell r="G38">
            <v>40057</v>
          </cell>
          <cell r="H38">
            <v>17580090</v>
          </cell>
        </row>
        <row r="39">
          <cell r="C39">
            <v>1</v>
          </cell>
          <cell r="F39" t="str">
            <v>임대료</v>
          </cell>
          <cell r="G39">
            <v>40057</v>
          </cell>
          <cell r="H39">
            <v>2947560</v>
          </cell>
        </row>
        <row r="40">
          <cell r="C40">
            <v>1</v>
          </cell>
          <cell r="F40" t="str">
            <v>임대료</v>
          </cell>
          <cell r="G40">
            <v>40057</v>
          </cell>
          <cell r="H40">
            <v>97335988</v>
          </cell>
        </row>
        <row r="41">
          <cell r="C41">
            <v>1</v>
          </cell>
          <cell r="F41" t="str">
            <v>임대료</v>
          </cell>
          <cell r="G41">
            <v>40057</v>
          </cell>
          <cell r="H41">
            <v>5895120</v>
          </cell>
        </row>
        <row r="42">
          <cell r="C42">
            <v>1</v>
          </cell>
          <cell r="F42" t="str">
            <v>임대료</v>
          </cell>
          <cell r="G42">
            <v>40057</v>
          </cell>
          <cell r="H42">
            <v>73689000</v>
          </cell>
        </row>
        <row r="43">
          <cell r="C43">
            <v>1</v>
          </cell>
          <cell r="F43" t="str">
            <v>임대료</v>
          </cell>
          <cell r="G43">
            <v>40057</v>
          </cell>
          <cell r="H43">
            <v>35097647</v>
          </cell>
        </row>
        <row r="44">
          <cell r="C44">
            <v>1</v>
          </cell>
          <cell r="F44" t="str">
            <v>임대료</v>
          </cell>
          <cell r="G44">
            <v>40057</v>
          </cell>
          <cell r="H44">
            <v>14964711</v>
          </cell>
        </row>
        <row r="45">
          <cell r="C45">
            <v>1</v>
          </cell>
          <cell r="F45" t="str">
            <v>임대료</v>
          </cell>
          <cell r="G45">
            <v>40057</v>
          </cell>
          <cell r="H45">
            <v>31322073</v>
          </cell>
        </row>
        <row r="46">
          <cell r="C46">
            <v>1</v>
          </cell>
          <cell r="F46" t="str">
            <v>임대료</v>
          </cell>
          <cell r="G46">
            <v>40057</v>
          </cell>
          <cell r="H46">
            <v>119635454</v>
          </cell>
        </row>
        <row r="47">
          <cell r="C47">
            <v>1</v>
          </cell>
          <cell r="F47" t="str">
            <v>임대료</v>
          </cell>
          <cell r="G47">
            <v>40057</v>
          </cell>
          <cell r="H47">
            <v>5665490</v>
          </cell>
        </row>
        <row r="48">
          <cell r="C48">
            <v>1</v>
          </cell>
          <cell r="F48" t="str">
            <v>임대료</v>
          </cell>
          <cell r="G48">
            <v>40057</v>
          </cell>
          <cell r="H48">
            <v>24292060</v>
          </cell>
        </row>
        <row r="49">
          <cell r="C49">
            <v>1</v>
          </cell>
          <cell r="F49" t="str">
            <v>임대료</v>
          </cell>
          <cell r="G49">
            <v>40057</v>
          </cell>
          <cell r="H49">
            <v>33120974</v>
          </cell>
        </row>
        <row r="50">
          <cell r="C50">
            <v>1</v>
          </cell>
          <cell r="F50" t="str">
            <v>임대료</v>
          </cell>
          <cell r="G50">
            <v>40057</v>
          </cell>
          <cell r="H50">
            <v>16858373</v>
          </cell>
        </row>
        <row r="51">
          <cell r="C51">
            <v>1</v>
          </cell>
          <cell r="F51" t="str">
            <v>임대료</v>
          </cell>
          <cell r="G51">
            <v>40057</v>
          </cell>
          <cell r="H51">
            <v>2947560</v>
          </cell>
        </row>
        <row r="52">
          <cell r="C52">
            <v>1</v>
          </cell>
          <cell r="F52" t="str">
            <v>임대료</v>
          </cell>
          <cell r="G52">
            <v>40057</v>
          </cell>
          <cell r="H52">
            <v>60728800</v>
          </cell>
        </row>
        <row r="53">
          <cell r="C53">
            <v>1</v>
          </cell>
          <cell r="F53" t="str">
            <v>임대료</v>
          </cell>
          <cell r="G53">
            <v>40057</v>
          </cell>
          <cell r="H53">
            <v>7247310</v>
          </cell>
        </row>
        <row r="54">
          <cell r="C54">
            <v>1</v>
          </cell>
          <cell r="F54" t="str">
            <v>임대료</v>
          </cell>
          <cell r="G54">
            <v>40057</v>
          </cell>
          <cell r="H54">
            <v>28104405</v>
          </cell>
        </row>
        <row r="55">
          <cell r="C55">
            <v>1</v>
          </cell>
          <cell r="F55" t="str">
            <v>임대료</v>
          </cell>
          <cell r="G55">
            <v>40057</v>
          </cell>
          <cell r="H55">
            <v>29809245</v>
          </cell>
        </row>
        <row r="56">
          <cell r="C56">
            <v>1</v>
          </cell>
          <cell r="F56" t="str">
            <v>임대료</v>
          </cell>
          <cell r="G56">
            <v>40057</v>
          </cell>
          <cell r="H56">
            <v>26999788</v>
          </cell>
        </row>
        <row r="57">
          <cell r="C57">
            <v>1</v>
          </cell>
          <cell r="F57" t="str">
            <v>임대료</v>
          </cell>
          <cell r="G57">
            <v>40057</v>
          </cell>
          <cell r="H57">
            <v>44404000</v>
          </cell>
        </row>
        <row r="58">
          <cell r="C58">
            <v>1</v>
          </cell>
          <cell r="F58" t="str">
            <v>임대료</v>
          </cell>
          <cell r="G58">
            <v>40057</v>
          </cell>
          <cell r="H58">
            <v>22737588</v>
          </cell>
        </row>
        <row r="59">
          <cell r="C59">
            <v>1</v>
          </cell>
          <cell r="F59" t="str">
            <v>임대료</v>
          </cell>
          <cell r="G59">
            <v>40057</v>
          </cell>
          <cell r="H59">
            <v>4136385</v>
          </cell>
        </row>
        <row r="60">
          <cell r="C60">
            <v>1</v>
          </cell>
          <cell r="F60" t="str">
            <v>임대료</v>
          </cell>
          <cell r="G60">
            <v>40057</v>
          </cell>
          <cell r="H60">
            <v>49533015</v>
          </cell>
        </row>
        <row r="61">
          <cell r="C61">
            <v>1</v>
          </cell>
          <cell r="F61" t="str">
            <v>아케이드</v>
          </cell>
          <cell r="G61">
            <v>40057</v>
          </cell>
          <cell r="H61">
            <v>3883724</v>
          </cell>
        </row>
        <row r="62">
          <cell r="C62">
            <v>1</v>
          </cell>
          <cell r="F62" t="str">
            <v>아케이드</v>
          </cell>
          <cell r="G62">
            <v>40057</v>
          </cell>
          <cell r="H62">
            <v>13062147</v>
          </cell>
        </row>
        <row r="63">
          <cell r="C63">
            <v>1</v>
          </cell>
          <cell r="F63" t="str">
            <v>아케이드</v>
          </cell>
          <cell r="G63">
            <v>40057</v>
          </cell>
          <cell r="H63">
            <v>1040400</v>
          </cell>
        </row>
        <row r="64">
          <cell r="C64">
            <v>1</v>
          </cell>
          <cell r="F64" t="str">
            <v>아케이드</v>
          </cell>
          <cell r="G64">
            <v>40057</v>
          </cell>
          <cell r="H64">
            <v>924300</v>
          </cell>
        </row>
        <row r="65">
          <cell r="C65">
            <v>1</v>
          </cell>
          <cell r="F65" t="str">
            <v>아케이드</v>
          </cell>
          <cell r="G65">
            <v>40057</v>
          </cell>
          <cell r="H65">
            <v>1918200</v>
          </cell>
        </row>
        <row r="66">
          <cell r="C66">
            <v>1</v>
          </cell>
          <cell r="F66" t="str">
            <v>아케이드</v>
          </cell>
          <cell r="G66">
            <v>40057</v>
          </cell>
          <cell r="H66">
            <v>752000</v>
          </cell>
        </row>
        <row r="67">
          <cell r="C67">
            <v>1</v>
          </cell>
          <cell r="F67" t="str">
            <v>아케이드</v>
          </cell>
          <cell r="G67">
            <v>40057</v>
          </cell>
          <cell r="H67">
            <v>511400</v>
          </cell>
        </row>
        <row r="68">
          <cell r="C68">
            <v>1</v>
          </cell>
          <cell r="F68" t="str">
            <v>아케이드</v>
          </cell>
          <cell r="G68">
            <v>40057</v>
          </cell>
          <cell r="H68">
            <v>1700500</v>
          </cell>
        </row>
        <row r="69">
          <cell r="C69">
            <v>1</v>
          </cell>
          <cell r="F69" t="str">
            <v>아케이드</v>
          </cell>
          <cell r="G69">
            <v>40057</v>
          </cell>
          <cell r="H69">
            <v>796900</v>
          </cell>
        </row>
        <row r="70">
          <cell r="C70">
            <v>1</v>
          </cell>
          <cell r="F70" t="str">
            <v>아케이드</v>
          </cell>
          <cell r="G70">
            <v>40057</v>
          </cell>
          <cell r="H70">
            <v>1762700</v>
          </cell>
        </row>
        <row r="71">
          <cell r="C71">
            <v>1</v>
          </cell>
          <cell r="F71" t="str">
            <v>아케이드</v>
          </cell>
          <cell r="G71">
            <v>40057</v>
          </cell>
          <cell r="H71">
            <v>2833700</v>
          </cell>
        </row>
        <row r="72">
          <cell r="C72">
            <v>1</v>
          </cell>
          <cell r="F72" t="str">
            <v>아케이드</v>
          </cell>
          <cell r="G72">
            <v>40057</v>
          </cell>
          <cell r="H72">
            <v>4689612</v>
          </cell>
        </row>
        <row r="73">
          <cell r="C73">
            <v>1</v>
          </cell>
          <cell r="F73" t="str">
            <v>아케이드</v>
          </cell>
          <cell r="G73">
            <v>40057</v>
          </cell>
          <cell r="H73">
            <v>773000</v>
          </cell>
        </row>
        <row r="74">
          <cell r="C74">
            <v>1</v>
          </cell>
          <cell r="F74" t="str">
            <v>아케이드</v>
          </cell>
          <cell r="G74">
            <v>40057</v>
          </cell>
          <cell r="H74">
            <v>156000</v>
          </cell>
        </row>
        <row r="75">
          <cell r="C75">
            <v>1</v>
          </cell>
          <cell r="F75" t="str">
            <v>아케이드</v>
          </cell>
          <cell r="G75">
            <v>40057</v>
          </cell>
          <cell r="H75">
            <v>396700</v>
          </cell>
        </row>
        <row r="76">
          <cell r="C76">
            <v>1</v>
          </cell>
          <cell r="F76" t="str">
            <v>관리비</v>
          </cell>
          <cell r="G76">
            <v>40057</v>
          </cell>
          <cell r="H76">
            <v>3695046</v>
          </cell>
        </row>
        <row r="77">
          <cell r="C77">
            <v>1</v>
          </cell>
          <cell r="F77" t="str">
            <v>관리비</v>
          </cell>
          <cell r="G77">
            <v>40057</v>
          </cell>
          <cell r="H77">
            <v>4150310</v>
          </cell>
        </row>
        <row r="78">
          <cell r="C78">
            <v>1</v>
          </cell>
          <cell r="F78" t="str">
            <v>관리비</v>
          </cell>
          <cell r="G78">
            <v>40057</v>
          </cell>
          <cell r="H78">
            <v>50311921</v>
          </cell>
        </row>
        <row r="79">
          <cell r="C79">
            <v>1</v>
          </cell>
          <cell r="F79" t="str">
            <v>관리비</v>
          </cell>
          <cell r="G79">
            <v>40057</v>
          </cell>
          <cell r="H79">
            <v>26701850</v>
          </cell>
        </row>
        <row r="80">
          <cell r="C80">
            <v>1</v>
          </cell>
          <cell r="F80" t="str">
            <v>관리비</v>
          </cell>
          <cell r="G80">
            <v>40057</v>
          </cell>
          <cell r="H80">
            <v>3038700</v>
          </cell>
        </row>
        <row r="81">
          <cell r="C81">
            <v>1</v>
          </cell>
          <cell r="F81" t="str">
            <v>관리비</v>
          </cell>
          <cell r="G81">
            <v>40057</v>
          </cell>
          <cell r="H81">
            <v>3578750</v>
          </cell>
        </row>
        <row r="82">
          <cell r="C82">
            <v>1</v>
          </cell>
          <cell r="F82" t="str">
            <v>관리비</v>
          </cell>
          <cell r="G82">
            <v>40057</v>
          </cell>
          <cell r="H82">
            <v>3038700</v>
          </cell>
        </row>
        <row r="83">
          <cell r="C83">
            <v>1</v>
          </cell>
          <cell r="F83" t="str">
            <v>관리비</v>
          </cell>
          <cell r="G83">
            <v>40057</v>
          </cell>
          <cell r="H83">
            <v>7263200</v>
          </cell>
        </row>
        <row r="84">
          <cell r="C84">
            <v>1</v>
          </cell>
          <cell r="F84" t="str">
            <v>관리비</v>
          </cell>
          <cell r="G84">
            <v>40057</v>
          </cell>
          <cell r="H84">
            <v>34949250</v>
          </cell>
        </row>
        <row r="85">
          <cell r="C85">
            <v>1</v>
          </cell>
          <cell r="F85" t="str">
            <v>관리비</v>
          </cell>
          <cell r="G85">
            <v>40057</v>
          </cell>
          <cell r="H85">
            <v>12482750</v>
          </cell>
        </row>
        <row r="86">
          <cell r="C86">
            <v>1</v>
          </cell>
          <cell r="F86" t="str">
            <v>관리비</v>
          </cell>
          <cell r="G86">
            <v>40057</v>
          </cell>
          <cell r="H86">
            <v>1185800</v>
          </cell>
        </row>
        <row r="87">
          <cell r="C87">
            <v>1</v>
          </cell>
          <cell r="F87" t="str">
            <v>관리비</v>
          </cell>
          <cell r="G87">
            <v>40057</v>
          </cell>
          <cell r="H87">
            <v>14875350</v>
          </cell>
        </row>
        <row r="88">
          <cell r="C88">
            <v>1</v>
          </cell>
          <cell r="F88" t="str">
            <v>관리비</v>
          </cell>
          <cell r="G88">
            <v>40057</v>
          </cell>
          <cell r="H88">
            <v>4224500</v>
          </cell>
        </row>
        <row r="89">
          <cell r="C89">
            <v>1</v>
          </cell>
          <cell r="F89" t="str">
            <v>관리비</v>
          </cell>
          <cell r="G89">
            <v>40057</v>
          </cell>
          <cell r="H89">
            <v>2382100</v>
          </cell>
        </row>
        <row r="90">
          <cell r="C90">
            <v>1</v>
          </cell>
          <cell r="F90" t="str">
            <v>관리비</v>
          </cell>
          <cell r="G90">
            <v>40057</v>
          </cell>
          <cell r="H90">
            <v>5876150</v>
          </cell>
        </row>
        <row r="91">
          <cell r="C91">
            <v>1</v>
          </cell>
          <cell r="F91" t="str">
            <v>관리비</v>
          </cell>
          <cell r="G91">
            <v>40057</v>
          </cell>
          <cell r="H91">
            <v>5420800</v>
          </cell>
        </row>
        <row r="92">
          <cell r="C92">
            <v>1</v>
          </cell>
          <cell r="F92" t="str">
            <v>관리비</v>
          </cell>
          <cell r="G92">
            <v>40057</v>
          </cell>
          <cell r="H92">
            <v>3557400</v>
          </cell>
        </row>
        <row r="93">
          <cell r="C93">
            <v>1</v>
          </cell>
          <cell r="F93" t="str">
            <v>관리비</v>
          </cell>
          <cell r="G93">
            <v>40057</v>
          </cell>
          <cell r="H93">
            <v>8258250</v>
          </cell>
        </row>
        <row r="94">
          <cell r="C94">
            <v>1</v>
          </cell>
          <cell r="F94" t="str">
            <v>관리비</v>
          </cell>
          <cell r="G94">
            <v>40057</v>
          </cell>
          <cell r="H94">
            <v>4760000</v>
          </cell>
        </row>
        <row r="95">
          <cell r="C95">
            <v>1</v>
          </cell>
          <cell r="F95" t="str">
            <v>관리비</v>
          </cell>
          <cell r="G95">
            <v>40057</v>
          </cell>
          <cell r="H95">
            <v>5876150</v>
          </cell>
        </row>
        <row r="96">
          <cell r="C96">
            <v>1</v>
          </cell>
          <cell r="F96" t="str">
            <v>관리비</v>
          </cell>
          <cell r="G96">
            <v>40057</v>
          </cell>
          <cell r="H96">
            <v>2382100</v>
          </cell>
        </row>
        <row r="97">
          <cell r="C97">
            <v>1</v>
          </cell>
          <cell r="F97" t="str">
            <v>관리비</v>
          </cell>
          <cell r="G97">
            <v>40057</v>
          </cell>
          <cell r="H97">
            <v>751007</v>
          </cell>
        </row>
        <row r="98">
          <cell r="C98">
            <v>1</v>
          </cell>
          <cell r="F98" t="str">
            <v>관리비</v>
          </cell>
          <cell r="G98">
            <v>40057</v>
          </cell>
          <cell r="H98">
            <v>2382100</v>
          </cell>
        </row>
        <row r="99">
          <cell r="C99">
            <v>1</v>
          </cell>
          <cell r="F99" t="str">
            <v>관리비</v>
          </cell>
          <cell r="G99">
            <v>40057</v>
          </cell>
          <cell r="H99">
            <v>2501520</v>
          </cell>
        </row>
        <row r="100">
          <cell r="C100">
            <v>1</v>
          </cell>
          <cell r="F100" t="str">
            <v>관리비</v>
          </cell>
          <cell r="G100">
            <v>40057</v>
          </cell>
          <cell r="H100">
            <v>27273400</v>
          </cell>
        </row>
        <row r="101">
          <cell r="C101">
            <v>1</v>
          </cell>
          <cell r="F101" t="str">
            <v>관리비</v>
          </cell>
          <cell r="G101">
            <v>40057</v>
          </cell>
          <cell r="H101">
            <v>1185800</v>
          </cell>
        </row>
        <row r="102">
          <cell r="C102">
            <v>1</v>
          </cell>
          <cell r="F102" t="str">
            <v>관리비</v>
          </cell>
          <cell r="G102">
            <v>40057</v>
          </cell>
          <cell r="H102">
            <v>1185800</v>
          </cell>
        </row>
        <row r="103">
          <cell r="C103">
            <v>1</v>
          </cell>
          <cell r="F103" t="str">
            <v>관리비</v>
          </cell>
          <cell r="G103">
            <v>40057</v>
          </cell>
          <cell r="H103">
            <v>11296950</v>
          </cell>
        </row>
        <row r="104">
          <cell r="C104">
            <v>1</v>
          </cell>
          <cell r="F104" t="str">
            <v>관리비</v>
          </cell>
          <cell r="G104">
            <v>40057</v>
          </cell>
          <cell r="H104">
            <v>23038400</v>
          </cell>
        </row>
        <row r="105">
          <cell r="C105">
            <v>1</v>
          </cell>
          <cell r="F105" t="str">
            <v>관리비</v>
          </cell>
          <cell r="G105">
            <v>40057</v>
          </cell>
          <cell r="H105">
            <v>3038700</v>
          </cell>
        </row>
        <row r="106">
          <cell r="C106">
            <v>1</v>
          </cell>
          <cell r="F106" t="str">
            <v>관리비</v>
          </cell>
          <cell r="G106">
            <v>40057</v>
          </cell>
          <cell r="H106">
            <v>2382100</v>
          </cell>
        </row>
        <row r="107">
          <cell r="C107">
            <v>1</v>
          </cell>
          <cell r="F107" t="str">
            <v>관리비</v>
          </cell>
          <cell r="G107">
            <v>40057</v>
          </cell>
          <cell r="H107">
            <v>7072450</v>
          </cell>
        </row>
        <row r="108">
          <cell r="C108">
            <v>1</v>
          </cell>
          <cell r="F108" t="str">
            <v>관리비</v>
          </cell>
          <cell r="G108">
            <v>40057</v>
          </cell>
          <cell r="H108">
            <v>1185800</v>
          </cell>
        </row>
        <row r="109">
          <cell r="C109">
            <v>1</v>
          </cell>
          <cell r="F109" t="str">
            <v>관리비</v>
          </cell>
          <cell r="G109">
            <v>40057</v>
          </cell>
          <cell r="H109">
            <v>38178700</v>
          </cell>
        </row>
        <row r="110">
          <cell r="C110">
            <v>1</v>
          </cell>
          <cell r="F110" t="str">
            <v>관리비</v>
          </cell>
          <cell r="G110">
            <v>40057</v>
          </cell>
          <cell r="H110">
            <v>2371600</v>
          </cell>
        </row>
        <row r="111">
          <cell r="C111">
            <v>1</v>
          </cell>
          <cell r="F111" t="str">
            <v>관리비</v>
          </cell>
          <cell r="G111">
            <v>40057</v>
          </cell>
          <cell r="H111">
            <v>29645000</v>
          </cell>
        </row>
        <row r="112">
          <cell r="C112">
            <v>1</v>
          </cell>
          <cell r="F112" t="str">
            <v>관리비</v>
          </cell>
          <cell r="G112">
            <v>40057</v>
          </cell>
          <cell r="H112">
            <v>14451972</v>
          </cell>
        </row>
        <row r="113">
          <cell r="C113">
            <v>1</v>
          </cell>
          <cell r="F113" t="str">
            <v>관리비</v>
          </cell>
          <cell r="G113">
            <v>40057</v>
          </cell>
          <cell r="H113">
            <v>6161940</v>
          </cell>
        </row>
        <row r="114">
          <cell r="C114">
            <v>1</v>
          </cell>
          <cell r="F114" t="str">
            <v>관리비</v>
          </cell>
          <cell r="G114">
            <v>40057</v>
          </cell>
          <cell r="H114">
            <v>12482750</v>
          </cell>
        </row>
        <row r="115">
          <cell r="C115">
            <v>1</v>
          </cell>
          <cell r="F115" t="str">
            <v>관리비</v>
          </cell>
          <cell r="G115">
            <v>40057</v>
          </cell>
          <cell r="H115">
            <v>50883351</v>
          </cell>
        </row>
        <row r="116">
          <cell r="C116">
            <v>1</v>
          </cell>
          <cell r="F116" t="str">
            <v>관리비</v>
          </cell>
          <cell r="G116">
            <v>40057</v>
          </cell>
          <cell r="H116">
            <v>10185350</v>
          </cell>
        </row>
        <row r="117">
          <cell r="C117">
            <v>1</v>
          </cell>
          <cell r="F117" t="str">
            <v>관리비</v>
          </cell>
          <cell r="G117">
            <v>40057</v>
          </cell>
          <cell r="H117">
            <v>14346150</v>
          </cell>
        </row>
        <row r="118">
          <cell r="C118">
            <v>1</v>
          </cell>
          <cell r="F118" t="str">
            <v>관리비</v>
          </cell>
          <cell r="G118">
            <v>40057</v>
          </cell>
          <cell r="H118">
            <v>7035000</v>
          </cell>
        </row>
        <row r="119">
          <cell r="C119">
            <v>1</v>
          </cell>
          <cell r="F119" t="str">
            <v>관리비</v>
          </cell>
          <cell r="G119">
            <v>40057</v>
          </cell>
          <cell r="H119">
            <v>1185800</v>
          </cell>
        </row>
        <row r="120">
          <cell r="C120">
            <v>1</v>
          </cell>
          <cell r="F120" t="str">
            <v>관리비</v>
          </cell>
          <cell r="G120">
            <v>40057</v>
          </cell>
          <cell r="H120">
            <v>29462800</v>
          </cell>
        </row>
        <row r="121">
          <cell r="C121">
            <v>1</v>
          </cell>
          <cell r="F121" t="str">
            <v>관리비</v>
          </cell>
          <cell r="G121">
            <v>40057</v>
          </cell>
          <cell r="H121">
            <v>3038700</v>
          </cell>
        </row>
        <row r="122">
          <cell r="C122">
            <v>1</v>
          </cell>
          <cell r="F122" t="str">
            <v>관리비</v>
          </cell>
          <cell r="G122">
            <v>40057</v>
          </cell>
          <cell r="H122">
            <v>11783800</v>
          </cell>
        </row>
        <row r="123">
          <cell r="C123">
            <v>1</v>
          </cell>
          <cell r="F123" t="str">
            <v>관리비</v>
          </cell>
          <cell r="G123">
            <v>40057</v>
          </cell>
          <cell r="H123">
            <v>12398050</v>
          </cell>
        </row>
        <row r="124">
          <cell r="C124">
            <v>1</v>
          </cell>
          <cell r="F124" t="str">
            <v>관리비</v>
          </cell>
          <cell r="G124">
            <v>40057</v>
          </cell>
          <cell r="H124">
            <v>11117561</v>
          </cell>
        </row>
        <row r="125">
          <cell r="C125">
            <v>1</v>
          </cell>
          <cell r="F125" t="str">
            <v>관리비</v>
          </cell>
          <cell r="G125">
            <v>40057</v>
          </cell>
          <cell r="H125">
            <v>18284000</v>
          </cell>
        </row>
        <row r="126">
          <cell r="C126">
            <v>1</v>
          </cell>
          <cell r="F126" t="str">
            <v>관리비</v>
          </cell>
          <cell r="G126">
            <v>40057</v>
          </cell>
          <cell r="H126">
            <v>9454550</v>
          </cell>
        </row>
        <row r="127">
          <cell r="C127">
            <v>1</v>
          </cell>
          <cell r="F127" t="str">
            <v>관리비</v>
          </cell>
          <cell r="G127">
            <v>40057</v>
          </cell>
          <cell r="H127">
            <v>1821050</v>
          </cell>
        </row>
        <row r="128">
          <cell r="C128">
            <v>1</v>
          </cell>
          <cell r="F128" t="str">
            <v>관리비</v>
          </cell>
          <cell r="G128">
            <v>40057</v>
          </cell>
          <cell r="H128">
            <v>15625665</v>
          </cell>
        </row>
        <row r="129">
          <cell r="C129">
            <v>1</v>
          </cell>
          <cell r="F129" t="str">
            <v>관리비</v>
          </cell>
          <cell r="G129">
            <v>40057</v>
          </cell>
          <cell r="H129">
            <v>954741</v>
          </cell>
        </row>
        <row r="130">
          <cell r="C130">
            <v>1</v>
          </cell>
          <cell r="F130" t="str">
            <v>관리비</v>
          </cell>
          <cell r="G130">
            <v>40057</v>
          </cell>
          <cell r="H130">
            <v>9313989</v>
          </cell>
        </row>
        <row r="131">
          <cell r="C131">
            <v>1</v>
          </cell>
          <cell r="F131" t="str">
            <v>관리비</v>
          </cell>
          <cell r="G131">
            <v>40057</v>
          </cell>
          <cell r="H131">
            <v>635250</v>
          </cell>
        </row>
        <row r="132">
          <cell r="C132">
            <v>1</v>
          </cell>
          <cell r="F132" t="str">
            <v>관리비</v>
          </cell>
          <cell r="G132">
            <v>40057</v>
          </cell>
          <cell r="H132">
            <v>540050</v>
          </cell>
        </row>
        <row r="133">
          <cell r="C133">
            <v>1</v>
          </cell>
          <cell r="F133" t="str">
            <v>관리비</v>
          </cell>
          <cell r="G133">
            <v>40057</v>
          </cell>
          <cell r="H133">
            <v>815150</v>
          </cell>
        </row>
        <row r="134">
          <cell r="C134">
            <v>1</v>
          </cell>
          <cell r="F134" t="str">
            <v>관리비</v>
          </cell>
          <cell r="G134">
            <v>40057</v>
          </cell>
          <cell r="H134">
            <v>529550</v>
          </cell>
        </row>
        <row r="135">
          <cell r="C135">
            <v>1</v>
          </cell>
          <cell r="F135" t="str">
            <v>관리비</v>
          </cell>
          <cell r="G135">
            <v>40057</v>
          </cell>
          <cell r="H135">
            <v>360150</v>
          </cell>
        </row>
        <row r="136">
          <cell r="C136">
            <v>1</v>
          </cell>
          <cell r="F136" t="str">
            <v>관리비</v>
          </cell>
          <cell r="G136">
            <v>40057</v>
          </cell>
          <cell r="H136">
            <v>434000</v>
          </cell>
        </row>
        <row r="137">
          <cell r="C137">
            <v>1</v>
          </cell>
          <cell r="F137" t="str">
            <v>관리비</v>
          </cell>
          <cell r="G137">
            <v>40057</v>
          </cell>
          <cell r="H137">
            <v>465850</v>
          </cell>
        </row>
        <row r="138">
          <cell r="C138">
            <v>1</v>
          </cell>
          <cell r="F138" t="str">
            <v>관리비</v>
          </cell>
          <cell r="G138">
            <v>40057</v>
          </cell>
          <cell r="H138">
            <v>1016400</v>
          </cell>
        </row>
        <row r="139">
          <cell r="C139">
            <v>1</v>
          </cell>
          <cell r="F139" t="str">
            <v>관리비</v>
          </cell>
          <cell r="G139">
            <v>40057</v>
          </cell>
          <cell r="H139">
            <v>2996350</v>
          </cell>
        </row>
        <row r="140">
          <cell r="C140">
            <v>1</v>
          </cell>
          <cell r="F140" t="str">
            <v>관리비</v>
          </cell>
          <cell r="G140">
            <v>40057</v>
          </cell>
          <cell r="H140">
            <v>4292640</v>
          </cell>
        </row>
        <row r="141">
          <cell r="C141">
            <v>1</v>
          </cell>
          <cell r="F141" t="str">
            <v>관리비</v>
          </cell>
          <cell r="G141">
            <v>40057</v>
          </cell>
          <cell r="H141">
            <v>434000</v>
          </cell>
        </row>
        <row r="142">
          <cell r="C142">
            <v>1</v>
          </cell>
          <cell r="F142" t="str">
            <v>관리비</v>
          </cell>
          <cell r="G142">
            <v>40057</v>
          </cell>
          <cell r="H142">
            <v>116550</v>
          </cell>
        </row>
        <row r="143">
          <cell r="C143">
            <v>1</v>
          </cell>
          <cell r="F143" t="str">
            <v>관리비</v>
          </cell>
          <cell r="G143">
            <v>40057</v>
          </cell>
          <cell r="H143">
            <v>296450</v>
          </cell>
        </row>
        <row r="144">
          <cell r="C144">
            <v>1</v>
          </cell>
          <cell r="F144" t="str">
            <v>정기주차</v>
          </cell>
          <cell r="G144">
            <v>40057</v>
          </cell>
          <cell r="H144">
            <v>400000</v>
          </cell>
        </row>
        <row r="145">
          <cell r="C145">
            <v>1</v>
          </cell>
          <cell r="F145" t="str">
            <v>정기주차</v>
          </cell>
          <cell r="G145">
            <v>40057</v>
          </cell>
          <cell r="H145">
            <v>200000</v>
          </cell>
        </row>
        <row r="146">
          <cell r="C146">
            <v>1</v>
          </cell>
          <cell r="F146" t="str">
            <v>정기주차</v>
          </cell>
          <cell r="G146">
            <v>40057</v>
          </cell>
          <cell r="H146">
            <v>4000000</v>
          </cell>
        </row>
        <row r="147">
          <cell r="C147">
            <v>1</v>
          </cell>
          <cell r="F147" t="str">
            <v>정기주차</v>
          </cell>
          <cell r="G147">
            <v>40057</v>
          </cell>
          <cell r="H147">
            <v>200000</v>
          </cell>
        </row>
        <row r="148">
          <cell r="C148">
            <v>1</v>
          </cell>
          <cell r="F148" t="str">
            <v>정기주차</v>
          </cell>
          <cell r="G148">
            <v>40057</v>
          </cell>
          <cell r="H148">
            <v>2800000</v>
          </cell>
        </row>
        <row r="149">
          <cell r="C149">
            <v>1</v>
          </cell>
          <cell r="F149" t="str">
            <v>정기주차</v>
          </cell>
          <cell r="G149">
            <v>40057</v>
          </cell>
          <cell r="H149">
            <v>800000</v>
          </cell>
        </row>
        <row r="150">
          <cell r="C150">
            <v>1</v>
          </cell>
          <cell r="F150" t="str">
            <v>정기주차</v>
          </cell>
          <cell r="G150">
            <v>40057</v>
          </cell>
          <cell r="H150">
            <v>800000</v>
          </cell>
        </row>
        <row r="151">
          <cell r="C151">
            <v>1</v>
          </cell>
          <cell r="F151" t="str">
            <v>정기주차</v>
          </cell>
          <cell r="G151">
            <v>40057</v>
          </cell>
          <cell r="H151">
            <v>1200000</v>
          </cell>
        </row>
        <row r="152">
          <cell r="C152">
            <v>1</v>
          </cell>
          <cell r="F152" t="str">
            <v>정기주차</v>
          </cell>
          <cell r="G152">
            <v>40057</v>
          </cell>
          <cell r="H152">
            <v>4000000</v>
          </cell>
        </row>
        <row r="153">
          <cell r="C153">
            <v>1</v>
          </cell>
          <cell r="F153" t="str">
            <v>정기주차</v>
          </cell>
          <cell r="G153">
            <v>40057</v>
          </cell>
          <cell r="H153">
            <v>5800000</v>
          </cell>
        </row>
        <row r="154">
          <cell r="C154">
            <v>1</v>
          </cell>
          <cell r="F154" t="str">
            <v>정기주차</v>
          </cell>
          <cell r="G154">
            <v>40057</v>
          </cell>
          <cell r="H154">
            <v>1000000</v>
          </cell>
        </row>
        <row r="155">
          <cell r="C155">
            <v>1</v>
          </cell>
          <cell r="F155" t="str">
            <v>정기주차</v>
          </cell>
          <cell r="G155">
            <v>40057</v>
          </cell>
          <cell r="H155">
            <v>5200000</v>
          </cell>
        </row>
        <row r="156">
          <cell r="C156">
            <v>1</v>
          </cell>
          <cell r="F156" t="str">
            <v>정기주차</v>
          </cell>
          <cell r="G156">
            <v>40057</v>
          </cell>
          <cell r="H156">
            <v>200000</v>
          </cell>
        </row>
        <row r="157">
          <cell r="C157">
            <v>1</v>
          </cell>
          <cell r="F157" t="str">
            <v>정기주차</v>
          </cell>
          <cell r="G157">
            <v>40057</v>
          </cell>
          <cell r="H157">
            <v>400000</v>
          </cell>
        </row>
        <row r="158">
          <cell r="C158">
            <v>1</v>
          </cell>
          <cell r="F158" t="str">
            <v>정기주차</v>
          </cell>
          <cell r="G158">
            <v>40057</v>
          </cell>
          <cell r="H158">
            <v>400000</v>
          </cell>
        </row>
        <row r="159">
          <cell r="C159">
            <v>1</v>
          </cell>
          <cell r="F159" t="str">
            <v>정기주차</v>
          </cell>
          <cell r="G159">
            <v>40057</v>
          </cell>
          <cell r="H159">
            <v>1400000</v>
          </cell>
        </row>
        <row r="160">
          <cell r="C160">
            <v>1</v>
          </cell>
          <cell r="F160" t="str">
            <v>정기주차</v>
          </cell>
          <cell r="G160">
            <v>40057</v>
          </cell>
          <cell r="H160">
            <v>400000</v>
          </cell>
        </row>
        <row r="161">
          <cell r="C161">
            <v>1</v>
          </cell>
          <cell r="F161" t="str">
            <v>정기주차</v>
          </cell>
          <cell r="G161">
            <v>40057</v>
          </cell>
          <cell r="H161">
            <v>600000</v>
          </cell>
        </row>
        <row r="162">
          <cell r="C162">
            <v>1</v>
          </cell>
          <cell r="F162" t="str">
            <v>정기주차</v>
          </cell>
          <cell r="G162">
            <v>40057</v>
          </cell>
          <cell r="H162">
            <v>600000</v>
          </cell>
        </row>
        <row r="163">
          <cell r="C163">
            <v>1</v>
          </cell>
          <cell r="F163" t="str">
            <v>정기주차</v>
          </cell>
          <cell r="G163">
            <v>40057</v>
          </cell>
          <cell r="H163">
            <v>200000</v>
          </cell>
        </row>
        <row r="164">
          <cell r="C164">
            <v>1</v>
          </cell>
          <cell r="F164" t="str">
            <v>정기주차</v>
          </cell>
          <cell r="G164">
            <v>40057</v>
          </cell>
          <cell r="H164">
            <v>400000</v>
          </cell>
        </row>
        <row r="165">
          <cell r="C165">
            <v>1</v>
          </cell>
          <cell r="F165" t="str">
            <v>정기주차</v>
          </cell>
          <cell r="G165">
            <v>40057</v>
          </cell>
          <cell r="H165">
            <v>800000</v>
          </cell>
        </row>
        <row r="166">
          <cell r="C166">
            <v>1</v>
          </cell>
          <cell r="F166" t="str">
            <v>정기주차</v>
          </cell>
          <cell r="G166">
            <v>40057</v>
          </cell>
          <cell r="H166">
            <v>380000</v>
          </cell>
        </row>
        <row r="167">
          <cell r="C167">
            <v>1</v>
          </cell>
          <cell r="F167" t="str">
            <v>정기주차</v>
          </cell>
          <cell r="G167">
            <v>40057</v>
          </cell>
          <cell r="H167">
            <v>200000</v>
          </cell>
        </row>
        <row r="168">
          <cell r="C168">
            <v>1</v>
          </cell>
          <cell r="F168" t="str">
            <v>정기주차</v>
          </cell>
          <cell r="G168">
            <v>40057</v>
          </cell>
          <cell r="H168">
            <v>1200000</v>
          </cell>
        </row>
        <row r="169">
          <cell r="C169">
            <v>1</v>
          </cell>
          <cell r="F169" t="str">
            <v>정기주차</v>
          </cell>
          <cell r="G169">
            <v>40057</v>
          </cell>
          <cell r="H169">
            <v>1800000</v>
          </cell>
        </row>
        <row r="170">
          <cell r="C170">
            <v>1</v>
          </cell>
          <cell r="F170" t="str">
            <v>정기주차</v>
          </cell>
          <cell r="G170">
            <v>40057</v>
          </cell>
          <cell r="H170">
            <v>800000</v>
          </cell>
        </row>
        <row r="171">
          <cell r="C171">
            <v>1</v>
          </cell>
          <cell r="F171" t="str">
            <v>정기주차</v>
          </cell>
          <cell r="G171">
            <v>40057</v>
          </cell>
          <cell r="H171">
            <v>200000</v>
          </cell>
        </row>
        <row r="172">
          <cell r="C172">
            <v>1</v>
          </cell>
          <cell r="F172" t="str">
            <v>정기주차</v>
          </cell>
          <cell r="G172">
            <v>40057</v>
          </cell>
          <cell r="H172">
            <v>3800000</v>
          </cell>
        </row>
        <row r="173">
          <cell r="C173">
            <v>1</v>
          </cell>
          <cell r="F173" t="str">
            <v>정기주차</v>
          </cell>
          <cell r="G173">
            <v>40057</v>
          </cell>
          <cell r="H173">
            <v>2600000</v>
          </cell>
        </row>
        <row r="174">
          <cell r="C174">
            <v>1</v>
          </cell>
          <cell r="F174" t="str">
            <v>정기주차</v>
          </cell>
          <cell r="G174">
            <v>40057</v>
          </cell>
          <cell r="H174">
            <v>800000</v>
          </cell>
        </row>
        <row r="175">
          <cell r="C175">
            <v>1</v>
          </cell>
          <cell r="F175" t="str">
            <v>정기주차</v>
          </cell>
          <cell r="G175">
            <v>40057</v>
          </cell>
          <cell r="H175">
            <v>6400000</v>
          </cell>
        </row>
        <row r="176">
          <cell r="C176">
            <v>1</v>
          </cell>
          <cell r="F176" t="str">
            <v>정기주차</v>
          </cell>
          <cell r="G176">
            <v>40064</v>
          </cell>
          <cell r="H176">
            <v>153336</v>
          </cell>
        </row>
        <row r="177">
          <cell r="C177">
            <v>1</v>
          </cell>
          <cell r="F177" t="str">
            <v>정기주차</v>
          </cell>
          <cell r="G177">
            <v>40057</v>
          </cell>
          <cell r="H177">
            <v>8400000</v>
          </cell>
        </row>
        <row r="178">
          <cell r="C178">
            <v>1</v>
          </cell>
          <cell r="F178" t="str">
            <v>정기주차</v>
          </cell>
          <cell r="G178">
            <v>40057</v>
          </cell>
          <cell r="H178">
            <v>2800000</v>
          </cell>
        </row>
        <row r="179">
          <cell r="C179">
            <v>1</v>
          </cell>
          <cell r="F179" t="str">
            <v>정기주차</v>
          </cell>
          <cell r="G179">
            <v>40057</v>
          </cell>
          <cell r="H179">
            <v>200000</v>
          </cell>
        </row>
        <row r="180">
          <cell r="C180">
            <v>1</v>
          </cell>
          <cell r="F180" t="str">
            <v>정기주차</v>
          </cell>
          <cell r="G180">
            <v>40057</v>
          </cell>
          <cell r="H180">
            <v>200000</v>
          </cell>
        </row>
        <row r="181">
          <cell r="C181">
            <v>1</v>
          </cell>
          <cell r="F181" t="str">
            <v>정기주차</v>
          </cell>
          <cell r="G181">
            <v>40057</v>
          </cell>
          <cell r="H181">
            <v>400000</v>
          </cell>
        </row>
        <row r="182">
          <cell r="C182">
            <v>1</v>
          </cell>
          <cell r="F182" t="str">
            <v>정기주차</v>
          </cell>
          <cell r="G182">
            <v>40077</v>
          </cell>
          <cell r="H182">
            <v>60000</v>
          </cell>
        </row>
        <row r="183">
          <cell r="C183">
            <v>1</v>
          </cell>
          <cell r="F183" t="str">
            <v>정기주차</v>
          </cell>
          <cell r="G183">
            <v>40057</v>
          </cell>
          <cell r="H183">
            <v>3000000</v>
          </cell>
        </row>
        <row r="184">
          <cell r="C184">
            <v>1</v>
          </cell>
          <cell r="F184" t="str">
            <v>정기주차</v>
          </cell>
          <cell r="G184">
            <v>40057</v>
          </cell>
          <cell r="H184">
            <v>13200000</v>
          </cell>
        </row>
        <row r="185">
          <cell r="C185">
            <v>1</v>
          </cell>
          <cell r="F185" t="str">
            <v>정기주차</v>
          </cell>
          <cell r="G185">
            <v>40065</v>
          </cell>
          <cell r="H185">
            <v>440000</v>
          </cell>
        </row>
        <row r="186">
          <cell r="C186">
            <v>1</v>
          </cell>
          <cell r="F186" t="str">
            <v>정기주차</v>
          </cell>
          <cell r="G186">
            <v>40057</v>
          </cell>
          <cell r="H186">
            <v>1800000</v>
          </cell>
        </row>
        <row r="187">
          <cell r="C187">
            <v>1</v>
          </cell>
          <cell r="F187" t="str">
            <v>정기주차</v>
          </cell>
          <cell r="G187">
            <v>40057</v>
          </cell>
          <cell r="H187">
            <v>400000</v>
          </cell>
        </row>
        <row r="188">
          <cell r="C188">
            <v>1</v>
          </cell>
          <cell r="F188" t="str">
            <v>정기주차</v>
          </cell>
          <cell r="G188">
            <v>40057</v>
          </cell>
          <cell r="H188">
            <v>400000</v>
          </cell>
        </row>
        <row r="189">
          <cell r="C189">
            <v>1</v>
          </cell>
          <cell r="F189" t="str">
            <v>정기주차</v>
          </cell>
          <cell r="G189">
            <v>40057</v>
          </cell>
          <cell r="H189">
            <v>200000</v>
          </cell>
        </row>
        <row r="190">
          <cell r="C190">
            <v>1</v>
          </cell>
          <cell r="F190" t="str">
            <v>정기주차</v>
          </cell>
          <cell r="G190">
            <v>40057</v>
          </cell>
          <cell r="H190">
            <v>200000</v>
          </cell>
        </row>
        <row r="191">
          <cell r="C191">
            <v>1</v>
          </cell>
          <cell r="F191" t="str">
            <v>정기주차</v>
          </cell>
          <cell r="G191">
            <v>40057</v>
          </cell>
          <cell r="H191">
            <v>200000</v>
          </cell>
        </row>
        <row r="192">
          <cell r="C192">
            <v>1</v>
          </cell>
          <cell r="F192" t="str">
            <v>정기주차</v>
          </cell>
          <cell r="G192">
            <v>40057</v>
          </cell>
          <cell r="H192">
            <v>2000000</v>
          </cell>
        </row>
        <row r="193">
          <cell r="C193">
            <v>1</v>
          </cell>
          <cell r="F193" t="str">
            <v>정기주차</v>
          </cell>
          <cell r="G193">
            <v>40057</v>
          </cell>
          <cell r="H193">
            <v>1000000</v>
          </cell>
        </row>
        <row r="194">
          <cell r="C194">
            <v>1</v>
          </cell>
          <cell r="F194" t="str">
            <v>정기주차</v>
          </cell>
          <cell r="G194">
            <v>40057</v>
          </cell>
          <cell r="H194">
            <v>200000</v>
          </cell>
        </row>
        <row r="195">
          <cell r="C195">
            <v>1</v>
          </cell>
          <cell r="F195" t="str">
            <v>정기주차</v>
          </cell>
          <cell r="G195">
            <v>40057</v>
          </cell>
          <cell r="H195">
            <v>800000</v>
          </cell>
        </row>
        <row r="196">
          <cell r="C196">
            <v>1</v>
          </cell>
          <cell r="F196" t="str">
            <v>정기주차</v>
          </cell>
          <cell r="G196">
            <v>40057</v>
          </cell>
          <cell r="H196">
            <v>200000</v>
          </cell>
        </row>
        <row r="197">
          <cell r="C197">
            <v>1</v>
          </cell>
          <cell r="F197" t="str">
            <v>정기주차</v>
          </cell>
          <cell r="G197">
            <v>40057</v>
          </cell>
          <cell r="H197">
            <v>200000</v>
          </cell>
        </row>
        <row r="198">
          <cell r="C198">
            <v>1</v>
          </cell>
          <cell r="F198" t="str">
            <v>정기주차</v>
          </cell>
          <cell r="G198">
            <v>40057</v>
          </cell>
          <cell r="H198">
            <v>200000</v>
          </cell>
        </row>
        <row r="199">
          <cell r="C199">
            <v>1</v>
          </cell>
          <cell r="F199" t="str">
            <v>정기주차</v>
          </cell>
          <cell r="G199">
            <v>40057</v>
          </cell>
          <cell r="H199">
            <v>200000</v>
          </cell>
        </row>
        <row r="200">
          <cell r="C200">
            <v>1</v>
          </cell>
          <cell r="F200" t="str">
            <v>정기주차</v>
          </cell>
          <cell r="G200">
            <v>40057</v>
          </cell>
          <cell r="H200">
            <v>219354</v>
          </cell>
        </row>
        <row r="201">
          <cell r="C201">
            <v>1</v>
          </cell>
          <cell r="F201" t="str">
            <v>정기주차</v>
          </cell>
          <cell r="G201">
            <v>40057</v>
          </cell>
          <cell r="H201">
            <v>200000</v>
          </cell>
        </row>
        <row r="202">
          <cell r="C202">
            <v>1</v>
          </cell>
          <cell r="F202" t="str">
            <v>정기주차</v>
          </cell>
          <cell r="G202">
            <v>40057</v>
          </cell>
          <cell r="H202">
            <v>200000</v>
          </cell>
        </row>
        <row r="203">
          <cell r="C203">
            <v>1</v>
          </cell>
          <cell r="F203" t="str">
            <v>정기주차</v>
          </cell>
          <cell r="G203">
            <v>40057</v>
          </cell>
          <cell r="H203">
            <v>200000</v>
          </cell>
        </row>
        <row r="204">
          <cell r="C204">
            <v>1</v>
          </cell>
          <cell r="F204" t="str">
            <v>정기주차</v>
          </cell>
          <cell r="G204">
            <v>40057</v>
          </cell>
          <cell r="H204">
            <v>200000</v>
          </cell>
        </row>
        <row r="205">
          <cell r="C205">
            <v>1</v>
          </cell>
          <cell r="F205" t="str">
            <v>실비관리비</v>
          </cell>
          <cell r="G205">
            <v>40057</v>
          </cell>
          <cell r="H205">
            <v>18600</v>
          </cell>
        </row>
        <row r="206">
          <cell r="C206">
            <v>1</v>
          </cell>
          <cell r="F206" t="str">
            <v>실비관리비</v>
          </cell>
          <cell r="G206">
            <v>40057</v>
          </cell>
          <cell r="H206">
            <v>700</v>
          </cell>
        </row>
        <row r="207">
          <cell r="C207">
            <v>1</v>
          </cell>
          <cell r="F207" t="str">
            <v>실비관리비</v>
          </cell>
          <cell r="G207">
            <v>40057</v>
          </cell>
          <cell r="H207">
            <v>204220</v>
          </cell>
        </row>
        <row r="208">
          <cell r="C208">
            <v>1</v>
          </cell>
          <cell r="F208" t="str">
            <v>실비관리비</v>
          </cell>
          <cell r="G208">
            <v>40057</v>
          </cell>
          <cell r="H208">
            <v>7550</v>
          </cell>
        </row>
        <row r="209">
          <cell r="C209">
            <v>1</v>
          </cell>
          <cell r="F209" t="str">
            <v>실비관리비</v>
          </cell>
          <cell r="G209">
            <v>40057</v>
          </cell>
          <cell r="H209">
            <v>204220</v>
          </cell>
        </row>
        <row r="210">
          <cell r="C210">
            <v>1</v>
          </cell>
          <cell r="F210" t="str">
            <v>실비관리비</v>
          </cell>
          <cell r="G210">
            <v>40057</v>
          </cell>
          <cell r="H210">
            <v>7550</v>
          </cell>
        </row>
        <row r="211">
          <cell r="C211">
            <v>1</v>
          </cell>
          <cell r="F211" t="str">
            <v>실비관리비</v>
          </cell>
          <cell r="G211">
            <v>40057</v>
          </cell>
          <cell r="H211">
            <v>204220</v>
          </cell>
        </row>
        <row r="212">
          <cell r="C212">
            <v>1</v>
          </cell>
          <cell r="F212" t="str">
            <v>실비관리비</v>
          </cell>
          <cell r="G212">
            <v>40057</v>
          </cell>
          <cell r="H212">
            <v>7550</v>
          </cell>
        </row>
        <row r="213">
          <cell r="C213">
            <v>1</v>
          </cell>
          <cell r="F213" t="str">
            <v>실비관리비</v>
          </cell>
          <cell r="G213">
            <v>40057</v>
          </cell>
          <cell r="H213">
            <v>224500</v>
          </cell>
        </row>
        <row r="214">
          <cell r="C214">
            <v>1</v>
          </cell>
          <cell r="F214" t="str">
            <v>실비관리비</v>
          </cell>
          <cell r="G214">
            <v>40057</v>
          </cell>
          <cell r="H214">
            <v>8300</v>
          </cell>
        </row>
        <row r="215">
          <cell r="C215">
            <v>1</v>
          </cell>
          <cell r="F215" t="str">
            <v>실비관리비</v>
          </cell>
          <cell r="G215">
            <v>40057</v>
          </cell>
          <cell r="H215">
            <v>1079800</v>
          </cell>
        </row>
        <row r="216">
          <cell r="C216">
            <v>1</v>
          </cell>
          <cell r="F216" t="str">
            <v>실비관리비</v>
          </cell>
          <cell r="G216">
            <v>40057</v>
          </cell>
          <cell r="H216">
            <v>39900</v>
          </cell>
        </row>
        <row r="217">
          <cell r="C217">
            <v>1</v>
          </cell>
          <cell r="F217" t="str">
            <v>실비관리비</v>
          </cell>
          <cell r="G217">
            <v>40057</v>
          </cell>
          <cell r="H217">
            <v>37200</v>
          </cell>
        </row>
        <row r="218">
          <cell r="C218">
            <v>1</v>
          </cell>
          <cell r="F218" t="str">
            <v>실비관리비</v>
          </cell>
          <cell r="G218">
            <v>40057</v>
          </cell>
          <cell r="H218">
            <v>1400</v>
          </cell>
        </row>
        <row r="219">
          <cell r="C219">
            <v>1</v>
          </cell>
          <cell r="F219" t="str">
            <v>실비관리비</v>
          </cell>
          <cell r="G219">
            <v>40057</v>
          </cell>
          <cell r="H219">
            <v>323800</v>
          </cell>
        </row>
        <row r="220">
          <cell r="C220">
            <v>1</v>
          </cell>
          <cell r="F220" t="str">
            <v>실비관리비</v>
          </cell>
          <cell r="G220">
            <v>40057</v>
          </cell>
          <cell r="H220">
            <v>12000</v>
          </cell>
        </row>
        <row r="221">
          <cell r="C221">
            <v>1</v>
          </cell>
          <cell r="F221" t="str">
            <v>실비관리비</v>
          </cell>
          <cell r="G221">
            <v>40057</v>
          </cell>
          <cell r="H221">
            <v>112800</v>
          </cell>
        </row>
        <row r="222">
          <cell r="C222">
            <v>1</v>
          </cell>
          <cell r="F222" t="str">
            <v>실비관리비</v>
          </cell>
          <cell r="G222">
            <v>40057</v>
          </cell>
          <cell r="H222">
            <v>4200</v>
          </cell>
        </row>
        <row r="223">
          <cell r="C223">
            <v>1</v>
          </cell>
          <cell r="F223" t="str">
            <v>실비관리비</v>
          </cell>
          <cell r="G223">
            <v>40057</v>
          </cell>
          <cell r="H223">
            <v>748200</v>
          </cell>
        </row>
        <row r="224">
          <cell r="C224">
            <v>1</v>
          </cell>
          <cell r="F224" t="str">
            <v>실비관리비</v>
          </cell>
          <cell r="G224">
            <v>40057</v>
          </cell>
          <cell r="H224">
            <v>27700</v>
          </cell>
        </row>
        <row r="225">
          <cell r="C225">
            <v>1</v>
          </cell>
          <cell r="F225" t="str">
            <v>실비관리비</v>
          </cell>
          <cell r="G225">
            <v>40057</v>
          </cell>
          <cell r="H225">
            <v>456800</v>
          </cell>
        </row>
        <row r="226">
          <cell r="C226">
            <v>1</v>
          </cell>
          <cell r="F226" t="str">
            <v>실비관리비</v>
          </cell>
          <cell r="G226">
            <v>40057</v>
          </cell>
          <cell r="H226">
            <v>16900</v>
          </cell>
        </row>
        <row r="227">
          <cell r="C227">
            <v>1</v>
          </cell>
          <cell r="F227" t="str">
            <v>실비관리비</v>
          </cell>
          <cell r="G227">
            <v>40057</v>
          </cell>
          <cell r="H227">
            <v>164700</v>
          </cell>
        </row>
        <row r="228">
          <cell r="C228">
            <v>1</v>
          </cell>
          <cell r="F228" t="str">
            <v>실비관리비</v>
          </cell>
          <cell r="G228">
            <v>40057</v>
          </cell>
          <cell r="H228">
            <v>6100</v>
          </cell>
        </row>
        <row r="229">
          <cell r="C229">
            <v>1</v>
          </cell>
          <cell r="F229" t="str">
            <v>실비관리비</v>
          </cell>
          <cell r="G229">
            <v>40057</v>
          </cell>
          <cell r="H229">
            <v>285200</v>
          </cell>
        </row>
        <row r="230">
          <cell r="C230">
            <v>1</v>
          </cell>
          <cell r="F230" t="str">
            <v>실비관리비</v>
          </cell>
          <cell r="G230">
            <v>40057</v>
          </cell>
          <cell r="H230">
            <v>10600</v>
          </cell>
        </row>
        <row r="231">
          <cell r="F231" t="str">
            <v>실비관리비</v>
          </cell>
          <cell r="G231">
            <v>40071</v>
          </cell>
          <cell r="H231">
            <v>403000</v>
          </cell>
        </row>
        <row r="232">
          <cell r="F232" t="str">
            <v>실비관리비</v>
          </cell>
          <cell r="G232">
            <v>40071</v>
          </cell>
          <cell r="H232">
            <v>14900</v>
          </cell>
        </row>
        <row r="233">
          <cell r="C233">
            <v>1</v>
          </cell>
          <cell r="F233" t="str">
            <v>실비관리비</v>
          </cell>
          <cell r="G233">
            <v>40057</v>
          </cell>
          <cell r="H233">
            <v>141800</v>
          </cell>
        </row>
        <row r="234">
          <cell r="C234">
            <v>1</v>
          </cell>
          <cell r="F234" t="str">
            <v>실비관리비</v>
          </cell>
          <cell r="G234">
            <v>40057</v>
          </cell>
          <cell r="H234">
            <v>5200</v>
          </cell>
        </row>
        <row r="235">
          <cell r="C235">
            <v>1</v>
          </cell>
          <cell r="F235" t="str">
            <v>실비관리비</v>
          </cell>
          <cell r="G235">
            <v>40057</v>
          </cell>
          <cell r="H235">
            <v>4701600</v>
          </cell>
        </row>
        <row r="236">
          <cell r="C236">
            <v>1</v>
          </cell>
          <cell r="F236" t="str">
            <v>실비관리비</v>
          </cell>
          <cell r="G236">
            <v>40057</v>
          </cell>
          <cell r="H236">
            <v>174000</v>
          </cell>
        </row>
        <row r="237">
          <cell r="C237">
            <v>1</v>
          </cell>
          <cell r="F237" t="str">
            <v>실비관리비</v>
          </cell>
          <cell r="G237">
            <v>40057</v>
          </cell>
          <cell r="H237">
            <v>1066900</v>
          </cell>
        </row>
        <row r="238">
          <cell r="C238">
            <v>1</v>
          </cell>
          <cell r="F238" t="str">
            <v>실비관리비</v>
          </cell>
          <cell r="G238">
            <v>40057</v>
          </cell>
          <cell r="H238">
            <v>39500</v>
          </cell>
        </row>
        <row r="239">
          <cell r="C239">
            <v>1</v>
          </cell>
          <cell r="F239" t="str">
            <v>실비관리비</v>
          </cell>
          <cell r="G239">
            <v>40057</v>
          </cell>
          <cell r="H239">
            <v>676200</v>
          </cell>
        </row>
        <row r="240">
          <cell r="C240">
            <v>1</v>
          </cell>
          <cell r="F240" t="str">
            <v>실비관리비</v>
          </cell>
          <cell r="G240">
            <v>40057</v>
          </cell>
          <cell r="H240">
            <v>25000</v>
          </cell>
        </row>
        <row r="241">
          <cell r="C241">
            <v>1</v>
          </cell>
          <cell r="F241" t="str">
            <v>실비관리비</v>
          </cell>
          <cell r="G241">
            <v>40057</v>
          </cell>
          <cell r="H241">
            <v>3303800</v>
          </cell>
        </row>
        <row r="242">
          <cell r="C242">
            <v>1</v>
          </cell>
          <cell r="F242" t="str">
            <v>실비관리비</v>
          </cell>
          <cell r="G242">
            <v>40057</v>
          </cell>
          <cell r="H242">
            <v>122200</v>
          </cell>
        </row>
        <row r="243">
          <cell r="C243">
            <v>1</v>
          </cell>
          <cell r="F243" t="str">
            <v>실비관리비</v>
          </cell>
          <cell r="G243">
            <v>40057</v>
          </cell>
          <cell r="H243">
            <v>204220</v>
          </cell>
        </row>
        <row r="244">
          <cell r="C244">
            <v>1</v>
          </cell>
          <cell r="F244" t="str">
            <v>실비관리비</v>
          </cell>
          <cell r="G244">
            <v>40057</v>
          </cell>
          <cell r="H244">
            <v>7550</v>
          </cell>
        </row>
        <row r="245">
          <cell r="C245">
            <v>1</v>
          </cell>
          <cell r="F245" t="str">
            <v>실비관리비</v>
          </cell>
          <cell r="G245">
            <v>40057</v>
          </cell>
          <cell r="H245">
            <v>204220</v>
          </cell>
        </row>
        <row r="246">
          <cell r="C246">
            <v>1</v>
          </cell>
          <cell r="F246" t="str">
            <v>실비관리비</v>
          </cell>
          <cell r="G246">
            <v>40057</v>
          </cell>
          <cell r="H246">
            <v>7550</v>
          </cell>
        </row>
        <row r="247">
          <cell r="C247">
            <v>1</v>
          </cell>
          <cell r="F247" t="str">
            <v>실비관리비</v>
          </cell>
          <cell r="G247">
            <v>40057</v>
          </cell>
          <cell r="H247">
            <v>79500</v>
          </cell>
        </row>
        <row r="248">
          <cell r="C248">
            <v>1</v>
          </cell>
          <cell r="F248" t="str">
            <v>실비관리비</v>
          </cell>
          <cell r="G248">
            <v>40057</v>
          </cell>
          <cell r="H248">
            <v>2900</v>
          </cell>
        </row>
        <row r="249">
          <cell r="C249">
            <v>1</v>
          </cell>
          <cell r="F249" t="str">
            <v>실비관리비</v>
          </cell>
          <cell r="G249">
            <v>40057</v>
          </cell>
          <cell r="H249">
            <v>999700</v>
          </cell>
        </row>
        <row r="250">
          <cell r="C250">
            <v>1</v>
          </cell>
          <cell r="F250" t="str">
            <v>실비관리비</v>
          </cell>
          <cell r="G250">
            <v>40057</v>
          </cell>
          <cell r="H250">
            <v>37000</v>
          </cell>
        </row>
        <row r="251">
          <cell r="C251">
            <v>1</v>
          </cell>
          <cell r="F251" t="str">
            <v>실비관리비</v>
          </cell>
          <cell r="G251">
            <v>40057</v>
          </cell>
          <cell r="H251">
            <v>75300</v>
          </cell>
        </row>
        <row r="252">
          <cell r="C252">
            <v>1</v>
          </cell>
          <cell r="F252" t="str">
            <v>실비관리비</v>
          </cell>
          <cell r="G252">
            <v>40057</v>
          </cell>
          <cell r="H252">
            <v>2800</v>
          </cell>
        </row>
        <row r="253">
          <cell r="C253">
            <v>1</v>
          </cell>
          <cell r="F253" t="str">
            <v>실비관리비</v>
          </cell>
          <cell r="G253">
            <v>40057</v>
          </cell>
          <cell r="H253">
            <v>87300</v>
          </cell>
        </row>
        <row r="254">
          <cell r="C254">
            <v>1</v>
          </cell>
          <cell r="F254" t="str">
            <v>실비관리비</v>
          </cell>
          <cell r="G254">
            <v>40057</v>
          </cell>
          <cell r="H254">
            <v>3200</v>
          </cell>
        </row>
        <row r="255">
          <cell r="C255">
            <v>1</v>
          </cell>
          <cell r="F255" t="str">
            <v>실비관리비</v>
          </cell>
          <cell r="G255">
            <v>40057</v>
          </cell>
          <cell r="H255">
            <v>711400</v>
          </cell>
        </row>
        <row r="256">
          <cell r="C256">
            <v>1</v>
          </cell>
          <cell r="F256" t="str">
            <v>실비관리비</v>
          </cell>
          <cell r="G256">
            <v>40057</v>
          </cell>
          <cell r="H256">
            <v>26300</v>
          </cell>
        </row>
        <row r="257">
          <cell r="C257">
            <v>1</v>
          </cell>
          <cell r="F257" t="str">
            <v>실비관리비</v>
          </cell>
          <cell r="G257">
            <v>40057</v>
          </cell>
          <cell r="H257">
            <v>204220</v>
          </cell>
        </row>
        <row r="258">
          <cell r="C258">
            <v>1</v>
          </cell>
          <cell r="F258" t="str">
            <v>실비관리비</v>
          </cell>
          <cell r="G258">
            <v>40057</v>
          </cell>
          <cell r="H258">
            <v>7550</v>
          </cell>
        </row>
        <row r="259">
          <cell r="C259">
            <v>1</v>
          </cell>
          <cell r="F259" t="str">
            <v>실비관리비</v>
          </cell>
          <cell r="G259">
            <v>40057</v>
          </cell>
          <cell r="H259">
            <v>239200</v>
          </cell>
        </row>
        <row r="260">
          <cell r="C260">
            <v>1</v>
          </cell>
          <cell r="F260" t="str">
            <v>실비관리비</v>
          </cell>
          <cell r="G260">
            <v>40057</v>
          </cell>
          <cell r="H260">
            <v>8900</v>
          </cell>
        </row>
        <row r="261">
          <cell r="C261">
            <v>1</v>
          </cell>
          <cell r="F261" t="str">
            <v>실비관리비</v>
          </cell>
          <cell r="G261">
            <v>40057</v>
          </cell>
          <cell r="H261">
            <v>37200</v>
          </cell>
        </row>
        <row r="262">
          <cell r="C262">
            <v>1</v>
          </cell>
          <cell r="F262" t="str">
            <v>실비관리비</v>
          </cell>
          <cell r="G262">
            <v>40057</v>
          </cell>
          <cell r="H262">
            <v>1400</v>
          </cell>
        </row>
        <row r="263">
          <cell r="C263">
            <v>1</v>
          </cell>
          <cell r="F263" t="str">
            <v>실비관리비</v>
          </cell>
          <cell r="G263">
            <v>40057</v>
          </cell>
          <cell r="H263">
            <v>18600</v>
          </cell>
        </row>
        <row r="264">
          <cell r="C264">
            <v>1</v>
          </cell>
          <cell r="F264" t="str">
            <v>실비관리비</v>
          </cell>
          <cell r="G264">
            <v>40057</v>
          </cell>
          <cell r="H264">
            <v>700</v>
          </cell>
        </row>
        <row r="265">
          <cell r="C265">
            <v>1</v>
          </cell>
          <cell r="F265" t="str">
            <v>실비관리비</v>
          </cell>
          <cell r="G265">
            <v>40057</v>
          </cell>
          <cell r="H265">
            <v>384300</v>
          </cell>
        </row>
        <row r="266">
          <cell r="C266">
            <v>1</v>
          </cell>
          <cell r="F266" t="str">
            <v>실비관리비</v>
          </cell>
          <cell r="G266">
            <v>40057</v>
          </cell>
          <cell r="H266">
            <v>14200</v>
          </cell>
        </row>
        <row r="267">
          <cell r="C267">
            <v>1</v>
          </cell>
          <cell r="F267" t="str">
            <v>실비관리비</v>
          </cell>
          <cell r="G267">
            <v>40057</v>
          </cell>
          <cell r="H267">
            <v>1464800</v>
          </cell>
        </row>
        <row r="268">
          <cell r="C268">
            <v>1</v>
          </cell>
          <cell r="F268" t="str">
            <v>실비관리비</v>
          </cell>
          <cell r="G268">
            <v>40057</v>
          </cell>
          <cell r="H268">
            <v>54200</v>
          </cell>
        </row>
        <row r="269">
          <cell r="C269">
            <v>1</v>
          </cell>
          <cell r="F269" t="str">
            <v>실비관리비</v>
          </cell>
          <cell r="G269">
            <v>40057</v>
          </cell>
          <cell r="H269">
            <v>369200</v>
          </cell>
        </row>
        <row r="270">
          <cell r="C270">
            <v>1</v>
          </cell>
          <cell r="F270" t="str">
            <v>실비관리비</v>
          </cell>
          <cell r="G270">
            <v>40057</v>
          </cell>
          <cell r="H270">
            <v>13700</v>
          </cell>
        </row>
        <row r="271">
          <cell r="C271">
            <v>1</v>
          </cell>
          <cell r="F271" t="str">
            <v>실비관리비</v>
          </cell>
          <cell r="G271">
            <v>40057</v>
          </cell>
          <cell r="H271">
            <v>20500</v>
          </cell>
        </row>
        <row r="272">
          <cell r="C272">
            <v>1</v>
          </cell>
          <cell r="F272" t="str">
            <v>실비관리비</v>
          </cell>
          <cell r="G272">
            <v>40057</v>
          </cell>
          <cell r="H272">
            <v>51500</v>
          </cell>
        </row>
        <row r="273">
          <cell r="C273">
            <v>1</v>
          </cell>
          <cell r="F273" t="str">
            <v>실비관리비</v>
          </cell>
          <cell r="G273">
            <v>40057</v>
          </cell>
          <cell r="H273">
            <v>1900</v>
          </cell>
        </row>
        <row r="274">
          <cell r="C274">
            <v>1</v>
          </cell>
          <cell r="F274" t="str">
            <v>실비관리비</v>
          </cell>
          <cell r="G274">
            <v>40057</v>
          </cell>
          <cell r="H274">
            <v>15900</v>
          </cell>
        </row>
        <row r="275">
          <cell r="C275">
            <v>1</v>
          </cell>
          <cell r="F275" t="str">
            <v>실비관리비</v>
          </cell>
          <cell r="G275">
            <v>40057</v>
          </cell>
          <cell r="H275">
            <v>413200</v>
          </cell>
        </row>
        <row r="276">
          <cell r="C276">
            <v>1</v>
          </cell>
          <cell r="F276" t="str">
            <v>실비관리비</v>
          </cell>
          <cell r="G276">
            <v>40057</v>
          </cell>
          <cell r="H276">
            <v>15300</v>
          </cell>
        </row>
        <row r="277">
          <cell r="C277">
            <v>1</v>
          </cell>
          <cell r="F277" t="str">
            <v>실비관리비</v>
          </cell>
          <cell r="G277">
            <v>40057</v>
          </cell>
          <cell r="H277">
            <v>447800</v>
          </cell>
        </row>
        <row r="278">
          <cell r="C278">
            <v>1</v>
          </cell>
          <cell r="F278" t="str">
            <v>실비관리비</v>
          </cell>
          <cell r="G278">
            <v>40057</v>
          </cell>
          <cell r="H278">
            <v>792900</v>
          </cell>
        </row>
        <row r="279">
          <cell r="C279">
            <v>1</v>
          </cell>
          <cell r="F279" t="str">
            <v>실비관리비</v>
          </cell>
          <cell r="G279">
            <v>40057</v>
          </cell>
          <cell r="H279">
            <v>206600</v>
          </cell>
        </row>
        <row r="280">
          <cell r="C280">
            <v>1</v>
          </cell>
          <cell r="F280" t="str">
            <v>실비관리비</v>
          </cell>
          <cell r="G280">
            <v>40057</v>
          </cell>
          <cell r="H280">
            <v>7600</v>
          </cell>
        </row>
        <row r="281">
          <cell r="C281">
            <v>1</v>
          </cell>
          <cell r="F281" t="str">
            <v>실비관리비</v>
          </cell>
          <cell r="G281">
            <v>40057</v>
          </cell>
          <cell r="H281">
            <v>241000</v>
          </cell>
        </row>
        <row r="282">
          <cell r="C282">
            <v>1</v>
          </cell>
          <cell r="F282" t="str">
            <v>실비관리비</v>
          </cell>
          <cell r="G282">
            <v>40057</v>
          </cell>
          <cell r="H282">
            <v>399500</v>
          </cell>
        </row>
        <row r="283">
          <cell r="C283">
            <v>1</v>
          </cell>
          <cell r="F283" t="str">
            <v>실비관리비</v>
          </cell>
          <cell r="G283">
            <v>40057</v>
          </cell>
          <cell r="H283">
            <v>54600</v>
          </cell>
        </row>
        <row r="284">
          <cell r="C284">
            <v>1</v>
          </cell>
          <cell r="F284" t="str">
            <v>실비관리비</v>
          </cell>
          <cell r="G284">
            <v>40057</v>
          </cell>
          <cell r="H284">
            <v>2000</v>
          </cell>
        </row>
        <row r="285">
          <cell r="C285">
            <v>1</v>
          </cell>
          <cell r="F285" t="str">
            <v>실비관리비</v>
          </cell>
          <cell r="G285">
            <v>40057</v>
          </cell>
          <cell r="H285">
            <v>96100</v>
          </cell>
        </row>
        <row r="286">
          <cell r="C286">
            <v>1</v>
          </cell>
          <cell r="F286" t="str">
            <v>실비관리비</v>
          </cell>
          <cell r="G286">
            <v>40057</v>
          </cell>
          <cell r="H286">
            <v>3600</v>
          </cell>
        </row>
        <row r="287">
          <cell r="C287">
            <v>1</v>
          </cell>
          <cell r="F287" t="str">
            <v>실비관리비</v>
          </cell>
          <cell r="G287">
            <v>40057</v>
          </cell>
          <cell r="H287">
            <v>15900</v>
          </cell>
        </row>
        <row r="288">
          <cell r="C288">
            <v>1</v>
          </cell>
          <cell r="F288" t="str">
            <v>실비관리비</v>
          </cell>
          <cell r="G288">
            <v>40057</v>
          </cell>
          <cell r="H288">
            <v>88700</v>
          </cell>
        </row>
        <row r="289">
          <cell r="C289">
            <v>1</v>
          </cell>
          <cell r="F289" t="str">
            <v>실비관리비</v>
          </cell>
          <cell r="G289">
            <v>40057</v>
          </cell>
          <cell r="H289">
            <v>3300</v>
          </cell>
        </row>
        <row r="290">
          <cell r="C290">
            <v>1</v>
          </cell>
          <cell r="F290" t="str">
            <v>실비관리비</v>
          </cell>
          <cell r="G290">
            <v>40057</v>
          </cell>
          <cell r="H290">
            <v>2300</v>
          </cell>
        </row>
        <row r="291">
          <cell r="C291">
            <v>1</v>
          </cell>
          <cell r="F291" t="str">
            <v>실비관리비</v>
          </cell>
          <cell r="G291">
            <v>40057</v>
          </cell>
          <cell r="H291">
            <v>631400</v>
          </cell>
        </row>
        <row r="292">
          <cell r="C292">
            <v>1</v>
          </cell>
          <cell r="F292" t="str">
            <v>실비관리비</v>
          </cell>
          <cell r="G292">
            <v>40057</v>
          </cell>
          <cell r="H292">
            <v>23400</v>
          </cell>
        </row>
        <row r="293">
          <cell r="C293">
            <v>1</v>
          </cell>
          <cell r="F293" t="str">
            <v>실비관리비</v>
          </cell>
          <cell r="G293">
            <v>40057</v>
          </cell>
          <cell r="H293">
            <v>25000</v>
          </cell>
        </row>
        <row r="294">
          <cell r="C294">
            <v>1</v>
          </cell>
          <cell r="F294" t="str">
            <v>실비관리비</v>
          </cell>
          <cell r="G294">
            <v>40057</v>
          </cell>
          <cell r="H294">
            <v>47100</v>
          </cell>
        </row>
        <row r="295">
          <cell r="C295">
            <v>1</v>
          </cell>
          <cell r="F295" t="str">
            <v>실비관리비</v>
          </cell>
          <cell r="G295">
            <v>40057</v>
          </cell>
          <cell r="H295">
            <v>1700</v>
          </cell>
        </row>
        <row r="296">
          <cell r="C296">
            <v>1</v>
          </cell>
          <cell r="F296" t="str">
            <v>실비관리비</v>
          </cell>
          <cell r="G296">
            <v>40057</v>
          </cell>
          <cell r="H296">
            <v>68800</v>
          </cell>
        </row>
        <row r="297">
          <cell r="C297">
            <v>1</v>
          </cell>
          <cell r="F297" t="str">
            <v>실비관리비</v>
          </cell>
          <cell r="G297">
            <v>40057</v>
          </cell>
          <cell r="H297">
            <v>2500</v>
          </cell>
        </row>
        <row r="298">
          <cell r="C298">
            <v>1</v>
          </cell>
          <cell r="F298" t="str">
            <v>실비관리비</v>
          </cell>
          <cell r="G298">
            <v>40057</v>
          </cell>
          <cell r="H298">
            <v>9100</v>
          </cell>
        </row>
        <row r="299">
          <cell r="C299">
            <v>1</v>
          </cell>
          <cell r="F299" t="str">
            <v>실비관리비</v>
          </cell>
          <cell r="G299">
            <v>40057</v>
          </cell>
          <cell r="H299">
            <v>2783500</v>
          </cell>
        </row>
        <row r="300">
          <cell r="C300">
            <v>1</v>
          </cell>
          <cell r="F300" t="str">
            <v>실비관리비</v>
          </cell>
          <cell r="G300">
            <v>40057</v>
          </cell>
          <cell r="H300">
            <v>103000</v>
          </cell>
        </row>
        <row r="301">
          <cell r="C301">
            <v>1</v>
          </cell>
          <cell r="F301" t="str">
            <v>실비관리비</v>
          </cell>
          <cell r="G301">
            <v>40057</v>
          </cell>
          <cell r="H301">
            <v>325100</v>
          </cell>
        </row>
        <row r="302">
          <cell r="C302">
            <v>1</v>
          </cell>
          <cell r="F302" t="str">
            <v>실비관리비</v>
          </cell>
          <cell r="G302">
            <v>40057</v>
          </cell>
          <cell r="H302">
            <v>2433900</v>
          </cell>
        </row>
        <row r="303">
          <cell r="C303">
            <v>1</v>
          </cell>
          <cell r="F303" t="str">
            <v>실비관리비</v>
          </cell>
          <cell r="G303">
            <v>40057</v>
          </cell>
          <cell r="H303">
            <v>24300</v>
          </cell>
        </row>
        <row r="304">
          <cell r="C304">
            <v>1</v>
          </cell>
          <cell r="F304" t="str">
            <v>실비관리비</v>
          </cell>
          <cell r="G304">
            <v>40057</v>
          </cell>
          <cell r="H304">
            <v>900</v>
          </cell>
        </row>
        <row r="305">
          <cell r="C305">
            <v>1</v>
          </cell>
          <cell r="F305" t="str">
            <v>실비관리비</v>
          </cell>
          <cell r="G305">
            <v>40057</v>
          </cell>
          <cell r="H305">
            <v>96100</v>
          </cell>
        </row>
        <row r="306">
          <cell r="C306">
            <v>1</v>
          </cell>
          <cell r="F306" t="str">
            <v>실비관리비</v>
          </cell>
          <cell r="G306">
            <v>40057</v>
          </cell>
          <cell r="H306">
            <v>3600</v>
          </cell>
        </row>
        <row r="307">
          <cell r="C307">
            <v>1</v>
          </cell>
          <cell r="F307" t="str">
            <v>실비관리비</v>
          </cell>
          <cell r="G307">
            <v>40057</v>
          </cell>
          <cell r="H307">
            <v>10800</v>
          </cell>
        </row>
        <row r="308">
          <cell r="C308">
            <v>1</v>
          </cell>
          <cell r="F308" t="str">
            <v>실비관리비</v>
          </cell>
          <cell r="G308">
            <v>40057</v>
          </cell>
          <cell r="H308">
            <v>400</v>
          </cell>
        </row>
        <row r="309">
          <cell r="C309">
            <v>1</v>
          </cell>
          <cell r="F309" t="str">
            <v>실비관리비</v>
          </cell>
          <cell r="G309">
            <v>40057</v>
          </cell>
          <cell r="H309">
            <v>31800</v>
          </cell>
        </row>
        <row r="310">
          <cell r="C310">
            <v>1</v>
          </cell>
          <cell r="F310" t="str">
            <v>실비관리비</v>
          </cell>
          <cell r="G310">
            <v>40057</v>
          </cell>
          <cell r="H310">
            <v>1200</v>
          </cell>
        </row>
        <row r="311">
          <cell r="C311">
            <v>1</v>
          </cell>
          <cell r="F311" t="str">
            <v>주차쿠폰</v>
          </cell>
          <cell r="G311">
            <v>40057</v>
          </cell>
          <cell r="H311">
            <v>872727</v>
          </cell>
        </row>
        <row r="312">
          <cell r="C312">
            <v>1</v>
          </cell>
          <cell r="F312" t="str">
            <v>주차쿠폰</v>
          </cell>
          <cell r="G312">
            <v>40057</v>
          </cell>
          <cell r="H312">
            <v>145454</v>
          </cell>
        </row>
        <row r="313">
          <cell r="C313">
            <v>1</v>
          </cell>
          <cell r="F313" t="str">
            <v>주차쿠폰</v>
          </cell>
          <cell r="G313">
            <v>40057</v>
          </cell>
          <cell r="H313">
            <v>290909</v>
          </cell>
        </row>
        <row r="314">
          <cell r="C314">
            <v>1</v>
          </cell>
          <cell r="F314" t="str">
            <v>주차쿠폰</v>
          </cell>
          <cell r="G314">
            <v>40057</v>
          </cell>
          <cell r="H314">
            <v>290909</v>
          </cell>
        </row>
        <row r="315">
          <cell r="C315">
            <v>1</v>
          </cell>
          <cell r="F315" t="str">
            <v>주차쿠폰</v>
          </cell>
          <cell r="G315">
            <v>40065</v>
          </cell>
          <cell r="H315">
            <v>290909</v>
          </cell>
        </row>
        <row r="316">
          <cell r="C316">
            <v>1</v>
          </cell>
          <cell r="F316" t="str">
            <v>주차쿠폰</v>
          </cell>
          <cell r="G316">
            <v>40065</v>
          </cell>
          <cell r="H316">
            <v>290909</v>
          </cell>
        </row>
        <row r="317">
          <cell r="C317">
            <v>1</v>
          </cell>
          <cell r="F317" t="str">
            <v>주차쿠폰</v>
          </cell>
          <cell r="G317">
            <v>40065</v>
          </cell>
          <cell r="H317">
            <v>436364</v>
          </cell>
        </row>
        <row r="318">
          <cell r="C318">
            <v>1</v>
          </cell>
          <cell r="F318" t="str">
            <v>주차쿠폰</v>
          </cell>
          <cell r="G318">
            <v>40065</v>
          </cell>
          <cell r="H318">
            <v>1454545</v>
          </cell>
        </row>
        <row r="319">
          <cell r="C319">
            <v>1</v>
          </cell>
          <cell r="F319" t="str">
            <v>주차쿠폰</v>
          </cell>
          <cell r="G319">
            <v>40066</v>
          </cell>
          <cell r="H319">
            <v>727273</v>
          </cell>
        </row>
        <row r="320">
          <cell r="C320">
            <v>1</v>
          </cell>
          <cell r="F320" t="str">
            <v>주차쿠폰</v>
          </cell>
          <cell r="G320">
            <v>40066</v>
          </cell>
          <cell r="H320">
            <v>1454545</v>
          </cell>
        </row>
        <row r="321">
          <cell r="C321">
            <v>1</v>
          </cell>
          <cell r="F321" t="str">
            <v>주차쿠폰</v>
          </cell>
          <cell r="G321">
            <v>40066</v>
          </cell>
          <cell r="H321">
            <v>145454</v>
          </cell>
        </row>
        <row r="322">
          <cell r="C322">
            <v>1</v>
          </cell>
          <cell r="F322" t="str">
            <v>주차쿠폰</v>
          </cell>
          <cell r="G322">
            <v>40070</v>
          </cell>
          <cell r="H322">
            <v>436364</v>
          </cell>
        </row>
        <row r="323">
          <cell r="C323">
            <v>1</v>
          </cell>
          <cell r="F323" t="str">
            <v>주차쿠폰</v>
          </cell>
          <cell r="G323">
            <v>40071</v>
          </cell>
          <cell r="H323">
            <v>145454</v>
          </cell>
        </row>
        <row r="324">
          <cell r="C324">
            <v>1</v>
          </cell>
          <cell r="F324" t="str">
            <v>주차쿠폰</v>
          </cell>
          <cell r="G324">
            <v>40071</v>
          </cell>
          <cell r="H324">
            <v>581818</v>
          </cell>
        </row>
        <row r="325">
          <cell r="C325">
            <v>1</v>
          </cell>
          <cell r="F325" t="str">
            <v>주차쿠폰</v>
          </cell>
          <cell r="G325">
            <v>40072</v>
          </cell>
          <cell r="H325">
            <v>145454</v>
          </cell>
        </row>
        <row r="326">
          <cell r="C326">
            <v>1</v>
          </cell>
          <cell r="F326" t="str">
            <v>주차쿠폰</v>
          </cell>
          <cell r="G326">
            <v>40072</v>
          </cell>
          <cell r="H326">
            <v>150000</v>
          </cell>
        </row>
        <row r="327">
          <cell r="C327">
            <v>1</v>
          </cell>
          <cell r="F327" t="str">
            <v>주차쿠폰</v>
          </cell>
          <cell r="G327">
            <v>40073</v>
          </cell>
          <cell r="H327">
            <v>145454</v>
          </cell>
        </row>
        <row r="328">
          <cell r="C328">
            <v>1</v>
          </cell>
          <cell r="F328" t="str">
            <v>주차쿠폰</v>
          </cell>
          <cell r="G328">
            <v>40073</v>
          </cell>
          <cell r="H328">
            <v>145454</v>
          </cell>
        </row>
        <row r="329">
          <cell r="C329">
            <v>1</v>
          </cell>
          <cell r="F329" t="str">
            <v>주차쿠폰</v>
          </cell>
          <cell r="G329">
            <v>40074</v>
          </cell>
          <cell r="H329">
            <v>145454</v>
          </cell>
        </row>
        <row r="330">
          <cell r="C330">
            <v>1</v>
          </cell>
          <cell r="F330" t="str">
            <v>주차쿠폰</v>
          </cell>
          <cell r="G330">
            <v>40074</v>
          </cell>
          <cell r="H330">
            <v>145454</v>
          </cell>
        </row>
        <row r="331">
          <cell r="C331">
            <v>1</v>
          </cell>
          <cell r="F331" t="str">
            <v>주차쿠폰</v>
          </cell>
          <cell r="G331">
            <v>40077</v>
          </cell>
          <cell r="H331">
            <v>145454</v>
          </cell>
        </row>
        <row r="332">
          <cell r="C332">
            <v>1</v>
          </cell>
          <cell r="F332" t="str">
            <v>주차쿠폰</v>
          </cell>
          <cell r="G332">
            <v>40078</v>
          </cell>
          <cell r="H332">
            <v>818182</v>
          </cell>
        </row>
        <row r="333">
          <cell r="C333">
            <v>1</v>
          </cell>
          <cell r="F333" t="str">
            <v>주차쿠폰</v>
          </cell>
          <cell r="G333">
            <v>40085</v>
          </cell>
          <cell r="H333">
            <v>145454</v>
          </cell>
        </row>
        <row r="334">
          <cell r="C334">
            <v>1</v>
          </cell>
          <cell r="F334" t="str">
            <v>일일주차비</v>
          </cell>
          <cell r="G334">
            <v>40057</v>
          </cell>
          <cell r="H334">
            <v>781818</v>
          </cell>
        </row>
        <row r="335">
          <cell r="C335">
            <v>1</v>
          </cell>
          <cell r="F335" t="str">
            <v>일일주차비</v>
          </cell>
          <cell r="G335">
            <v>40058</v>
          </cell>
          <cell r="H335">
            <v>756364</v>
          </cell>
        </row>
        <row r="336">
          <cell r="C336">
            <v>1</v>
          </cell>
          <cell r="F336" t="str">
            <v>일일주차비</v>
          </cell>
          <cell r="G336">
            <v>40059</v>
          </cell>
          <cell r="H336">
            <v>740000</v>
          </cell>
        </row>
        <row r="337">
          <cell r="C337">
            <v>1</v>
          </cell>
          <cell r="F337" t="str">
            <v>일일주차비</v>
          </cell>
          <cell r="G337">
            <v>40060</v>
          </cell>
          <cell r="H337">
            <v>818182</v>
          </cell>
        </row>
        <row r="338">
          <cell r="C338">
            <v>1</v>
          </cell>
          <cell r="F338" t="str">
            <v>일일주차비</v>
          </cell>
          <cell r="G338">
            <v>40063</v>
          </cell>
          <cell r="H338">
            <v>956364</v>
          </cell>
        </row>
        <row r="339">
          <cell r="C339">
            <v>1</v>
          </cell>
          <cell r="F339" t="str">
            <v>일일주차비</v>
          </cell>
          <cell r="G339">
            <v>40064</v>
          </cell>
          <cell r="H339">
            <v>1054545</v>
          </cell>
        </row>
        <row r="340">
          <cell r="C340">
            <v>1</v>
          </cell>
          <cell r="F340" t="str">
            <v>일일주차비</v>
          </cell>
          <cell r="G340">
            <v>40065</v>
          </cell>
          <cell r="H340">
            <v>1054545</v>
          </cell>
        </row>
        <row r="341">
          <cell r="C341">
            <v>1</v>
          </cell>
          <cell r="F341" t="str">
            <v>일일주차비</v>
          </cell>
          <cell r="G341">
            <v>40066</v>
          </cell>
          <cell r="H341">
            <v>1007273</v>
          </cell>
        </row>
        <row r="342">
          <cell r="C342">
            <v>1</v>
          </cell>
          <cell r="F342" t="str">
            <v>일일주차비</v>
          </cell>
          <cell r="G342">
            <v>40067</v>
          </cell>
          <cell r="H342">
            <v>781818</v>
          </cell>
        </row>
        <row r="343">
          <cell r="C343">
            <v>1</v>
          </cell>
          <cell r="F343" t="str">
            <v>일일주차비</v>
          </cell>
          <cell r="G343">
            <v>40070</v>
          </cell>
          <cell r="H343">
            <v>892727</v>
          </cell>
        </row>
        <row r="344">
          <cell r="C344">
            <v>1</v>
          </cell>
          <cell r="F344" t="str">
            <v>일일주차비</v>
          </cell>
          <cell r="G344">
            <v>40071</v>
          </cell>
          <cell r="H344">
            <v>805455</v>
          </cell>
        </row>
        <row r="345">
          <cell r="C345">
            <v>1</v>
          </cell>
          <cell r="F345" t="str">
            <v>일일주차비</v>
          </cell>
          <cell r="G345">
            <v>40072</v>
          </cell>
          <cell r="H345">
            <v>883636</v>
          </cell>
        </row>
        <row r="346">
          <cell r="C346">
            <v>1</v>
          </cell>
          <cell r="F346" t="str">
            <v>일일주차비</v>
          </cell>
          <cell r="G346">
            <v>40073</v>
          </cell>
          <cell r="H346">
            <v>838182</v>
          </cell>
        </row>
        <row r="347">
          <cell r="C347">
            <v>1</v>
          </cell>
          <cell r="F347" t="str">
            <v>일일주차비</v>
          </cell>
          <cell r="G347">
            <v>40073</v>
          </cell>
          <cell r="H347">
            <v>67273</v>
          </cell>
        </row>
        <row r="348">
          <cell r="C348">
            <v>1</v>
          </cell>
          <cell r="F348" t="str">
            <v>일일주차비</v>
          </cell>
          <cell r="G348">
            <v>40074</v>
          </cell>
          <cell r="H348">
            <v>900000</v>
          </cell>
        </row>
        <row r="349">
          <cell r="C349">
            <v>1</v>
          </cell>
          <cell r="F349" t="str">
            <v>일일주차비</v>
          </cell>
          <cell r="G349">
            <v>40077</v>
          </cell>
          <cell r="H349">
            <v>883636</v>
          </cell>
        </row>
        <row r="350">
          <cell r="C350">
            <v>1</v>
          </cell>
          <cell r="F350" t="str">
            <v>일일주차비</v>
          </cell>
          <cell r="G350">
            <v>40078</v>
          </cell>
          <cell r="H350">
            <v>849091</v>
          </cell>
        </row>
        <row r="351">
          <cell r="C351">
            <v>1</v>
          </cell>
          <cell r="F351" t="str">
            <v>일일주차비</v>
          </cell>
          <cell r="G351">
            <v>40079</v>
          </cell>
          <cell r="H351">
            <v>754545</v>
          </cell>
        </row>
        <row r="352">
          <cell r="C352">
            <v>1</v>
          </cell>
          <cell r="F352" t="str">
            <v>일일주차비</v>
          </cell>
          <cell r="G352">
            <v>40080</v>
          </cell>
          <cell r="H352">
            <v>989091</v>
          </cell>
        </row>
        <row r="353">
          <cell r="C353">
            <v>1</v>
          </cell>
          <cell r="F353" t="str">
            <v>일일주차비</v>
          </cell>
          <cell r="G353">
            <v>40081</v>
          </cell>
          <cell r="H353">
            <v>820000</v>
          </cell>
        </row>
        <row r="354">
          <cell r="C354">
            <v>1</v>
          </cell>
          <cell r="F354" t="str">
            <v>일일주차비</v>
          </cell>
          <cell r="G354">
            <v>40084</v>
          </cell>
          <cell r="H354">
            <v>958182</v>
          </cell>
        </row>
        <row r="355">
          <cell r="C355">
            <v>1</v>
          </cell>
          <cell r="F355" t="str">
            <v>일일주차비</v>
          </cell>
          <cell r="G355">
            <v>40085</v>
          </cell>
          <cell r="H355">
            <v>718182</v>
          </cell>
        </row>
        <row r="356">
          <cell r="C356">
            <v>1</v>
          </cell>
          <cell r="F356" t="str">
            <v>일일주차비</v>
          </cell>
          <cell r="G356">
            <v>40086</v>
          </cell>
          <cell r="H356">
            <v>780000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퇴직급여02 (2)"/>
      <sheetName val="인건비예산(정규직)"/>
      <sheetName val="인건비예산(용역)"/>
      <sheetName val="TABLE01"/>
      <sheetName val="원본"/>
      <sheetName val="108_수선비"/>
      <sheetName val="수정시산표"/>
      <sheetName val="발생집계"/>
      <sheetName val="손익계산서"/>
      <sheetName val="Property"/>
      <sheetName val="SA"/>
      <sheetName val="안강자재입고"/>
      <sheetName val="회사정보"/>
      <sheetName val="대환취급"/>
      <sheetName val="주채무"/>
      <sheetName val="매출매입"/>
      <sheetName val="생산2"/>
      <sheetName val="7.31 (2)"/>
      <sheetName val="총괄"/>
      <sheetName val="14.광주_원가배부Ⅲ"/>
      <sheetName val="FixedIncome"/>
      <sheetName val="VaR"/>
      <sheetName val="회사BS"/>
      <sheetName val="일반정보"/>
      <sheetName val="구미"/>
      <sheetName val="1999"/>
      <sheetName val="절대지우지말것"/>
      <sheetName val="2001급여"/>
      <sheetName val="코스모공장 (어음)"/>
      <sheetName val="신규구입자산"/>
      <sheetName val="계정code"/>
      <sheetName val="수선비"/>
      <sheetName val="WELDING"/>
      <sheetName val="손익분기점 데이터"/>
      <sheetName val="Macro1"/>
      <sheetName val="손익계산서 raw data"/>
      <sheetName val="손익내역전년"/>
      <sheetName val="총괄표"/>
      <sheetName val="VXXXXX"/>
      <sheetName val="장기차입금"/>
      <sheetName val="선수금"/>
      <sheetName val="시산표"/>
      <sheetName val="요약"/>
      <sheetName val="부서별손익 (부)"/>
      <sheetName val="금리보조"/>
      <sheetName val="상품보조수불"/>
      <sheetName val="제조원가계산서 (2)"/>
      <sheetName val="제품입고(생산)"/>
      <sheetName val="IN"/>
      <sheetName val="24.보증금(전신전화가입권)"/>
      <sheetName val="control"/>
      <sheetName val="종합(PD,FD,RS)"/>
      <sheetName val="매입매출(입력)"/>
      <sheetName val="conclusion"/>
      <sheetName val="결정단가"/>
      <sheetName val="comparables"/>
      <sheetName val="Deduction"/>
      <sheetName val="other"/>
      <sheetName val="매도주식"/>
      <sheetName val="XREF"/>
      <sheetName val="RK-#1"/>
      <sheetName val="Main"/>
      <sheetName val="작성자"/>
      <sheetName val="981분기"/>
      <sheetName val="광주"/>
      <sheetName val="대구"/>
      <sheetName val="대전"/>
      <sheetName val="부산"/>
      <sheetName val="정의"/>
      <sheetName val="9902"/>
      <sheetName val="건축매출명세-2008년"/>
      <sheetName val="공장"/>
      <sheetName val="basic_info"/>
      <sheetName val="개인정책"/>
      <sheetName val="개인투자"/>
      <sheetName val="장기투자"/>
      <sheetName val="2000제조1"/>
      <sheetName val="입력"/>
      <sheetName val="비교"/>
      <sheetName val="96원가"/>
      <sheetName val="A410~A420.검토정산표"/>
      <sheetName val="공사현황표"/>
      <sheetName val="1차 매출원가"/>
      <sheetName val="2001-FTE-Standard"/>
      <sheetName val="E LEAD"/>
      <sheetName val="코드부여방법도"/>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4290채권채무조회총괄표"/>
      <sheetName val="정기적금"/>
      <sheetName val="기초수불"/>
      <sheetName val="대차대조표"/>
      <sheetName val="IJABUNRI"/>
      <sheetName val="Sheet1"/>
      <sheetName val="성적표96"/>
      <sheetName val="환율시트"/>
      <sheetName val="계정과목"/>
      <sheetName val="수선비MATRIX"/>
      <sheetName val="차량소요량-년간주행거리"/>
      <sheetName val="변수"/>
      <sheetName val="WI"/>
      <sheetName val="현장경상비"/>
      <sheetName val="경락률"/>
      <sheetName val="법원비용"/>
      <sheetName val="항고구분"/>
      <sheetName val="경매회차하락률"/>
      <sheetName val="예산"/>
      <sheetName val="PLarp"/>
      <sheetName val="년간데이타"/>
      <sheetName val="유가증권현황"/>
      <sheetName val="상환익(2001년도)"/>
      <sheetName val="통합건전성별분류(0201)"/>
      <sheetName val="통합지보건전성(0201)"/>
      <sheetName val="01"/>
      <sheetName val="department"/>
      <sheetName val="6 국내BW"/>
      <sheetName val="KGAAP(0912)_안성혁"/>
      <sheetName val="설치공사비"/>
      <sheetName val="99계획"/>
      <sheetName val="삼호중공업"/>
      <sheetName val="MCS"/>
      <sheetName val="매채조회"/>
      <sheetName val="개인정보"/>
      <sheetName val="급여상여"/>
      <sheetName val="연차수당계산"/>
      <sheetName val="CodeTable"/>
      <sheetName val="T6-6(7)"/>
      <sheetName val="테이블"/>
      <sheetName val="판매98"/>
      <sheetName val="Sheet2 (2)"/>
      <sheetName val="월별수입"/>
      <sheetName val="99선급비용"/>
      <sheetName val="데이타"/>
      <sheetName val="Sheet2"/>
      <sheetName val="#REF"/>
      <sheetName val="Customer Databas"/>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00'미수"/>
      <sheetName val="투자유가증권"/>
      <sheetName val="진행률기표"/>
      <sheetName val="산출기준(파견전산실)"/>
      <sheetName val="자산별귀속부서"/>
      <sheetName val="급여조견표"/>
      <sheetName val="교환국"/>
      <sheetName val="기지국"/>
      <sheetName val="기타"/>
      <sheetName val="원격국"/>
      <sheetName val="주장비"/>
      <sheetName val="중계국"/>
      <sheetName val="TABLE"/>
      <sheetName val="업무연락"/>
      <sheetName val="월별매출"/>
      <sheetName val="J"/>
      <sheetName val="손익분기점_데이터"/>
      <sheetName val="14_광주_원가배부Ⅲ"/>
      <sheetName val="24_보증금(전신전화가입권)"/>
      <sheetName val="평가데이터"/>
      <sheetName val="현장관리비"/>
      <sheetName val="장비비"/>
      <sheetName val="계좌번호"/>
      <sheetName val="급여0601"/>
      <sheetName val="급여0602"/>
      <sheetName val="급여0603"/>
      <sheetName val="상여0601"/>
      <sheetName val="0512월기준"/>
      <sheetName val="Cover"/>
      <sheetName val="부대집계"/>
      <sheetName val="견적의뢰"/>
      <sheetName val="페이지"/>
      <sheetName val="보조부문비배부"/>
      <sheetName val="25.보증금(임차보증금외)"/>
      <sheetName val="Korea Sign-Internal"/>
      <sheetName val="0201"/>
      <sheetName val="XXXX"/>
      <sheetName val="wbs"/>
      <sheetName val="현금흐름작성조서"/>
      <sheetName val="만기"/>
      <sheetName val="control sheet"/>
      <sheetName val="各月细目"/>
      <sheetName val="민감도"/>
      <sheetName val="기본입력사항"/>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고상실행"/>
      <sheetName val="코드목록"/>
      <sheetName val="Links"/>
      <sheetName val="Lead"/>
      <sheetName val="월별관리"/>
      <sheetName val="ZY100"/>
      <sheetName val="공통속성"/>
      <sheetName val="목록"/>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업종별제조원가"/>
      <sheetName val="조치원제조"/>
      <sheetName val="인력(정규직)"/>
      <sheetName val="LoanList"/>
      <sheetName val="잔존년수"/>
      <sheetName val="차량운반구"/>
      <sheetName val="소프트웨어"/>
      <sheetName val="Initial Input Variable"/>
      <sheetName val="생산현황"/>
      <sheetName val="노무비-TT"/>
      <sheetName val="8월--12월"/>
      <sheetName val="1월--7월"/>
      <sheetName val="시황"/>
      <sheetName val="보정전"/>
      <sheetName val="동원인원"/>
      <sheetName val="코드"/>
      <sheetName val="통합생산일보"/>
      <sheetName val="성단물량"/>
      <sheetName val="지점장"/>
      <sheetName val="8월"/>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건물관리"/>
      <sheetName val="총제품수불"/>
      <sheetName val="지종별원단위(기존)"/>
      <sheetName val="06년예상보험료 (2)"/>
      <sheetName val="1~10월실적"/>
      <sheetName val="에스피"/>
      <sheetName val="페이퍼"/>
      <sheetName val="코드Mapping"/>
      <sheetName val="신무림1"/>
      <sheetName val="임직원 기본인사사항"/>
      <sheetName val="XLUTIL"/>
      <sheetName val="수철11월"/>
      <sheetName val="수철03년"/>
      <sheetName val="단지별수거량"/>
      <sheetName val="감가상각누계액"/>
      <sheetName val="비교원RD-S"/>
      <sheetName val="선급비용"/>
      <sheetName val="R&amp;D"/>
      <sheetName val="시실누(모) "/>
      <sheetName val="F45"/>
      <sheetName val="F1,2"/>
      <sheetName val="F3"/>
      <sheetName val="감가상각"/>
      <sheetName val="수정재무제표-본사용"/>
      <sheetName val="08"/>
      <sheetName val=""/>
      <sheetName val="125PIECE"/>
      <sheetName val="경비예산"/>
      <sheetName val="생산성(2차)"/>
      <sheetName val="요약(1차)"/>
      <sheetName val="실행간접비용"/>
      <sheetName val="국외점포"/>
      <sheetName val="Ⅱ1-0타"/>
      <sheetName val="선급비용재계산(AK)"/>
      <sheetName val="건물"/>
      <sheetName val="개발비"/>
      <sheetName val="외화환산손익"/>
      <sheetName val="산업재산권"/>
      <sheetName val="구list"/>
      <sheetName val="공통매입원장"/>
      <sheetName val="이익처분"/>
      <sheetName val="수입"/>
      <sheetName val="AA"/>
      <sheetName val="BSLA"/>
      <sheetName val="C(재고)"/>
      <sheetName val="연결정보"/>
      <sheetName val="기초사항"/>
      <sheetName val="계획"/>
      <sheetName val="당년실적"/>
      <sheetName val="전년실적"/>
      <sheetName val="Macro4"/>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세부내역"/>
      <sheetName val="월건별"/>
      <sheetName val="108.수선비"/>
      <sheetName val="종합분석"/>
      <sheetName val="설비사양서B-1"/>
      <sheetName val="계속+종전"/>
      <sheetName val="본부별매출"/>
      <sheetName val="언양"/>
      <sheetName val="JUYO"/>
      <sheetName val="수정'매출매입_자료"/>
      <sheetName val="시장성초안camera"/>
      <sheetName val="본문1"/>
      <sheetName val="부외부채"/>
      <sheetName val="기계경비(시간당)"/>
      <sheetName val="램머"/>
      <sheetName val="공사원가계산서"/>
      <sheetName val="도급예산내역서총괄표"/>
      <sheetName val="보조"/>
      <sheetName val="단중_심_그레이드"/>
      <sheetName val="목표세부명세"/>
      <sheetName val="개정대차대조표"/>
      <sheetName val="가.인건비산출근거(관리직급여표)"/>
      <sheetName val="나.인건비산출근거(운영직급여표)"/>
      <sheetName val="10고객별 담당자"/>
      <sheetName val="07DATA"/>
      <sheetName val="11월출고"/>
      <sheetName val="1_05고객별 담당자"/>
      <sheetName val="1_05수익성대비표"/>
      <sheetName val="생산량"/>
      <sheetName val="임대장비현황"/>
      <sheetName val="Macro2"/>
      <sheetName val="리스트"/>
      <sheetName val="폐기(자본지출)"/>
      <sheetName val="14_광주_원가배부Ⅲ1"/>
      <sheetName val="7_31_(2)"/>
      <sheetName val="손익분기점_데이터1"/>
      <sheetName val="손익계산서_raw_data"/>
      <sheetName val="부서별손익_(부)"/>
      <sheetName val="퇴직급여02_(2)"/>
      <sheetName val="제조원가계산서_(2)"/>
      <sheetName val="24_보증금(전신전화가입권)1"/>
      <sheetName val="1차_매출원가"/>
      <sheetName val="6_국내BW"/>
      <sheetName val="2_대외공문"/>
      <sheetName val="list_prices"/>
      <sheetName val="A_(3)"/>
      <sheetName val="신고서_전"/>
      <sheetName val="E_LEAD"/>
      <sheetName val="A410~A420_검토정산표"/>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1_외주공사"/>
      <sheetName val="2_직영공사"/>
      <sheetName val="코스모공장_(어음)"/>
      <sheetName val="Customer_Databas"/>
      <sheetName val="25_보증금(임차보증금외)"/>
      <sheetName val="원가총"/>
      <sheetName val="영화별rawdata"/>
      <sheetName val="시점수정"/>
      <sheetName val="이연법인세3월말"/>
      <sheetName val="이연법인세6월말"/>
      <sheetName val="지분법평가1분기"/>
      <sheetName val="검토사항"/>
      <sheetName val="호프"/>
      <sheetName val="내역서"/>
      <sheetName val="현장경비"/>
      <sheetName val="덕성P"/>
      <sheetName val="WPL"/>
      <sheetName val="조회서송부 LIST"/>
      <sheetName val="시장"/>
      <sheetName val="지종코드"/>
      <sheetName val="포장유형"/>
      <sheetName val="1.육계매출 Overall Test"/>
      <sheetName val="2.육가공매출 Overall Test"/>
      <sheetName val="매출분석적검토"/>
      <sheetName val="기준수익률"/>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4b Consolidated PL"/>
      <sheetName val="200811(법인)"/>
      <sheetName val="200811(해외현지법인)"/>
      <sheetName val="조정전"/>
      <sheetName val="결-9-1"/>
      <sheetName val="비품(94이전)"/>
      <sheetName val="master"/>
      <sheetName val="Sheet1 (3)"/>
      <sheetName val="00년_계획전망"/>
      <sheetName val="Korea_Sign-Internal"/>
      <sheetName val="임직원_기본인사사항"/>
      <sheetName val="control_sheet"/>
      <sheetName val="Analysis_WR_1"/>
      <sheetName val="3__BSC_NC_ratio"/>
      <sheetName val="Initial_Input_Variable"/>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Köpfe"/>
      <sheetName val="공무부"/>
      <sheetName val="수입2"/>
      <sheetName val="경비"/>
      <sheetName val="일반"/>
      <sheetName val="T&amp;C"/>
      <sheetName val="유형자산증가"/>
      <sheetName val="3"/>
      <sheetName val="검사표"/>
      <sheetName val="원가배분01년(등본)"/>
      <sheetName val="Back Data 1"/>
      <sheetName val="학습율"/>
      <sheetName val="수입부품-견적"/>
      <sheetName val="국내입고"/>
      <sheetName val="MSQ"/>
      <sheetName val="96갑지"/>
      <sheetName val="2호맨홀공제수량"/>
      <sheetName val="Sheet2_(2)"/>
      <sheetName val="시실누(모)_"/>
      <sheetName val="환율"/>
      <sheetName val="2_직영공사1"/>
      <sheetName val="ICB"/>
      <sheetName val="Reference2"/>
      <sheetName val="Ship Advice"/>
      <sheetName val="유통망계획"/>
      <sheetName val="기본사항"/>
      <sheetName val="2002-03"/>
      <sheetName val="가족수당"/>
      <sheetName val="상조회"/>
      <sheetName val="소득세"/>
      <sheetName val="SALTAB97"/>
      <sheetName val="의보"/>
      <sheetName val="생산직잔업"/>
      <sheetName val="누적"/>
      <sheetName val="관리대장(2001장비)"/>
      <sheetName val="9월손익"/>
      <sheetName val="4월손익"/>
      <sheetName val="10월손익"/>
      <sheetName val="11월분"/>
      <sheetName val="5월손익"/>
      <sheetName val="6월손익"/>
      <sheetName val="7월손익"/>
      <sheetName val="8월분"/>
      <sheetName val="공설코드"/>
      <sheetName val="견적공통"/>
      <sheetName val="FAB별"/>
      <sheetName val="과정별"/>
      <sheetName val="항목등록"/>
      <sheetName val="총사업비명세"/>
      <sheetName val="요약&amp;결과"/>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재료비"/>
      <sheetName val="code"/>
      <sheetName val="월별생산"/>
      <sheetName val="118.세금과공과"/>
      <sheetName val="인건비 내역서"/>
      <sheetName val="월별제조비용"/>
      <sheetName val="영업외수익비용"/>
      <sheetName val="월별판매비와일반관리비"/>
      <sheetName val="총투자비산정"/>
      <sheetName val="본사업"/>
      <sheetName val="ttt"/>
      <sheetName val="미수이자"/>
      <sheetName val="Area"/>
      <sheetName val="Template"/>
      <sheetName val="급여대장(관리)"/>
      <sheetName val="g. Rent Roll"/>
      <sheetName val="Parameters"/>
      <sheetName val="부정형평가"/>
      <sheetName val="재공품평가"/>
      <sheetName val="관계사"/>
      <sheetName val="통화코드"/>
      <sheetName val="투자자산처분손익"/>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기업평가"/>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제품(수출)매출"/>
      <sheetName val="공정자료"/>
      <sheetName val="STALL회전율"/>
      <sheetName val="보증MH"/>
      <sheetName val="유형자료"/>
      <sheetName val="입력자료"/>
      <sheetName val="단가산출"/>
      <sheetName val="사월"/>
      <sheetName val="삼월"/>
      <sheetName val="오월"/>
      <sheetName val="이월"/>
      <sheetName val="일월"/>
      <sheetName val="MM"/>
      <sheetName val="연체대출"/>
      <sheetName val="수h"/>
      <sheetName val="가격비"/>
      <sheetName val="계정분류"/>
      <sheetName val="97년제4기재무제표(출력).xls"/>
      <sheetName val="개방형"/>
      <sheetName val="고수익"/>
      <sheetName val="이연법인세차"/>
      <sheetName val="유림골조"/>
      <sheetName val="계수시트"/>
      <sheetName val="설계내역서"/>
      <sheetName val="자료"/>
      <sheetName val="과정코드용"/>
      <sheetName val="실시계획"/>
      <sheetName val="퍼라이트"/>
      <sheetName val="파라셀"/>
      <sheetName val="설계예산서"/>
      <sheetName val="BOQ.vts"/>
      <sheetName val="당좌차월"/>
      <sheetName val="Admin"/>
      <sheetName val="01Q4 RATE"/>
      <sheetName val="BAL.(TTL)"/>
      <sheetName val="명세서"/>
      <sheetName val="자재및업무개선"/>
      <sheetName val="신선데이터"/>
      <sheetName val="실행철강하도"/>
      <sheetName val="양식"/>
      <sheetName val="예비총괄"/>
      <sheetName val="원료돈정산(거세)"/>
      <sheetName val="產能"/>
      <sheetName val="料費2"/>
      <sheetName val="分攤2"/>
      <sheetName val="比較2"/>
      <sheetName val="주간계획"/>
      <sheetName val="99판매상세"/>
      <sheetName val="체불임금"/>
      <sheetName val="평균임금"/>
      <sheetName val="체불금품내역"/>
      <sheetName val="5600"/>
      <sheetName val="현금"/>
      <sheetName val="TB(PL)"/>
      <sheetName val="TB(BS)"/>
      <sheetName val="B-III"/>
      <sheetName val="계DATA"/>
      <sheetName val="실DATA "/>
      <sheetName val="2-2.매출분석"/>
      <sheetName val="구미2월"/>
      <sheetName val="안양2월"/>
      <sheetName val="scale &amp; Income"/>
      <sheetName val="투자비"/>
      <sheetName val="조성원가DATA"/>
      <sheetName val="사업비"/>
      <sheetName val="제조원가"/>
      <sheetName val="미국"/>
      <sheetName val="Sheet2_(2)1"/>
      <sheetName val="시실누(모)_1"/>
      <sheetName val="Ship_Advice"/>
      <sheetName val="10고객별_담당자"/>
      <sheetName val="2-1_제품군별계획대비실적(B_A)"/>
      <sheetName val="Bs__de_Uso_2002"/>
      <sheetName val="prov_locales"/>
      <sheetName val="97년제4기재무제표(출력)_xls"/>
      <sheetName val="인건비_내역서"/>
      <sheetName val="118_세금과공과"/>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2-2_매출분석"/>
      <sheetName val="1_05고객별_담당자"/>
      <sheetName val="가_인건비산출근거(관리직급여표)"/>
      <sheetName val="나_인건비산출근거(운영직급여표)"/>
      <sheetName val="其他应收款明细及帐龄分析(表5)"/>
      <sheetName val="txt(손익)"/>
      <sheetName val="fxrate"/>
      <sheetName val="갑(전기)"/>
      <sheetName val="기감액자산"/>
      <sheetName val="설비-자산"/>
      <sheetName val="불용자산list"/>
      <sheetName val="보증금"/>
      <sheetName val="기타의투자자산"/>
      <sheetName val="장기대여금"/>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01Q4_RATE"/>
      <sheetName val="용연"/>
      <sheetName val="경놡"/>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GUDV- Aug"/>
      <sheetName val="NI"/>
      <sheetName val="ROI"/>
      <sheetName val="Budget"/>
      <sheetName val="NAMES by Mgr"/>
      <sheetName val="과목코드"/>
      <sheetName val="부서코드"/>
      <sheetName val="입력자"/>
      <sheetName val="특정예금"/>
      <sheetName val="TOTAL"/>
      <sheetName val="BB"/>
      <sheetName val="BC"/>
      <sheetName val="BD"/>
      <sheetName val="BE"/>
      <sheetName val="Module"/>
      <sheetName val="은행조회서"/>
      <sheetName val="공통"/>
      <sheetName val="투찰금액"/>
      <sheetName val="재무가정및요약"/>
      <sheetName val="2공구하도급내역서"/>
      <sheetName val="시험연구비상각"/>
      <sheetName val="관련부서"/>
      <sheetName val="Comp01"/>
      <sheetName val="대구은행"/>
      <sheetName val="손익추정(관리기준)"/>
      <sheetName val="배치1"/>
      <sheetName val="용수량(생활용수)"/>
      <sheetName val="기초데이터"/>
      <sheetName val="연결분개(거래.Ʉ"/>
      <sheetName val="ʉ"/>
      <sheetName val="Stock Div Accural"/>
      <sheetName val="K - FA Tax"/>
      <sheetName val="1500-000-00"/>
      <sheetName val="지성학원"/>
      <sheetName val="ILBAN"/>
      <sheetName val="출금실적"/>
      <sheetName val="조명시설"/>
      <sheetName val="설계내역2"/>
      <sheetName val="데이터유효성목록"/>
      <sheetName val="토목주소"/>
      <sheetName val="승격기준참조"/>
      <sheetName val="당기추가완료"/>
      <sheetName val="정보"/>
      <sheetName val="부서별공수"/>
      <sheetName val="투입공수"/>
      <sheetName val="생산"/>
      <sheetName val="자재재고"/>
      <sheetName val="재공재고"/>
      <sheetName val="품질현황-보류"/>
      <sheetName val="LOOKUP"/>
      <sheetName val="일일실적"/>
      <sheetName val="ﾘｽﾄ"/>
      <sheetName val="재무가정"/>
      <sheetName val="계획시간"/>
      <sheetName val="연차현황"/>
      <sheetName val="97KJIST"/>
      <sheetName val="BOM"/>
      <sheetName val="BOQ_vts"/>
      <sheetName val="관계회사거래내역및 채권채무잔액 99"/>
      <sheetName val="시흥면세"/>
      <sheetName val="1000"/>
      <sheetName val="Pile径1m･27"/>
      <sheetName val="1"/>
      <sheetName val="CAL"/>
      <sheetName val="공종단가"/>
      <sheetName val="T진도"/>
      <sheetName val="Ⅰ-1"/>
      <sheetName val="주요비율-낙관"/>
      <sheetName val="기본자료"/>
      <sheetName val="INFORM"/>
      <sheetName val="지급어음(일별)"/>
      <sheetName val="노임이"/>
      <sheetName val="공정분류"/>
      <sheetName val="수_x0000__x0000_"/>
      <sheetName val="수밀뵀"/>
      <sheetName val="갑지"/>
      <sheetName val="실행"/>
      <sheetName val="RAW"/>
      <sheetName val="Data Input"/>
      <sheetName val="금액"/>
      <sheetName val="기초입력 DATA"/>
      <sheetName val="요율"/>
      <sheetName val="6.STIC"/>
      <sheetName val="hmsim"/>
      <sheetName val="관급_File"/>
      <sheetName val="유형자산증감"/>
      <sheetName val="TOT"/>
      <sheetName val="일보.확정"/>
      <sheetName val="월보.확정"/>
      <sheetName val="carryover"/>
      <sheetName val="Tech Expense Original"/>
      <sheetName val="기본데이타"/>
      <sheetName val="자산"/>
      <sheetName val="국내조달(통합-1)"/>
      <sheetName val="연결임시"/>
      <sheetName val="일산실행내역"/>
      <sheetName val="내역_FILE"/>
      <sheetName val="2. 공원조도"/>
      <sheetName val="GRAPH"/>
      <sheetName val="US Codes"/>
      <sheetName val="2.상각보정명세"/>
      <sheetName val="국외감가상각내역0103"/>
      <sheetName val="FINAL"/>
      <sheetName val="Id"/>
      <sheetName val="Intro2"/>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refreshError="1"/>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sheetData sheetId="1092"/>
      <sheetData sheetId="1093"/>
      <sheetData sheetId="1094"/>
      <sheetData sheetId="1095"/>
      <sheetData sheetId="1096"/>
      <sheetData sheetId="1097"/>
      <sheetData sheetId="1098">
        <row r="2">
          <cell r="B2" t="str">
            <v>한일산업주식회사</v>
          </cell>
        </row>
      </sheetData>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청방빌딩 점검결과 보고"/>
      <sheetName val="데이타"/>
      <sheetName val="지급어음(일별)"/>
      <sheetName val="issued"/>
      <sheetName val="식재인부"/>
      <sheetName val="Sheet1"/>
      <sheetName val="Gross Sales"/>
      <sheetName val="HC"/>
      <sheetName val="Net Sales"/>
      <sheetName val="Initial Input Variable"/>
      <sheetName val="노무비"/>
      <sheetName val="conclusion"/>
      <sheetName val="결정단가"/>
      <sheetName val="comparables"/>
      <sheetName val="Deduction"/>
      <sheetName val="other"/>
      <sheetName val="인원계획-미화"/>
      <sheetName val="util"/>
      <sheetName val="Template"/>
      <sheetName val="공문_"/>
      <sheetName val="1_건물개요"/>
      <sheetName val="2_건축-1"/>
      <sheetName val="3_사진"/>
      <sheetName val="목차_(2)"/>
      <sheetName val="Gross_Sales"/>
      <sheetName val="Net_Sales"/>
      <sheetName val="청방빌딩_점검결과_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TB"/>
      <sheetName val="Ctrl"/>
      <sheetName val="대차합동"/>
      <sheetName val="조정지수 data"/>
      <sheetName val="회사정보"/>
      <sheetName val="가격비"/>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익월작업계힉"/>
      <sheetName val="시설총괄"/>
      <sheetName val="issued"/>
      <sheetName val="util"/>
      <sheetName val="Initial Input Variable"/>
      <sheetName val="CHECK LIST"/>
      <sheetName val="기존단가 (2)"/>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Initial Input Variable"/>
      <sheetName val="TB"/>
      <sheetName val="Ctrl"/>
      <sheetName val="회사정보"/>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1)기본서식"/>
      <sheetName val="현장관리비"/>
      <sheetName val="0.1keyAssumption"/>
      <sheetName val="0.0ControlSheet"/>
      <sheetName val="공사기성"/>
      <sheetName val="아파트진행률"/>
      <sheetName val="Income Statement(AR)"/>
      <sheetName val="96제조"/>
      <sheetName val="인원계획-미화"/>
      <sheetName val="Sheet1"/>
      <sheetName val="매출현황"/>
      <sheetName val="가격비"/>
      <sheetName val="S&amp;R"/>
      <sheetName val="6-3(2)호_"/>
      <sheetName val="0_1keyAssumption"/>
      <sheetName val="0_0ControlSheet"/>
      <sheetName val="Income_Statement(AR)"/>
      <sheetName val="납부서"/>
      <sheetName val="보정사항"/>
      <sheetName val="Ctrl"/>
      <sheetName val="1. 견적서"/>
      <sheetName val="1.외주공사"/>
      <sheetName val="2.직영공사"/>
      <sheetName val="경영04"/>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 val="인원계획-미화"/>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Risk-a"/>
      <sheetName val="Index"/>
      <sheetName val="보고서"/>
      <sheetName val="S&amp;R"/>
      <sheetName val="FA"/>
      <sheetName val="Opex"/>
      <sheetName val="CAPEX"/>
      <sheetName val="취득"/>
      <sheetName val="FCF_월"/>
      <sheetName val="FCF_연 "/>
      <sheetName val="BS_월"/>
      <sheetName val="BS_연"/>
      <sheetName val="IS_월"/>
      <sheetName val="IS_연"/>
      <sheetName val="CF_월"/>
      <sheetName val="CF_연"/>
      <sheetName val="RE"/>
      <sheetName val="계약(거양)"/>
      <sheetName val="임대조건(거양)"/>
      <sheetName val="Rent Roll_거양빌딩"/>
      <sheetName val="1년차공실율추정"/>
      <sheetName val="임대수익(거양)"/>
      <sheetName val="관리수익(거양)"/>
      <sheetName val="보증금(거양)"/>
      <sheetName val="수익_기타"/>
      <sheetName val="보유세"/>
      <sheetName val="기준시가"/>
      <sheetName val="기타제세공과"/>
      <sheetName val="감가"/>
      <sheetName val="AMC"/>
      <sheetName val="TAX"/>
      <sheetName val="매각가"/>
      <sheetName val="재원조달(월)"/>
      <sheetName val="재원조달(연간)"/>
      <sheetName val="임대기간(남대문)"/>
      <sheetName val="계약(남대문)"/>
      <sheetName val="임대조건(남대문)"/>
      <sheetName val="임대수익(남대문)"/>
      <sheetName val="관리수익(남대문)"/>
      <sheetName val="보증금(남대문)"/>
      <sheetName val="노무비"/>
      <sheetName val="회사정보"/>
      <sheetName val="공사기성"/>
      <sheetName val="Sheet1"/>
      <sheetName val="인원계획-미화"/>
      <sheetName val="DATA"/>
      <sheetName val="조정지수 data"/>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6">
          <cell r="E16">
            <v>5277745525.2480001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Sheet1"/>
      <sheetName val="공사기성"/>
      <sheetName val="기준시가"/>
      <sheetName val="과"/>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인원계획-미화"/>
      <sheetName val="노무비"/>
      <sheetName val="Tables"/>
      <sheetName val="Quality"/>
      <sheetName val="People"/>
      <sheetName val="Risk"/>
      <sheetName val="Training"/>
      <sheetName val="General"/>
      <sheetName val="Instructions"/>
      <sheetName val="내역서"/>
      <sheetName val="FCF_연_1"/>
      <sheetName val="임대차_현황1"/>
      <sheetName val="FCF_연_"/>
      <sheetName val="임대차_현황"/>
      <sheetName val="Utility Usage YTN TOWER"/>
      <sheetName val="일위대가표"/>
      <sheetName val="10월"/>
      <sheetName val="대비"/>
      <sheetName val="데이타"/>
      <sheetName val="단"/>
      <sheetName val="재무가정"/>
      <sheetName val="익월작업계힉"/>
      <sheetName val="2공구산출내역"/>
      <sheetName val="Sheet1"/>
      <sheetName val="ERP"/>
      <sheetName val="내역"/>
      <sheetName val="KOCREF_3(0530송부_출력,final)"/>
      <sheetName val="돈암사업"/>
      <sheetName val="10월 (2)"/>
      <sheetName val="종합-임현"/>
      <sheetName val="AV시스템"/>
      <sheetName val="총무팀"/>
      <sheetName val="마포-임현"/>
      <sheetName val="Cash receipt"/>
      <sheetName val="식재인부"/>
      <sheetName val="공사비"/>
      <sheetName val="Utility Usage엠닷컴 26"/>
      <sheetName val="FCF_연_2"/>
      <sheetName val="임대차_현황2"/>
      <sheetName val="Utility_Usage_YTN_TOWER"/>
      <sheetName val="10월_(2)"/>
      <sheetName val="Cash_receipt"/>
      <sheetName val="6. 직접경비"/>
      <sheetName val="단가표"/>
      <sheetName val="회사정보"/>
      <sheetName val="수목표준대가"/>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sheetData sheetId="82" refreshError="1"/>
      <sheetData sheetId="83" refreshError="1"/>
      <sheetData sheetId="8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el"/>
      <sheetName val="Table(전)"/>
      <sheetName val="Table(당)"/>
      <sheetName val="Cover"/>
      <sheetName val="목차"/>
      <sheetName val="1"/>
      <sheetName val="2.1"/>
      <sheetName val="2.3"/>
      <sheetName val="2.4"/>
      <sheetName val="3.1"/>
      <sheetName val="3.2"/>
      <sheetName val="4.1"/>
      <sheetName val="4.2"/>
      <sheetName val="5"/>
      <sheetName val="5.1.1"/>
      <sheetName val="5.1.2"/>
      <sheetName val="5.1.3"/>
      <sheetName val="5.1.3.I"/>
      <sheetName val="5.1.3.T"/>
      <sheetName val="5.2.4"/>
      <sheetName val="5.2.5"/>
      <sheetName val="5.2.6"/>
      <sheetName val="5.2"/>
    </sheetNames>
    <sheetDataSet>
      <sheetData sheetId="0">
        <row r="9">
          <cell r="I9">
            <v>6</v>
          </cell>
        </row>
        <row r="11">
          <cell r="I11">
            <v>2011</v>
          </cell>
        </row>
        <row r="25">
          <cell r="I25">
            <v>2000000</v>
          </cell>
        </row>
        <row r="28">
          <cell r="I28">
            <v>307592400000</v>
          </cell>
        </row>
      </sheetData>
      <sheetData sheetId="1">
        <row r="25">
          <cell r="L25">
            <v>1000000</v>
          </cell>
        </row>
      </sheetData>
      <sheetData sheetId="2"/>
      <sheetData sheetId="3"/>
      <sheetData sheetId="4"/>
      <sheetData sheetId="5"/>
      <sheetData sheetId="6"/>
      <sheetData sheetId="7">
        <row r="44">
          <cell r="R44">
            <v>11083626529</v>
          </cell>
        </row>
      </sheetData>
      <sheetData sheetId="8">
        <row r="167">
          <cell r="T167">
            <v>7282665000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
      <sheetName val="월매출원가 "/>
      <sheetName val="월상"/>
      <sheetName val="월출"/>
      <sheetName val="월출익"/>
      <sheetName val="매상"/>
      <sheetName val="매출"/>
      <sheetName val="이익"/>
      <sheetName val="출원"/>
      <sheetName val="말매"/>
      <sheetName val="말원"/>
      <sheetName val="당매"/>
      <sheetName val="당원"/>
      <sheetName val="초매"/>
      <sheetName val="초원"/>
      <sheetName val="상평"/>
      <sheetName val="매출원가"/>
      <sheetName val="택"/>
      <sheetName val="지점 (2)"/>
      <sheetName val="평택"/>
      <sheetName val="미금점"/>
      <sheetName val="신"/>
      <sheetName val="비"/>
      <sheetName val="인천"/>
      <sheetName val="동"/>
      <sheetName val="서"/>
      <sheetName val="화"/>
      <sheetName val="인계"/>
      <sheetName val="순"/>
      <sheetName val="과"/>
      <sheetName val="평"/>
      <sheetName val="명"/>
      <sheetName val="야"/>
      <sheetName val="분당"/>
      <sheetName val="미금킴"/>
      <sheetName val="미금식"/>
      <sheetName val="미금직"/>
      <sheetName val="미금특"/>
      <sheetName val="미금수"/>
      <sheetName val="구매본부"/>
      <sheetName val="농산물"/>
      <sheetName val="생활"/>
      <sheetName val="식품"/>
      <sheetName val="의류"/>
      <sheetName val="서적"/>
      <sheetName val="감사"/>
      <sheetName val="개발경리"/>
      <sheetName val="건설경리"/>
      <sheetName val="건설관리"/>
      <sheetName val="건설본부"/>
      <sheetName val="경영개선"/>
      <sheetName val="자금"/>
      <sheetName val="회계"/>
      <sheetName val="시설관리"/>
      <sheetName val="재산관리"/>
      <sheetName val="총무"/>
      <sheetName val="서무"/>
      <sheetName val="개포"/>
      <sheetName val="과천"/>
      <sheetName val="구월"/>
      <sheetName val="동수원"/>
      <sheetName val="본관"/>
      <sheetName val="서현"/>
      <sheetName val="성남"/>
      <sheetName val="성남킴스"/>
      <sheetName val="수원"/>
      <sheetName val="수원킴스"/>
      <sheetName val="순천"/>
      <sheetName val="신관"/>
      <sheetName val="신사"/>
      <sheetName val="연수"/>
      <sheetName val="오대산"/>
      <sheetName val="일산"/>
      <sheetName val="평촌2"/>
      <sheetName val="평촌"/>
      <sheetName val="평촌킴스"/>
      <sheetName val="화정킴스"/>
      <sheetName val="리스트"/>
      <sheetName val="보고서"/>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건축공사실행"/>
      <sheetName val="건축원가"/>
      <sheetName val="기본사항"/>
      <sheetName val="손익"/>
      <sheetName val="일위대가"/>
      <sheetName val="참고"/>
      <sheetName val="RV미수수익보정"/>
      <sheetName val="불균등-거치외(미수)"/>
      <sheetName val="불균등-TOP(선수)"/>
      <sheetName val="회사정보"/>
      <sheetName val="S&amp;R"/>
      <sheetName val="2공구산출내역"/>
      <sheetName val="월매출원가_"/>
      <sheetName val="지점_(2)"/>
      <sheetName val="03_12월"/>
      <sheetName val="환산"/>
      <sheetName val="해창정"/>
      <sheetName val="계정code"/>
      <sheetName val="원가최종"/>
      <sheetName val="노무비"/>
      <sheetName val="맨홀"/>
      <sheetName val="인원계획-미화"/>
      <sheetName val="기준시가"/>
      <sheetName val="Ⅰ-3"/>
      <sheetName val="기초잔액"/>
      <sheetName val="DATA"/>
      <sheetName val="데이타"/>
      <sheetName val="2004,상노임"/>
      <sheetName val="재무가정"/>
      <sheetName val="Budget 2005(DW)"/>
      <sheetName val="합천내역"/>
      <sheetName val="감가상각비"/>
      <sheetName val="서식시트"/>
      <sheetName val="10.31"/>
      <sheetName val="H_BS"/>
      <sheetName val="DB"/>
      <sheetName val="내역서"/>
      <sheetName val="단기차입금(200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2005년평촌점"/>
      <sheetName val="과"/>
      <sheetName val="내역"/>
      <sheetName val="Menu_Link"/>
      <sheetName val="인원계획-미화"/>
      <sheetName val="CT"/>
      <sheetName val="노무비"/>
      <sheetName val="Summary"/>
      <sheetName val="CT "/>
      <sheetName val="1)기본서식"/>
      <sheetName val="임대관리수익"/>
      <sheetName val="S&amp;R"/>
      <sheetName val="이름표"/>
      <sheetName val="단기차입금(200006)"/>
      <sheetName val="기준시가"/>
      <sheetName val="6-3(2)호_"/>
      <sheetName val="일위대가"/>
      <sheetName val="Baby일위대가"/>
      <sheetName val="단가조사"/>
      <sheetName val="업무분장 "/>
      <sheetName val="제조원가"/>
      <sheetName val="SALE"/>
      <sheetName val="당년매출집계"/>
      <sheetName val="예산실적비교"/>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amp;R"/>
      <sheetName val="보고서"/>
      <sheetName val="기준1"/>
      <sheetName val="Risk-a"/>
      <sheetName val="FA"/>
      <sheetName val="Sheet3"/>
      <sheetName val="재원조달(월)"/>
      <sheetName val="CAPEX"/>
      <sheetName val="취득"/>
      <sheetName val="FCF_월"/>
      <sheetName val="FCF_연 "/>
      <sheetName val="IS_월"/>
      <sheetName val="IS_연"/>
      <sheetName val="CF_월"/>
      <sheetName val="CF_연"/>
      <sheetName val="BS_월"/>
      <sheetName val="BS_연"/>
      <sheetName val="RE"/>
      <sheetName val="계약(신)"/>
      <sheetName val="임대조건(신)"/>
      <sheetName val="임대수익(신)"/>
      <sheetName val="관리수익(신)"/>
      <sheetName val="보증금(신)"/>
      <sheetName val="수익(하)"/>
      <sheetName val="계약(도움)"/>
      <sheetName val="임대조건(도움)"/>
      <sheetName val="임대수익(도움)"/>
      <sheetName val="관리수익(도움)"/>
      <sheetName val="보증금(도움)"/>
      <sheetName val="수익_기타"/>
      <sheetName val="Opex"/>
      <sheetName val="감가"/>
      <sheetName val="TAX"/>
      <sheetName val="재원조달(월) "/>
      <sheetName val="재원조달(연간) "/>
      <sheetName val="보유세"/>
      <sheetName val="매각가"/>
      <sheetName val="임대중개수수료"/>
      <sheetName val="신원(신맥)"/>
      <sheetName val="실비정산"/>
      <sheetName val="공실수도(신)"/>
      <sheetName val="비용(실사)"/>
      <sheetName val="재원조달(연간)"/>
      <sheetName val="매각가 (2)"/>
      <sheetName val="재무가정"/>
      <sheetName val="매매증권사"/>
      <sheetName val="뮤추얼펀드외~"/>
      <sheetName val="리츠"/>
      <sheetName val="지분법(AK) (2)"/>
      <sheetName val="한일자야(감액손실) (2)"/>
      <sheetName val="인원계획-미화"/>
      <sheetName val="빌딩리스트"/>
      <sheetName val="빌딩경영보고서"/>
      <sheetName val="FCF_연_"/>
      <sheetName val="재원조달(월)_"/>
      <sheetName val="재원조달(연간)_"/>
      <sheetName val="매각가_(2)"/>
      <sheetName val="지분법(AK)_(2)"/>
      <sheetName val="한일자야(감액손실)_(2)"/>
      <sheetName val="노무비"/>
      <sheetName val="fm(8.4도움빌딩제외)"/>
      <sheetName val="이자"/>
      <sheetName val="변제"/>
      <sheetName val="상환대상"/>
      <sheetName val="2공구산출내역"/>
      <sheetName val="대차대조표"/>
      <sheetName val="차액보증"/>
      <sheetName val="10월 (2)"/>
      <sheetName val="종합-임현"/>
      <sheetName val="목록"/>
      <sheetName val="중기"/>
      <sheetName val="FCF_연_1"/>
      <sheetName val="재원조달(월)_1"/>
      <sheetName val="재원조달(연간)_1"/>
      <sheetName val="매각가_(2)1"/>
      <sheetName val="Assumption"/>
      <sheetName val="anaysis_sheet"/>
      <sheetName val="내역"/>
      <sheetName val="Sheet1"/>
      <sheetName val="빌딩코드"/>
      <sheetName val="예산(한화)"/>
      <sheetName val="일위대가"/>
      <sheetName val="10월"/>
      <sheetName val="회사정보"/>
      <sheetName val="노임"/>
      <sheetName val="내역1"/>
      <sheetName val="지분법(AK)_(2)1"/>
      <sheetName val="한일자야(감액손실)_(2)1"/>
      <sheetName val="fm(8_4도움빌딩제외)"/>
      <sheetName val="表紙"/>
      <sheetName val="FCF_연_2"/>
      <sheetName val="재원조달(월)_2"/>
      <sheetName val="재원조달(연간)_2"/>
      <sheetName val="매각가_(2)2"/>
      <sheetName val="지분법(AK)_(2)2"/>
      <sheetName val="한일자야(감액손실)_(2)2"/>
      <sheetName val="fm(8_4도움빌딩제외)1"/>
      <sheetName val="10월_(2)"/>
      <sheetName val="현금"/>
      <sheetName val="현장"/>
      <sheetName val="기본사항"/>
      <sheetName val="과"/>
      <sheetName val="시설물일위"/>
      <sheetName val="N賃率-職"/>
      <sheetName val="을-ATYPE"/>
      <sheetName val="Facility Information"/>
      <sheetName val="General"/>
      <sheetName val="Training"/>
      <sheetName val="Risk"/>
      <sheetName val="People"/>
      <sheetName val="Instructions"/>
      <sheetName val="Quality"/>
      <sheetName val="Ⅰ-3"/>
      <sheetName val="Area"/>
      <sheetName val="운동장 (2)"/>
      <sheetName val="Template"/>
      <sheetName val="업무용유지비실적"/>
      <sheetName val="공통가설"/>
      <sheetName val="손익분석"/>
      <sheetName val="Utility Usage엠닷컴 26"/>
      <sheetName val="물량"/>
      <sheetName val="인건비"/>
      <sheetName val="품목명"/>
      <sheetName val="Sheet11"/>
      <sheetName val="#REF"/>
      <sheetName val="Label"/>
      <sheetName val="FCF_연_3"/>
      <sheetName val="재원조달(월)_3"/>
      <sheetName val="재원조달(연간)_3"/>
      <sheetName val="매각가_(2)3"/>
      <sheetName val="지분법(AK)_(2)3"/>
      <sheetName val="한일자야(감액손실)_(2)3"/>
      <sheetName val="fm(8_4도움빌딩제외)2"/>
      <sheetName val="10월_(2)1"/>
      <sheetName val="Facility_Information"/>
      <sheetName val="운동장_(2)"/>
      <sheetName val="Utility_Usage엠닷컴_26"/>
      <sheetName val="1차_내역서"/>
      <sheetName val="1차 내역서"/>
      <sheetName val="인원배정"/>
      <sheetName val="인원산출"/>
      <sheetName val="운영"/>
      <sheetName val="장비"/>
      <sheetName val="근무"/>
      <sheetName val="견적"/>
      <sheetName val="견적서"/>
      <sheetName val="견적내역"/>
      <sheetName val="산출기준"/>
      <sheetName val="인건"/>
      <sheetName val="소모품"/>
      <sheetName val="제-노임"/>
      <sheetName val="설직재-1"/>
      <sheetName val="제직재"/>
      <sheetName val="범어"/>
      <sheetName val="Walsei"/>
      <sheetName val="Rent Roll"/>
      <sheetName val="Budget"/>
      <sheetName val="요약&amp;결과"/>
      <sheetName val="운영비용"/>
      <sheetName val="유지관리비"/>
      <sheetName val="민원대장(11월)"/>
      <sheetName val="공장"/>
      <sheetName val="6.임대료등미수현황"/>
      <sheetName val="공사설계서"/>
      <sheetName val="시설장비"/>
      <sheetName val="주요가정"/>
      <sheetName val="Data&amp;Result"/>
      <sheetName val="ASP"/>
      <sheetName val="민감도"/>
      <sheetName val="I一般比"/>
      <sheetName val="운영수입"/>
      <sheetName val="Initial Input Variable"/>
      <sheetName val="저수조"/>
      <sheetName val="DATA"/>
      <sheetName val="공사기본내용입력"/>
      <sheetName val="6_임대료등미수현황"/>
      <sheetName val="대차대조-보고"/>
      <sheetName val="Summary"/>
      <sheetName val="Table(전)"/>
      <sheetName val="4-3. 냉수 사용량"/>
      <sheetName val="4-4. 온수 사용량"/>
      <sheetName val="4-5. 상하수도 사용량"/>
      <sheetName val="분류"/>
      <sheetName val="1.物件概要"/>
      <sheetName val="건물대사"/>
      <sheetName val="주차수익-back(N동)"/>
      <sheetName val="근로시간분석 (최저임금)"/>
      <sheetName val="임대관리수익"/>
      <sheetName val="지급어음(일별)"/>
      <sheetName val="계수원본(99.2.28)"/>
      <sheetName val="경비"/>
      <sheetName val="0820収益計上"/>
      <sheetName val="ﾘｽﾄ"/>
      <sheetName val="재료"/>
      <sheetName val="설치자재"/>
      <sheetName val="업무분장 "/>
      <sheetName val="월할경비"/>
      <sheetName val="익월작업계힉"/>
      <sheetName val="도급자재"/>
      <sheetName val="検針表"/>
      <sheetName val="시재"/>
      <sheetName val="basic_info"/>
      <sheetName val="빙100장비사양"/>
      <sheetName val="인사자료총집계"/>
      <sheetName val="물가변동대가세부내역서"/>
      <sheetName val="단위단가"/>
      <sheetName val="Front Cover"/>
      <sheetName val="고정비"/>
      <sheetName val="CT "/>
      <sheetName val="식음료"/>
      <sheetName val="상가매매0115"/>
      <sheetName val="상가임대0115"/>
      <sheetName val="table"/>
      <sheetName val="단기차입금(200006)"/>
      <sheetName val="파주문산 초안"/>
      <sheetName val="단가"/>
      <sheetName val="설비단가표"/>
      <sheetName val="고정희"/>
      <sheetName val="수량산출"/>
      <sheetName val="시방서"/>
      <sheetName val="근로영수증"/>
      <sheetName val="내역서"/>
      <sheetName val="Key Dat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S&amp;R"/>
      <sheetName val="리츠"/>
      <sheetName val="Sheet11"/>
      <sheetName val="회사정보"/>
      <sheetName val="인원계획-미화"/>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리츠"/>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SCH03"/>
      <sheetName val="예산(한화)"/>
      <sheetName val="지분법(AK) (2)"/>
      <sheetName val="한일자야(감액손실) (2)"/>
      <sheetName val="Assumptions"/>
      <sheetName val="노무비"/>
      <sheetName val="Area"/>
      <sheetName val="리츠"/>
      <sheetName val="Input Screen"/>
      <sheetName val="재무가정"/>
      <sheetName val="회사정보"/>
      <sheetName val="내역서"/>
      <sheetName val="내역"/>
      <sheetName val="기본사항"/>
      <sheetName val="물량"/>
      <sheetName val="매출"/>
      <sheetName val="Front Cover"/>
      <sheetName val="anaysis_sheet"/>
      <sheetName val="20관리비율"/>
      <sheetName val="외주가공"/>
      <sheetName val="시설총괄"/>
      <sheetName val="Initial Input Variable"/>
      <sheetName val="Macro Codes"/>
      <sheetName val="과"/>
      <sheetName val="해외법인"/>
      <sheetName val="도급자재"/>
      <sheetName val="소비자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리츠"/>
      <sheetName val="예산(한화)"/>
      <sheetName val="Front Cover"/>
      <sheetName val="노무비"/>
      <sheetName val="지분법(AK) (2)"/>
      <sheetName val="한일자야(감액손실) (2)"/>
      <sheetName val="조직및_인원계획"/>
      <sheetName val="견적내역-미화_(2)"/>
      <sheetName val="견적내역-보안_(2)"/>
      <sheetName val="Front_Cover"/>
      <sheetName val="시설장비"/>
      <sheetName val="재무가정"/>
      <sheetName val="부관맨홀조서"/>
      <sheetName val="S&amp;R"/>
      <sheetName val="차액보증"/>
      <sheetName val="대차대조표"/>
      <sheetName val="2공구산출내역"/>
      <sheetName val="Data&amp;Result"/>
      <sheetName val="현금"/>
      <sheetName val="0103"/>
      <sheetName val="영업.일1"/>
      <sheetName val="10월 (2)"/>
      <sheetName val="종합-임현"/>
      <sheetName val="내역1"/>
      <sheetName val="주요기준"/>
      <sheetName val="Sheet1"/>
      <sheetName val="목록"/>
      <sheetName val="중기"/>
      <sheetName val="인원계획_미화"/>
      <sheetName val="Training"/>
      <sheetName val="Facility Information"/>
      <sheetName val="General"/>
      <sheetName val="Instructions"/>
      <sheetName val="People"/>
      <sheetName val="Quality"/>
      <sheetName val="Risk"/>
      <sheetName val="이우(hd)"/>
      <sheetName val="분양금할인"/>
      <sheetName val="서식시트"/>
      <sheetName val="현장"/>
      <sheetName val="기본사항"/>
      <sheetName val="공사설계서"/>
      <sheetName val="Template"/>
      <sheetName val="07-Bud"/>
      <sheetName val="단가"/>
      <sheetName val="부동산세금"/>
      <sheetName val="현장관리비"/>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업무용유지비실적"/>
      <sheetName val="백호우계수"/>
      <sheetName val="이자율"/>
      <sheetName val="유림골조"/>
      <sheetName val="한국오키"/>
      <sheetName val="노임"/>
      <sheetName val="유가증권미수"/>
      <sheetName val="2.Summary-cash"/>
      <sheetName val="2.대외공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Assumptions"/>
      <sheetName val="갑지(추정)"/>
      <sheetName val="분당임차변경"/>
      <sheetName val="Sheet11"/>
      <sheetName val="직노"/>
      <sheetName val="받을어음"/>
      <sheetName val="Initial Input Variable"/>
      <sheetName val="Development"/>
      <sheetName val="Income"/>
      <sheetName val="Total"/>
      <sheetName val="001"/>
      <sheetName val="Customer Databas"/>
      <sheetName val="공사개요"/>
      <sheetName val="MOTOR"/>
      <sheetName val="일위대가목차"/>
      <sheetName val="익월작업계힉"/>
      <sheetName val="2004SS"/>
      <sheetName val="2004CJ"/>
      <sheetName val="ASP"/>
      <sheetName val="1 Cash Flow Analysis"/>
      <sheetName val="Initial_Input_Variable"/>
      <sheetName val="Customer_Databas"/>
      <sheetName val="Budget 2005(DW)"/>
      <sheetName val="Area"/>
      <sheetName val="2. Summary-cash"/>
      <sheetName val="Id"/>
      <sheetName val="Summary"/>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Intro2"/>
      <sheetName val="품셈TABLE"/>
      <sheetName val="Parameter"/>
      <sheetName val="1Month+Sheet2!"/>
      <sheetName val="Expense Schedule (4)"/>
      <sheetName val="D1300 자삽"/>
      <sheetName val="Journal"/>
      <sheetName val="1.0"/>
      <sheetName val="로담코총괄제안견적3"/>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1ST"/>
      <sheetName val="controll"/>
      <sheetName val="가격표"/>
      <sheetName val="VA요약(가정 및 배당)"/>
      <sheetName val="건물대사"/>
      <sheetName val="Macro1"/>
      <sheetName val="OPREV(대한)"/>
      <sheetName val="세금과공과"/>
      <sheetName val="賃料等一覧"/>
      <sheetName val="본관내역서"/>
      <sheetName val="7 (2)"/>
      <sheetName val=" 토목 처리장도급내역서 "/>
      <sheetName val="국내"/>
      <sheetName val="3본사"/>
      <sheetName val="Project_CF"/>
      <sheetName val="직원자료입력"/>
      <sheetName val="최종"/>
      <sheetName val="공통"/>
      <sheetName val="소비자가"/>
      <sheetName val="99판매상세"/>
      <sheetName val="nr030112"/>
      <sheetName val="제품수불"/>
      <sheetName val="외화금융(97-03)"/>
      <sheetName val="산업은행 경영지표"/>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Assumption"/>
      <sheetName val="Occupancy Scenario"/>
      <sheetName val="품명"/>
      <sheetName val="종합"/>
      <sheetName val="점코드"/>
      <sheetName val="산수(hd-0)"/>
      <sheetName val="산수(hd-1)"/>
      <sheetName val="Cash Flow"/>
      <sheetName val="Source"/>
      <sheetName val="임대료산정(자동계산)"/>
      <sheetName val="수지차(년)"/>
      <sheetName val="인건비"/>
      <sheetName val="FX Rates"/>
      <sheetName val=" 견적서"/>
      <sheetName val="argl(1)"/>
      <sheetName val="Baby일위대가"/>
      <sheetName val="설-원가"/>
      <sheetName val="설치자재"/>
      <sheetName val="단중"/>
      <sheetName val="개요"/>
      <sheetName val="입력변수"/>
      <sheetName val="원가계산서"/>
      <sheetName val="간접경상비"/>
      <sheetName val="3.빌딩손익_6년차"/>
      <sheetName val="3.4.수도광열비"/>
      <sheetName val="내역서"/>
      <sheetName val="101동"/>
      <sheetName val="손익"/>
      <sheetName val="일위대가목록"/>
      <sheetName val="Customer_Databas1"/>
      <sheetName val="Initial_Input_Variable1"/>
      <sheetName val="1_Cash_Flow_Analysis"/>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수목단가"/>
      <sheetName val="자재단가"/>
      <sheetName val="노임단가"/>
      <sheetName val="Work"/>
      <sheetName val="tsuga"/>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설직재-1"/>
      <sheetName val="효용적수"/>
      <sheetName val="관리부동산 목록"/>
      <sheetName val="범어"/>
      <sheetName val="_토목_처리장도급내역서_"/>
      <sheetName val="7_(2)"/>
      <sheetName val="2_Summary-cash"/>
      <sheetName val="산업은행_경영지표"/>
      <sheetName val="Cash_Flow"/>
      <sheetName val="관리부동산_목록"/>
      <sheetName val="명세"/>
      <sheetName val="Convert"/>
      <sheetName val="첨부1"/>
      <sheetName val="이익잉여금처분계산서"/>
      <sheetName val="재무상태변동표"/>
      <sheetName val="제조원가명세서"/>
      <sheetName val="현금흐름표"/>
      <sheetName val="대림경상68억"/>
      <sheetName val="DATA"/>
      <sheetName val="임대현황"/>
      <sheetName val="3.총괄_Fund"/>
      <sheetName val="주차"/>
      <sheetName val="불법주정차"/>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Front_Cover2"/>
      <sheetName val="지분법(AK)_(2)1"/>
      <sheetName val="한일자야(감액손실)_(2)1"/>
      <sheetName val="영업_일11"/>
      <sheetName val="10월_(2)1"/>
      <sheetName val="Facility_Information1"/>
      <sheetName val="조직도 빽업"/>
      <sheetName val="비용산식"/>
      <sheetName val="임대수익"/>
      <sheetName val="base"/>
      <sheetName val="Label"/>
      <sheetName val="명세표참조"/>
      <sheetName val="과"/>
      <sheetName val="임대관리수익"/>
      <sheetName val="Assumpt(Grand Hotel)"/>
      <sheetName val="경비"/>
      <sheetName val="물량"/>
      <sheetName val="의뢰건 (2)"/>
      <sheetName val="을-ATYPE"/>
      <sheetName val="물가변동대가세부내역서"/>
      <sheetName val="카"/>
      <sheetName val="検針表"/>
      <sheetName val="3.공통공사대비"/>
      <sheetName val="단위단가"/>
      <sheetName val="투찰추정"/>
      <sheetName val="추원 상가(1)"/>
      <sheetName val="选择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매입세안분"/>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A1"/>
      <sheetName val="계수원본(99.2.28)"/>
      <sheetName val="가정"/>
      <sheetName val="대차"/>
      <sheetName val="인원계획-미화"/>
      <sheetName val="월별"/>
      <sheetName val="1)기본서식"/>
      <sheetName val="환산매출"/>
      <sheetName val="분당임차변경"/>
      <sheetName val="과"/>
      <sheetName val="6-3(2)호_"/>
      <sheetName val="03_12월"/>
      <sheetName val="계수원본(99_2_28)"/>
      <sheetName val="노임"/>
      <sheetName val="목표"/>
      <sheetName val="①매출"/>
      <sheetName val="해창정"/>
      <sheetName val="서식시트"/>
      <sheetName val="Assumption"/>
      <sheetName val="CF_RE type"/>
      <sheetName val="공사개요"/>
      <sheetName val="페이지전경"/>
      <sheetName val="1페이지보고"/>
      <sheetName val="청과"/>
      <sheetName val="개요"/>
      <sheetName val="데이터유효성목록"/>
      <sheetName val="수정시산표"/>
      <sheetName val="Macro1"/>
      <sheetName val="차수"/>
      <sheetName val="대차대조표"/>
      <sheetName val="기본사항"/>
      <sheetName val="기초자료"/>
      <sheetName val="연차1"/>
      <sheetName val="COBS"/>
      <sheetName val="원판매입"/>
      <sheetName val="Control Sheet"/>
      <sheetName val="금액집계(리포트)"/>
      <sheetName val="지점장"/>
      <sheetName val="고정자산"/>
      <sheetName val="외화금융(97-03)"/>
      <sheetName val="Control_Sheet"/>
      <sheetName val="리츠"/>
      <sheetName val="Sheet6"/>
      <sheetName val="코드"/>
      <sheetName val="예산(한화)"/>
      <sheetName val="MAIN"/>
      <sheetName val="입찰"/>
      <sheetName val="현경"/>
      <sheetName val="CT "/>
      <sheetName val="CT"/>
      <sheetName val="단기차입금(200006)"/>
      <sheetName val="Summary"/>
      <sheetName val="기준시가"/>
      <sheetName val="내역서"/>
      <sheetName val="WPL"/>
      <sheetName val="월할경비"/>
      <sheetName val="Sheet11"/>
      <sheetName val="24.보증금(전신전화가입권)"/>
      <sheetName val="96결산안(반기)"/>
      <sheetName val="단가"/>
      <sheetName val="A4공장"/>
      <sheetName val="정산표"/>
    </sheetNames>
    <sheetDataSet>
      <sheetData sheetId="0" refreshError="1">
        <row r="6">
          <cell r="C6" t="str">
            <v>시대종합건설㈜</v>
          </cell>
        </row>
        <row r="7">
          <cell r="C7" t="str">
            <v>장하림.이종선</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예산(한화)"/>
      <sheetName val="인원계획-미화"/>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빌딩코드"/>
    </sheetNames>
    <sheetDataSet>
      <sheetData sheetId="0">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Index"/>
      <sheetName val="보고서"/>
      <sheetName val="FCF_연(별첨4)"/>
      <sheetName val="S&amp;R"/>
      <sheetName val="기타제세공과"/>
      <sheetName val="FA"/>
      <sheetName val="매각시AMC수수료"/>
      <sheetName val="자본조달구조의확정"/>
      <sheetName val="계약현황(시그마)"/>
      <sheetName val="Rent Roll"/>
      <sheetName val="관리수익"/>
      <sheetName val="임대수익"/>
      <sheetName val="보증금"/>
      <sheetName val="CAPEX(별첨1)"/>
      <sheetName val="취득(별첨2)"/>
      <sheetName val="FCF_월(별첨3)"/>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
      <sheetName val="임대현황(냉동창고)"/>
      <sheetName val="인원계획-미화"/>
      <sheetName val="회사정보"/>
      <sheetName val="빌딩코드"/>
      <sheetName val="퇴직급여충당금12.31"/>
      <sheetName val="리츠"/>
      <sheetName val="예산(한화)"/>
      <sheetName val="96시"/>
      <sheetName val="요약&amp;결과"/>
      <sheetName val="목록"/>
      <sheetName val="중기"/>
      <sheetName val="본관내역서"/>
    </sheetNames>
    <sheetDataSet>
      <sheetData sheetId="0"/>
      <sheetData sheetId="1"/>
      <sheetData sheetId="2"/>
      <sheetData sheetId="3"/>
      <sheetData sheetId="4">
        <row r="34">
          <cell r="F34">
            <v>4.0000000000000002E-4</v>
          </cell>
        </row>
        <row r="35">
          <cell r="F35">
            <v>2.0000000000000001E-4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대장"/>
      <sheetName val="급여기준"/>
      <sheetName val="개인명세서"/>
      <sheetName val="익월작업계힉"/>
      <sheetName val="issued"/>
      <sheetName val="인원계획-미화"/>
      <sheetName val="급여계산서_결과"/>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
      <sheetName val="중기"/>
      <sheetName val="시간"/>
      <sheetName val="목록"/>
      <sheetName val="산근"/>
      <sheetName val="이식"/>
      <sheetName val="중기운반"/>
      <sheetName val="시험비"/>
      <sheetName val="투입대수"/>
      <sheetName val="투입시간"/>
      <sheetName val="롯데양식"/>
      <sheetName val="견적갑-식재"/>
      <sheetName val="견적갑-시설물"/>
      <sheetName val="입찰시설-1"/>
      <sheetName val="입찰시설-2"/>
      <sheetName val="입찰시설-3"/>
      <sheetName val="비교표"/>
      <sheetName val="계약내역"/>
      <sheetName val="입찰식재"/>
      <sheetName val="제출일위"/>
      <sheetName val="인원계획-미화"/>
      <sheetName val="예산(한화)"/>
      <sheetName val="본관내역서"/>
      <sheetName val="종배수관면벽구"/>
      <sheetName val="노임"/>
      <sheetName val="자재"/>
      <sheetName val="데이타"/>
      <sheetName val="식재인부"/>
      <sheetName val="갑지(추정)"/>
      <sheetName val="Sheet5"/>
      <sheetName val="입찰안"/>
      <sheetName val="단가산출(00d)"/>
      <sheetName val="97년 추정"/>
      <sheetName val="자금운용계획표"/>
      <sheetName val="견적공통"/>
      <sheetName val="일위대가표"/>
      <sheetName val="101동"/>
      <sheetName val="BSD (2)"/>
      <sheetName val="BSD _2_"/>
      <sheetName val="산출내역서집계표"/>
      <sheetName val="남양내역"/>
      <sheetName val="실행(1)"/>
      <sheetName val="Total"/>
      <sheetName val="조명율표"/>
      <sheetName val="지질조사"/>
      <sheetName val="조명일위"/>
      <sheetName val="별표 "/>
      <sheetName val="노임단가"/>
      <sheetName val="4차원가계산서"/>
      <sheetName val="입찰"/>
      <sheetName val="현경"/>
      <sheetName val="실행"/>
      <sheetName val="일위대가"/>
      <sheetName val="1.취수장"/>
      <sheetName val="6. 안전관리비"/>
      <sheetName val="집계표"/>
      <sheetName val="리츠"/>
      <sheetName val="노무비"/>
      <sheetName val="빌딩코드"/>
      <sheetName val="S&amp;R"/>
      <sheetName val="주소록"/>
      <sheetName val="수정시산표"/>
      <sheetName val="건축내역"/>
      <sheetName val="DB"/>
      <sheetName val="알맹이"/>
      <sheetName val="익월작업계힉"/>
      <sheetName val="2공구산출내역"/>
      <sheetName val="SULKEA"/>
      <sheetName val="토공집계표"/>
      <sheetName val="공용시설내역"/>
      <sheetName val="변경내역"/>
      <sheetName val="급여대장"/>
      <sheetName val="상가매매0115"/>
      <sheetName val="상가임대0115"/>
      <sheetName val="Sheet4"/>
      <sheetName val="방수"/>
      <sheetName val="CTEMCOST"/>
      <sheetName val="부대대비"/>
      <sheetName val="냉연집계"/>
      <sheetName val="에어샵공사"/>
      <sheetName val="명세"/>
      <sheetName val="위스키3"/>
      <sheetName val="주류전체2"/>
      <sheetName val="96시"/>
      <sheetName val="#REF"/>
      <sheetName val="Sheet1"/>
      <sheetName val="10월 (2)"/>
      <sheetName val="종합-임현"/>
      <sheetName val="차액보증"/>
      <sheetName val="조직"/>
      <sheetName val="내역서"/>
      <sheetName val="내역"/>
      <sheetName val="EX-외상(06)"/>
      <sheetName val="97년_추정"/>
      <sheetName val="BSD_(2)"/>
      <sheetName val="BSD__2_"/>
      <sheetName val="별표_"/>
      <sheetName val="1_취수장"/>
      <sheetName val="6__안전관리비"/>
      <sheetName val="10월_(2)"/>
      <sheetName val="管理見積(ｶﾅｻﾞﾜ)"/>
      <sheetName val="지분법(AK) (2)"/>
      <sheetName val="한일자야(감액손실) (2)"/>
      <sheetName val="회사정보"/>
      <sheetName val="단기차입금(200006)"/>
      <sheetName val="6호기"/>
      <sheetName val="기본단가표"/>
      <sheetName val="2002하반기노임기준"/>
      <sheetName val="세부내역"/>
      <sheetName val="전체"/>
      <sheetName val="삭제금지단가"/>
      <sheetName val="기초일위"/>
      <sheetName val="실행내역"/>
      <sheetName val="단가일람"/>
      <sheetName val="조경일람"/>
      <sheetName val="품셈TABLE"/>
      <sheetName val="마산월령동골조물량변경"/>
      <sheetName val="을"/>
      <sheetName val="16-1"/>
      <sheetName val="공사비산출내역"/>
      <sheetName val="등록자료"/>
      <sheetName val="조적"/>
      <sheetName val="공통비(전체)"/>
      <sheetName val="물량표"/>
      <sheetName val="총괄표"/>
      <sheetName val="견적"/>
      <sheetName val="Sheet6"/>
      <sheetName val="견적대비표"/>
      <sheetName val="최종견"/>
      <sheetName val="2000년1차"/>
      <sheetName val="대차"/>
      <sheetName val="PAINT"/>
      <sheetName val="#3_일위대가목록"/>
      <sheetName val="새공통"/>
      <sheetName val="토목공사"/>
      <sheetName val="경상직원"/>
      <sheetName val="코드표"/>
      <sheetName val="코드"/>
      <sheetName val="2000전체분"/>
      <sheetName val="수납장배치도"/>
      <sheetName val="기초단가"/>
      <sheetName val="공사개요"/>
      <sheetName val="수입"/>
      <sheetName val="월별수입"/>
      <sheetName val="총괄갑 "/>
      <sheetName val="지급자재"/>
      <sheetName val="토목"/>
      <sheetName val="주요기준"/>
      <sheetName val="자재단가"/>
      <sheetName val="Daily Banking"/>
      <sheetName val="청구및회입"/>
      <sheetName val="Quality"/>
      <sheetName val="People"/>
      <sheetName val="Risk"/>
      <sheetName val="Training"/>
      <sheetName val="General"/>
      <sheetName val="Instructions"/>
      <sheetName val="업무용유지비실적"/>
      <sheetName val="한국오키"/>
      <sheetName val="N賃率-職"/>
      <sheetName val="노원열병합  건축공사기성내역서"/>
      <sheetName val="일반부표"/>
      <sheetName val="시중노임단가"/>
      <sheetName val="터파기및재료"/>
      <sheetName val="직노"/>
      <sheetName val="공기압축기실"/>
      <sheetName val="장비내역"/>
      <sheetName val="앉음벽 (2)"/>
      <sheetName val="변경일위"/>
      <sheetName val="자료"/>
      <sheetName val="중연"/>
      <sheetName val="잡비"/>
      <sheetName val="98지급계획"/>
      <sheetName val="賃料等一覧"/>
      <sheetName val="전기공사"/>
      <sheetName val="분전함신설"/>
      <sheetName val="접지1종"/>
      <sheetName val="실행철강하도"/>
      <sheetName val="현장관리비 산출내역"/>
      <sheetName val="원가계산서"/>
      <sheetName val="내역서1"/>
      <sheetName val="기본사항"/>
      <sheetName val="Sheet3 (22)"/>
      <sheetName val="소방사항"/>
      <sheetName val="판매시설"/>
      <sheetName val="0103"/>
      <sheetName val="이우(hd)"/>
      <sheetName val="산수(hd-0)"/>
      <sheetName val="산수(hd-1)"/>
      <sheetName val="도근좌표"/>
      <sheetName val="단독"/>
      <sheetName val="정보"/>
      <sheetName val="BSD_(2)1"/>
      <sheetName val="6__안전관리비1"/>
      <sheetName val="97년_추정1"/>
      <sheetName val="BSD__2_1"/>
      <sheetName val="별표_1"/>
      <sheetName val="1_취수장1"/>
      <sheetName val="10월_(2)1"/>
      <sheetName val="총괄갑_"/>
      <sheetName val="지분법(AK)_(2)"/>
      <sheetName val="한일자야(감액손실)_(2)"/>
      <sheetName val="일위산출"/>
      <sheetName val="예산조서"/>
      <sheetName val="공사착공계"/>
      <sheetName val="교통대책내역"/>
      <sheetName val="대공종"/>
      <sheetName val="PROJECT BRIEF"/>
      <sheetName val="A３新収益"/>
      <sheetName val="공통가설"/>
      <sheetName val="96월별PL"/>
      <sheetName val="현금"/>
      <sheetName val="20_10_100"/>
      <sheetName val="본공사"/>
      <sheetName val="재무가정"/>
      <sheetName val="대림경상68억"/>
      <sheetName val="산출내역서"/>
      <sheetName val="아파트"/>
      <sheetName val="Sheet2"/>
      <sheetName val="충주"/>
      <sheetName val="재료집계표"/>
      <sheetName val="수량산출내역1115"/>
      <sheetName val="リスト"/>
      <sheetName val="빌딩명"/>
      <sheetName val="가격표"/>
      <sheetName val="갑지"/>
      <sheetName val="관리,공감"/>
      <sheetName val="개산공사비"/>
      <sheetName val="내역1"/>
      <sheetName val="소비자가"/>
      <sheetName val="48평단가"/>
      <sheetName val="57단가"/>
      <sheetName val="54평단가"/>
      <sheetName val="66평단가"/>
      <sheetName val="61단가"/>
      <sheetName val="89평단가"/>
      <sheetName val="84평단가"/>
      <sheetName val="2.대외공문"/>
      <sheetName val="회사전체"/>
      <sheetName val="급여대장출력"/>
      <sheetName val="사원명부_In"/>
      <sheetName val="TB-내역서"/>
      <sheetName val=" HIT-&gt;HMC 견적(3900)"/>
      <sheetName val="설계명세,97품셈"/>
      <sheetName val="건축공사실행"/>
      <sheetName val="인부신상자료"/>
      <sheetName val="전사계"/>
      <sheetName val="준공정산"/>
      <sheetName val="봉양~조차장간고하개명(신설)"/>
      <sheetName val="지급자재조서"/>
      <sheetName val="도담구내 개소별 명세"/>
      <sheetName val="금융비용"/>
      <sheetName val="RD제품개발투자비(매가)"/>
      <sheetName val="설계내역서"/>
      <sheetName val="견적내역"/>
      <sheetName val="첨"/>
      <sheetName val="간접비계산"/>
      <sheetName val="Customer Databas"/>
      <sheetName val="신청서"/>
      <sheetName val="시화점실행"/>
      <sheetName val="건축원가"/>
      <sheetName val="수리결과"/>
      <sheetName val="支払明細"/>
      <sheetName val="기본일위"/>
      <sheetName val="1차 내역서"/>
      <sheetName val="내역서2안"/>
      <sheetName val="물량내역서"/>
      <sheetName val="수목표준대가"/>
      <sheetName val="PI"/>
      <sheetName val="현장관리비"/>
      <sheetName val="기초목"/>
      <sheetName val="database"/>
      <sheetName val="현장경비"/>
      <sheetName val="A"/>
      <sheetName val="Sheet1 (2)"/>
      <sheetName val="금액내역서"/>
      <sheetName val="기초공"/>
      <sheetName val="기둥(원형)"/>
      <sheetName val="공량산출근거서"/>
      <sheetName val="ELEC"/>
      <sheetName val="전익자재"/>
      <sheetName val="기존단가 (2)"/>
      <sheetName val="견적조건"/>
      <sheetName val="비용적자료"/>
      <sheetName val="중기사용료"/>
      <sheetName val="약품공급2"/>
      <sheetName val="내역서적용수량"/>
      <sheetName val="단조-노임"/>
      <sheetName val="B.중기"/>
      <sheetName val="대가목록"/>
      <sheetName val="공정증감대ㅈ표"/>
      <sheetName val="DATE"/>
      <sheetName val="MOTOR"/>
      <sheetName val="빗물받이(910-510-410)"/>
      <sheetName val="현장"/>
      <sheetName val="날개벽수량표"/>
      <sheetName val="조건"/>
      <sheetName val="우석문틀"/>
      <sheetName val="unit 4"/>
      <sheetName val="설계서"/>
    </sheetNames>
    <sheetDataSet>
      <sheetData sheetId="0">
        <row r="4">
          <cell r="D4" t="str">
            <v>철근콘크리트다짐</v>
          </cell>
        </row>
      </sheetData>
      <sheetData sheetId="1" refreshError="1">
        <row r="3">
          <cell r="O3" t="str">
            <v>▣ 산출근거(조경/토목) 목록</v>
          </cell>
        </row>
        <row r="4">
          <cell r="D4" t="str">
            <v>철근콘크리트다짐</v>
          </cell>
          <cell r="E4">
            <v>1</v>
          </cell>
          <cell r="F4" t="str">
            <v>m3</v>
          </cell>
          <cell r="G4">
            <v>264</v>
          </cell>
          <cell r="H4">
            <v>264</v>
          </cell>
        </row>
        <row r="5">
          <cell r="D5" t="str">
            <v>불도저(무한궤도)19Ton</v>
          </cell>
          <cell r="E5">
            <v>56299</v>
          </cell>
          <cell r="F5">
            <v>15657</v>
          </cell>
          <cell r="G5">
            <v>17353</v>
          </cell>
          <cell r="H5">
            <v>23289</v>
          </cell>
        </row>
        <row r="6">
          <cell r="D6" t="str">
            <v>콘크리트깨기무근구조물</v>
          </cell>
          <cell r="E6">
            <v>1</v>
          </cell>
          <cell r="F6" t="str">
            <v>m3</v>
          </cell>
          <cell r="G6">
            <v>21901</v>
          </cell>
          <cell r="H6">
            <v>21901</v>
          </cell>
        </row>
        <row r="7">
          <cell r="D7" t="str">
            <v>콘크리트깨기철근구조물</v>
          </cell>
          <cell r="E7">
            <v>1</v>
          </cell>
          <cell r="F7" t="str">
            <v>m3</v>
          </cell>
          <cell r="G7">
            <v>38081</v>
          </cell>
          <cell r="H7">
            <v>38081</v>
          </cell>
        </row>
        <row r="8">
          <cell r="D8" t="str">
            <v>유압식리퍼19Ton</v>
          </cell>
          <cell r="E8">
            <v>1027</v>
          </cell>
          <cell r="F8">
            <v>0</v>
          </cell>
          <cell r="G8">
            <v>0</v>
          </cell>
          <cell r="H8">
            <v>1027</v>
          </cell>
        </row>
        <row r="9">
          <cell r="D9" t="str">
            <v>석축쌓기찰쌓기</v>
          </cell>
          <cell r="E9">
            <v>1</v>
          </cell>
          <cell r="F9" t="str">
            <v>m2</v>
          </cell>
          <cell r="G9">
            <v>52622</v>
          </cell>
          <cell r="H9">
            <v>52622</v>
          </cell>
        </row>
        <row r="10">
          <cell r="D10" t="str">
            <v>토공규준틀설치비탈</v>
          </cell>
          <cell r="E10">
            <v>1</v>
          </cell>
          <cell r="F10" t="str">
            <v>개소</v>
          </cell>
          <cell r="G10">
            <v>20160</v>
          </cell>
          <cell r="H10">
            <v>20160</v>
          </cell>
        </row>
        <row r="11">
          <cell r="D11" t="str">
            <v>굴삭기(유압식백호)0.2m3</v>
          </cell>
          <cell r="E11">
            <v>27163</v>
          </cell>
          <cell r="F11">
            <v>2460</v>
          </cell>
          <cell r="G11">
            <v>17353</v>
          </cell>
          <cell r="H11">
            <v>7350</v>
          </cell>
        </row>
        <row r="12">
          <cell r="D12" t="str">
            <v>소할리핑암,발파암</v>
          </cell>
          <cell r="E12">
            <v>1</v>
          </cell>
          <cell r="F12" t="str">
            <v>m3</v>
          </cell>
          <cell r="G12">
            <v>1532</v>
          </cell>
          <cell r="H12">
            <v>1532</v>
          </cell>
        </row>
        <row r="13">
          <cell r="D13" t="str">
            <v>덤프운반(발파암)15Ton,L=0.291km</v>
          </cell>
          <cell r="E13">
            <v>1</v>
          </cell>
          <cell r="F13" t="str">
            <v>m3</v>
          </cell>
          <cell r="G13">
            <v>4819</v>
          </cell>
          <cell r="H13">
            <v>4819</v>
          </cell>
        </row>
        <row r="14">
          <cell r="D14" t="str">
            <v>굴삭기(유압식백호)0.4m3</v>
          </cell>
          <cell r="E14">
            <v>34118</v>
          </cell>
          <cell r="F14">
            <v>5827</v>
          </cell>
          <cell r="G14">
            <v>17353</v>
          </cell>
          <cell r="H14">
            <v>10938</v>
          </cell>
        </row>
        <row r="15">
          <cell r="D15" t="str">
            <v>절토(토사)불도저 19Ton</v>
          </cell>
          <cell r="E15">
            <v>1</v>
          </cell>
          <cell r="F15" t="str">
            <v>m3</v>
          </cell>
          <cell r="G15">
            <v>647</v>
          </cell>
          <cell r="H15">
            <v>647</v>
          </cell>
        </row>
        <row r="16">
          <cell r="D16" t="str">
            <v>절토(풍화암)불도저 19Ton</v>
          </cell>
          <cell r="E16">
            <v>1</v>
          </cell>
          <cell r="F16" t="str">
            <v>m3</v>
          </cell>
          <cell r="G16">
            <v>1176</v>
          </cell>
          <cell r="H16">
            <v>1176</v>
          </cell>
        </row>
        <row r="17">
          <cell r="D17" t="str">
            <v>굴삭기(유압식백호)0.7m3</v>
          </cell>
          <cell r="E17">
            <v>40805</v>
          </cell>
          <cell r="F17">
            <v>6798</v>
          </cell>
          <cell r="G17">
            <v>17353</v>
          </cell>
          <cell r="H17">
            <v>16654</v>
          </cell>
        </row>
        <row r="18">
          <cell r="D18" t="str">
            <v>덤프운반(토사)15Ton,L=0.5km</v>
          </cell>
          <cell r="E18">
            <v>1</v>
          </cell>
          <cell r="F18" t="str">
            <v>m3</v>
          </cell>
          <cell r="G18">
            <v>1415</v>
          </cell>
          <cell r="H18">
            <v>1415</v>
          </cell>
        </row>
        <row r="19">
          <cell r="D19" t="str">
            <v>덤프운반(토사)15Ton,L=1.0km</v>
          </cell>
          <cell r="E19">
            <v>1</v>
          </cell>
          <cell r="F19" t="str">
            <v>m3</v>
          </cell>
          <cell r="G19">
            <v>1773</v>
          </cell>
          <cell r="H19">
            <v>1773</v>
          </cell>
        </row>
        <row r="20">
          <cell r="D20" t="str">
            <v>굴삭기(유압식백호)1.0m3</v>
          </cell>
          <cell r="E20">
            <v>49219</v>
          </cell>
          <cell r="F20">
            <v>11460</v>
          </cell>
          <cell r="G20">
            <v>17353</v>
          </cell>
          <cell r="H20">
            <v>20406</v>
          </cell>
        </row>
        <row r="21">
          <cell r="D21" t="str">
            <v>순성토운반</v>
          </cell>
          <cell r="E21">
            <v>1</v>
          </cell>
          <cell r="F21" t="str">
            <v>m3</v>
          </cell>
          <cell r="G21">
            <v>8952</v>
          </cell>
          <cell r="H21">
            <v>8952</v>
          </cell>
        </row>
        <row r="22">
          <cell r="D22" t="str">
            <v>도쟈운반(리핑암)불도저 19Ton</v>
          </cell>
          <cell r="E22">
            <v>1</v>
          </cell>
          <cell r="F22" t="str">
            <v>m3</v>
          </cell>
          <cell r="G22">
            <v>549</v>
          </cell>
          <cell r="H22">
            <v>549</v>
          </cell>
        </row>
        <row r="23">
          <cell r="D23" t="str">
            <v>대형브레이커0.7m3</v>
          </cell>
          <cell r="E23">
            <v>9141</v>
          </cell>
          <cell r="F23">
            <v>0</v>
          </cell>
          <cell r="G23">
            <v>0</v>
          </cell>
          <cell r="H23">
            <v>9141</v>
          </cell>
        </row>
        <row r="24">
          <cell r="D24" t="str">
            <v>도쟈운반(토사)불도저 19Ton</v>
          </cell>
          <cell r="E24">
            <v>1</v>
          </cell>
          <cell r="F24" t="str">
            <v>m3</v>
          </cell>
          <cell r="G24">
            <v>436</v>
          </cell>
          <cell r="H24">
            <v>436</v>
          </cell>
        </row>
        <row r="25">
          <cell r="D25" t="str">
            <v>노상 (95%)</v>
          </cell>
          <cell r="E25">
            <v>1</v>
          </cell>
          <cell r="F25" t="str">
            <v>m3</v>
          </cell>
          <cell r="G25">
            <v>1122</v>
          </cell>
          <cell r="H25">
            <v>1122</v>
          </cell>
        </row>
        <row r="26">
          <cell r="D26" t="str">
            <v>대형브레이커치즐0.7m3</v>
          </cell>
          <cell r="E26">
            <v>0</v>
          </cell>
          <cell r="F26">
            <v>0</v>
          </cell>
          <cell r="G26">
            <v>0</v>
          </cell>
          <cell r="H26">
            <v>0</v>
          </cell>
        </row>
        <row r="27">
          <cell r="D27" t="str">
            <v>표토선별 및 운반</v>
          </cell>
          <cell r="E27">
            <v>1</v>
          </cell>
          <cell r="F27" t="str">
            <v>m3</v>
          </cell>
          <cell r="G27">
            <v>5697</v>
          </cell>
          <cell r="H27">
            <v>5697</v>
          </cell>
        </row>
        <row r="28">
          <cell r="D28" t="str">
            <v>단지정리불도저 19Ton</v>
          </cell>
          <cell r="E28">
            <v>1</v>
          </cell>
          <cell r="F28" t="str">
            <v>m3</v>
          </cell>
          <cell r="G28">
            <v>475</v>
          </cell>
          <cell r="H28">
            <v>475</v>
          </cell>
        </row>
        <row r="29">
          <cell r="D29" t="str">
            <v>로더(무한궤도)1.72m3</v>
          </cell>
          <cell r="E29">
            <v>50024</v>
          </cell>
          <cell r="F29">
            <v>12587</v>
          </cell>
          <cell r="G29">
            <v>17353</v>
          </cell>
          <cell r="H29">
            <v>20084</v>
          </cell>
        </row>
        <row r="30">
          <cell r="D30" t="str">
            <v>터파기(토사)인력(30%)+기계(70%)</v>
          </cell>
          <cell r="E30">
            <v>1</v>
          </cell>
          <cell r="F30" t="str">
            <v>m3</v>
          </cell>
          <cell r="G30">
            <v>3021</v>
          </cell>
          <cell r="H30">
            <v>3021</v>
          </cell>
        </row>
        <row r="31">
          <cell r="D31" t="str">
            <v>터파기(토사)기계</v>
          </cell>
          <cell r="E31">
            <v>1</v>
          </cell>
          <cell r="F31" t="str">
            <v>m3</v>
          </cell>
          <cell r="G31">
            <v>673</v>
          </cell>
          <cell r="H31">
            <v>673</v>
          </cell>
        </row>
        <row r="32">
          <cell r="D32" t="str">
            <v>로더(타이어)1.72m3</v>
          </cell>
          <cell r="E32">
            <v>43581</v>
          </cell>
          <cell r="F32">
            <v>10843</v>
          </cell>
          <cell r="G32">
            <v>17353</v>
          </cell>
          <cell r="H32">
            <v>15385</v>
          </cell>
        </row>
        <row r="33">
          <cell r="D33" t="str">
            <v>터파기(리핑암)인력(10%)+기계(90%)</v>
          </cell>
          <cell r="E33">
            <v>1</v>
          </cell>
          <cell r="F33" t="str">
            <v>m3</v>
          </cell>
          <cell r="G33">
            <v>28405</v>
          </cell>
          <cell r="H33">
            <v>28405</v>
          </cell>
        </row>
        <row r="34">
          <cell r="D34" t="str">
            <v>터파기(토사)인력</v>
          </cell>
          <cell r="E34">
            <v>1</v>
          </cell>
          <cell r="F34" t="str">
            <v>m3</v>
          </cell>
          <cell r="G34">
            <v>8910</v>
          </cell>
          <cell r="H34">
            <v>8910</v>
          </cell>
        </row>
        <row r="35">
          <cell r="D35" t="str">
            <v>모터그레이더3.6m</v>
          </cell>
          <cell r="E35">
            <v>49971</v>
          </cell>
          <cell r="F35">
            <v>13242</v>
          </cell>
          <cell r="G35">
            <v>17353</v>
          </cell>
          <cell r="H35">
            <v>19376</v>
          </cell>
        </row>
        <row r="36">
          <cell r="D36" t="str">
            <v>되메우기 및 다짐인력</v>
          </cell>
          <cell r="E36">
            <v>1</v>
          </cell>
          <cell r="F36" t="str">
            <v>m3</v>
          </cell>
          <cell r="G36">
            <v>4851</v>
          </cell>
          <cell r="H36">
            <v>4851</v>
          </cell>
        </row>
        <row r="37">
          <cell r="D37" t="str">
            <v>되메우기 및 다짐인력(10%)+기계(90%)</v>
          </cell>
          <cell r="E37">
            <v>1</v>
          </cell>
          <cell r="F37" t="str">
            <v>m3</v>
          </cell>
          <cell r="G37">
            <v>1580</v>
          </cell>
          <cell r="H37">
            <v>1580</v>
          </cell>
        </row>
        <row r="38">
          <cell r="D38" t="str">
            <v>덤프트럭15.0Ton</v>
          </cell>
          <cell r="E38">
            <v>40312</v>
          </cell>
          <cell r="F38">
            <v>15738</v>
          </cell>
          <cell r="G38">
            <v>10833</v>
          </cell>
          <cell r="H38">
            <v>13741</v>
          </cell>
        </row>
        <row r="39">
          <cell r="D39" t="str">
            <v>잔토처리인력</v>
          </cell>
          <cell r="E39">
            <v>1</v>
          </cell>
          <cell r="F39" t="str">
            <v>m3</v>
          </cell>
          <cell r="G39">
            <v>4817</v>
          </cell>
          <cell r="H39">
            <v>4817</v>
          </cell>
        </row>
        <row r="40">
          <cell r="D40" t="str">
            <v>흙채움</v>
          </cell>
          <cell r="E40">
            <v>1</v>
          </cell>
          <cell r="F40" t="str">
            <v>m3</v>
          </cell>
          <cell r="G40">
            <v>536</v>
          </cell>
          <cell r="H40">
            <v>536</v>
          </cell>
        </row>
        <row r="41">
          <cell r="D41" t="str">
            <v>매캐덤롤라(자주식)8-10Ton</v>
          </cell>
          <cell r="E41">
            <v>25989</v>
          </cell>
          <cell r="F41">
            <v>5221</v>
          </cell>
          <cell r="G41">
            <v>13291</v>
          </cell>
          <cell r="H41">
            <v>7477</v>
          </cell>
        </row>
        <row r="42">
          <cell r="D42" t="str">
            <v>보조기층포설 및 다짐T=20cm</v>
          </cell>
          <cell r="E42">
            <v>1</v>
          </cell>
          <cell r="F42" t="str">
            <v>m3</v>
          </cell>
          <cell r="G42">
            <v>2231</v>
          </cell>
          <cell r="H42">
            <v>2231</v>
          </cell>
        </row>
        <row r="43">
          <cell r="D43" t="str">
            <v>프라임코팅MC-1(75ℓ/a)</v>
          </cell>
          <cell r="E43">
            <v>1</v>
          </cell>
          <cell r="F43" t="str">
            <v>a</v>
          </cell>
          <cell r="G43">
            <v>10924</v>
          </cell>
          <cell r="H43">
            <v>10924</v>
          </cell>
        </row>
        <row r="44">
          <cell r="D44" t="str">
            <v>텐덤롤라(자주식)5-8Ton</v>
          </cell>
          <cell r="E44">
            <v>23058</v>
          </cell>
          <cell r="F44">
            <v>3418</v>
          </cell>
          <cell r="G44">
            <v>13291</v>
          </cell>
          <cell r="H44">
            <v>6349</v>
          </cell>
        </row>
        <row r="45">
          <cell r="D45" t="str">
            <v>아스콘표층포설 및 다짐#78,T=5cm</v>
          </cell>
          <cell r="E45">
            <v>1</v>
          </cell>
          <cell r="F45" t="str">
            <v>a</v>
          </cell>
          <cell r="G45">
            <v>52157</v>
          </cell>
          <cell r="H45">
            <v>52157</v>
          </cell>
        </row>
        <row r="46">
          <cell r="D46" t="str">
            <v>아스콘기층포설 및 다짐#467,T=10cm</v>
          </cell>
          <cell r="E46">
            <v>1</v>
          </cell>
          <cell r="F46" t="str">
            <v>a</v>
          </cell>
          <cell r="G46">
            <v>56095</v>
          </cell>
          <cell r="H46">
            <v>56095</v>
          </cell>
        </row>
        <row r="47">
          <cell r="D47" t="str">
            <v>텐덤롤라(자주식)8-10Ton</v>
          </cell>
          <cell r="E47">
            <v>25613</v>
          </cell>
          <cell r="F47">
            <v>4662</v>
          </cell>
          <cell r="G47">
            <v>13291</v>
          </cell>
          <cell r="H47">
            <v>7660</v>
          </cell>
        </row>
        <row r="48">
          <cell r="D48" t="str">
            <v>차선도색수동식</v>
          </cell>
          <cell r="E48">
            <v>1</v>
          </cell>
          <cell r="F48" t="str">
            <v>m2</v>
          </cell>
          <cell r="G48">
            <v>6655</v>
          </cell>
          <cell r="H48">
            <v>6655</v>
          </cell>
        </row>
        <row r="49">
          <cell r="D49" t="str">
            <v>시멘트운반40kg/포</v>
          </cell>
          <cell r="E49">
            <v>1</v>
          </cell>
          <cell r="F49" t="str">
            <v>포</v>
          </cell>
          <cell r="G49">
            <v>356</v>
          </cell>
          <cell r="H49">
            <v>356</v>
          </cell>
        </row>
        <row r="50">
          <cell r="D50" t="str">
            <v>텐덤롤라(자주식)10-14Ton</v>
          </cell>
          <cell r="E50">
            <v>27843</v>
          </cell>
          <cell r="F50">
            <v>5718</v>
          </cell>
          <cell r="G50">
            <v>13291</v>
          </cell>
          <cell r="H50">
            <v>8834</v>
          </cell>
        </row>
        <row r="51">
          <cell r="D51" t="str">
            <v>주철관운반D = 80 mm</v>
          </cell>
          <cell r="E51">
            <v>1</v>
          </cell>
          <cell r="F51" t="str">
            <v>본</v>
          </cell>
          <cell r="G51">
            <v>1059</v>
          </cell>
          <cell r="H51">
            <v>1059</v>
          </cell>
        </row>
        <row r="52">
          <cell r="D52" t="str">
            <v>주철관운반D = 100 mm</v>
          </cell>
          <cell r="E52">
            <v>1</v>
          </cell>
          <cell r="F52" t="str">
            <v>본</v>
          </cell>
          <cell r="G52">
            <v>1588</v>
          </cell>
          <cell r="H52">
            <v>1588</v>
          </cell>
        </row>
        <row r="53">
          <cell r="D53" t="str">
            <v>진동롤라(자주식)4.4Ton</v>
          </cell>
          <cell r="E53">
            <v>17696</v>
          </cell>
          <cell r="F53">
            <v>1616</v>
          </cell>
          <cell r="G53">
            <v>10833</v>
          </cell>
          <cell r="H53">
            <v>5247</v>
          </cell>
        </row>
        <row r="54">
          <cell r="D54" t="str">
            <v>주철관운반D = 200 mm</v>
          </cell>
          <cell r="E54">
            <v>1</v>
          </cell>
          <cell r="F54" t="str">
            <v>본</v>
          </cell>
          <cell r="G54">
            <v>3890</v>
          </cell>
          <cell r="H54">
            <v>3890</v>
          </cell>
        </row>
        <row r="55">
          <cell r="D55" t="str">
            <v>주철관운반D = 250 mm</v>
          </cell>
          <cell r="E55">
            <v>1</v>
          </cell>
          <cell r="F55" t="str">
            <v>본</v>
          </cell>
          <cell r="G55">
            <v>5862</v>
          </cell>
          <cell r="H55">
            <v>5862</v>
          </cell>
        </row>
        <row r="56">
          <cell r="D56" t="str">
            <v>진동롤라(자주식)10.0Ton</v>
          </cell>
          <cell r="E56">
            <v>44752</v>
          </cell>
          <cell r="F56">
            <v>8787</v>
          </cell>
          <cell r="G56">
            <v>13291</v>
          </cell>
          <cell r="H56">
            <v>22674</v>
          </cell>
        </row>
        <row r="57">
          <cell r="D57" t="str">
            <v>주철관이형관운반</v>
          </cell>
          <cell r="E57">
            <v>1</v>
          </cell>
          <cell r="F57" t="str">
            <v>Ton</v>
          </cell>
          <cell r="G57">
            <v>18264</v>
          </cell>
          <cell r="H57">
            <v>18264</v>
          </cell>
        </row>
        <row r="58">
          <cell r="D58" t="str">
            <v>아스팔트운반</v>
          </cell>
          <cell r="E58">
            <v>1</v>
          </cell>
          <cell r="F58" t="str">
            <v>D/M</v>
          </cell>
          <cell r="G58">
            <v>1781</v>
          </cell>
          <cell r="H58">
            <v>1781</v>
          </cell>
        </row>
        <row r="59">
          <cell r="D59" t="str">
            <v>타이어롤러(자주식)5-8Ton</v>
          </cell>
          <cell r="E59">
            <v>25402</v>
          </cell>
          <cell r="F59">
            <v>4475</v>
          </cell>
          <cell r="G59">
            <v>13291</v>
          </cell>
          <cell r="H59">
            <v>7636</v>
          </cell>
        </row>
        <row r="60">
          <cell r="D60" t="str">
            <v>강재거푸집제작35회</v>
          </cell>
          <cell r="E60">
            <v>1</v>
          </cell>
          <cell r="F60" t="str">
            <v>Ton</v>
          </cell>
          <cell r="G60">
            <v>43444</v>
          </cell>
          <cell r="H60">
            <v>43444</v>
          </cell>
        </row>
        <row r="61">
          <cell r="D61" t="str">
            <v>강재거푸집거치 및 해체</v>
          </cell>
          <cell r="E61">
            <v>1</v>
          </cell>
          <cell r="F61" t="str">
            <v>m2</v>
          </cell>
          <cell r="G61">
            <v>13373</v>
          </cell>
          <cell r="H61">
            <v>13373</v>
          </cell>
        </row>
        <row r="62">
          <cell r="D62" t="str">
            <v>타이어롤러(자주식)8-15Ton</v>
          </cell>
          <cell r="E62">
            <v>32511</v>
          </cell>
          <cell r="F62">
            <v>7272</v>
          </cell>
          <cell r="G62">
            <v>13291</v>
          </cell>
          <cell r="H62">
            <v>11948</v>
          </cell>
        </row>
        <row r="63">
          <cell r="D63" t="str">
            <v>강재거푸집2호용/벽체35회</v>
          </cell>
          <cell r="E63">
            <v>1</v>
          </cell>
          <cell r="F63" t="str">
            <v>m2</v>
          </cell>
          <cell r="G63">
            <v>15828</v>
          </cell>
          <cell r="H63">
            <v>15828</v>
          </cell>
        </row>
        <row r="64">
          <cell r="D64" t="str">
            <v>강재거푸집3호용/벽체35회</v>
          </cell>
          <cell r="E64">
            <v>1</v>
          </cell>
          <cell r="F64" t="str">
            <v>m2</v>
          </cell>
          <cell r="G64">
            <v>15726</v>
          </cell>
          <cell r="H64">
            <v>15726</v>
          </cell>
        </row>
        <row r="65">
          <cell r="D65" t="str">
            <v>램머80kg</v>
          </cell>
          <cell r="E65">
            <v>10439</v>
          </cell>
          <cell r="F65">
            <v>887</v>
          </cell>
          <cell r="G65">
            <v>9166</v>
          </cell>
          <cell r="H65">
            <v>386</v>
          </cell>
        </row>
        <row r="66">
          <cell r="D66" t="str">
            <v>강재거푸집(바닥및높이조절용)1호용/차도측</v>
          </cell>
          <cell r="E66">
            <v>1</v>
          </cell>
          <cell r="F66" t="str">
            <v>개소</v>
          </cell>
          <cell r="G66">
            <v>47438</v>
          </cell>
          <cell r="H66">
            <v>47438</v>
          </cell>
        </row>
        <row r="67">
          <cell r="D67" t="str">
            <v>강재거푸집(바닥및높이조절용)2호용/차도측</v>
          </cell>
          <cell r="E67">
            <v>1</v>
          </cell>
          <cell r="F67" t="str">
            <v>개소</v>
          </cell>
          <cell r="G67">
            <v>65292</v>
          </cell>
          <cell r="H67">
            <v>65292</v>
          </cell>
        </row>
        <row r="68">
          <cell r="D68" t="str">
            <v>플레이트콤펙터1.5Ton</v>
          </cell>
          <cell r="E68">
            <v>11058</v>
          </cell>
          <cell r="F68">
            <v>1383</v>
          </cell>
          <cell r="G68">
            <v>9166</v>
          </cell>
          <cell r="H68">
            <v>509</v>
          </cell>
        </row>
        <row r="69">
          <cell r="D69" t="str">
            <v>강재거푸집(바닥및높이조절용)4호용/차도측</v>
          </cell>
          <cell r="E69">
            <v>1</v>
          </cell>
          <cell r="F69" t="str">
            <v>개소</v>
          </cell>
          <cell r="G69">
            <v>95090</v>
          </cell>
          <cell r="H69">
            <v>95090</v>
          </cell>
        </row>
        <row r="70">
          <cell r="D70" t="str">
            <v>강재거푸집(바닥및높이조절용)1호용/보도측</v>
          </cell>
          <cell r="E70">
            <v>1</v>
          </cell>
          <cell r="F70" t="str">
            <v>개소</v>
          </cell>
          <cell r="G70">
            <v>43392</v>
          </cell>
          <cell r="H70">
            <v>43392</v>
          </cell>
        </row>
        <row r="71">
          <cell r="D71" t="str">
            <v>크레인(무한궤도)30Ton</v>
          </cell>
          <cell r="E71">
            <v>62613</v>
          </cell>
          <cell r="F71">
            <v>8080</v>
          </cell>
          <cell r="G71">
            <v>21416</v>
          </cell>
          <cell r="H71">
            <v>33117</v>
          </cell>
        </row>
        <row r="72">
          <cell r="D72" t="str">
            <v>중기운반비울산시청→현장,10km</v>
          </cell>
          <cell r="E72">
            <v>1</v>
          </cell>
          <cell r="F72" t="str">
            <v>식</v>
          </cell>
          <cell r="G72">
            <v>4218620</v>
          </cell>
          <cell r="H72">
            <v>4218620</v>
          </cell>
        </row>
        <row r="73">
          <cell r="D73" t="str">
            <v>CCTV촬영비270M당</v>
          </cell>
          <cell r="E73">
            <v>1</v>
          </cell>
          <cell r="F73" t="str">
            <v>회</v>
          </cell>
          <cell r="G73">
            <v>805128</v>
          </cell>
          <cell r="H73">
            <v>805128</v>
          </cell>
        </row>
        <row r="74">
          <cell r="D74" t="str">
            <v>크레인(트럭)10Ton</v>
          </cell>
          <cell r="E74">
            <v>46057</v>
          </cell>
          <cell r="F74">
            <v>3431</v>
          </cell>
          <cell r="G74">
            <v>21416</v>
          </cell>
          <cell r="H74">
            <v>21210</v>
          </cell>
        </row>
        <row r="75">
          <cell r="D75" t="str">
            <v>마사토부설 및 다짐인력(20%)+기계(80%)</v>
          </cell>
          <cell r="E75">
            <v>1</v>
          </cell>
          <cell r="F75" t="str">
            <v>m3</v>
          </cell>
          <cell r="G75">
            <v>17944</v>
          </cell>
          <cell r="H75">
            <v>17944</v>
          </cell>
        </row>
        <row r="76">
          <cell r="D76" t="str">
            <v>표면다짐</v>
          </cell>
          <cell r="E76">
            <v>1</v>
          </cell>
          <cell r="F76" t="str">
            <v>m2</v>
          </cell>
          <cell r="G76">
            <v>162</v>
          </cell>
          <cell r="H76">
            <v>162</v>
          </cell>
        </row>
        <row r="77">
          <cell r="D77" t="str">
            <v>크레인(트럭)15Ton</v>
          </cell>
          <cell r="E77">
            <v>56943</v>
          </cell>
          <cell r="F77">
            <v>4217</v>
          </cell>
          <cell r="G77">
            <v>21416</v>
          </cell>
          <cell r="H77">
            <v>31310</v>
          </cell>
        </row>
        <row r="78">
          <cell r="D78" t="str">
            <v>쇄석부설 및 다짐(맹암거용)φ25-50mm</v>
          </cell>
          <cell r="E78">
            <v>1</v>
          </cell>
          <cell r="F78" t="str">
            <v>m3</v>
          </cell>
          <cell r="G78">
            <v>20672</v>
          </cell>
          <cell r="H78">
            <v>20672</v>
          </cell>
        </row>
        <row r="79">
          <cell r="D79" t="str">
            <v>뒷채움잡석부설 및 다짐</v>
          </cell>
          <cell r="E79">
            <v>1</v>
          </cell>
          <cell r="F79" t="str">
            <v>m3</v>
          </cell>
          <cell r="G79">
            <v>22322</v>
          </cell>
          <cell r="H79">
            <v>22322</v>
          </cell>
        </row>
        <row r="80">
          <cell r="D80" t="str">
            <v>크레인(트럭)20Ton</v>
          </cell>
          <cell r="E80">
            <v>66423</v>
          </cell>
          <cell r="F80">
            <v>4860</v>
          </cell>
          <cell r="G80">
            <v>21416</v>
          </cell>
          <cell r="H80">
            <v>40147</v>
          </cell>
        </row>
        <row r="81">
          <cell r="D81" t="str">
            <v>보조기층절취 및 운반L=1.0km</v>
          </cell>
          <cell r="E81">
            <v>1</v>
          </cell>
          <cell r="F81" t="str">
            <v>m3</v>
          </cell>
          <cell r="G81">
            <v>4529</v>
          </cell>
          <cell r="H81">
            <v>4529</v>
          </cell>
        </row>
        <row r="82">
          <cell r="D82" t="str">
            <v>다웰바 설치공</v>
          </cell>
          <cell r="E82">
            <v>1</v>
          </cell>
          <cell r="F82" t="str">
            <v>EA</v>
          </cell>
          <cell r="G82">
            <v>4912</v>
          </cell>
          <cell r="H82">
            <v>4912</v>
          </cell>
        </row>
        <row r="83">
          <cell r="D83" t="str">
            <v>크레인(트럭)30Ton</v>
          </cell>
          <cell r="E83">
            <v>69489</v>
          </cell>
          <cell r="F83">
            <v>6933</v>
          </cell>
          <cell r="G83">
            <v>21416</v>
          </cell>
          <cell r="H83">
            <v>41140</v>
          </cell>
        </row>
        <row r="84">
          <cell r="D84" t="str">
            <v>터파기(불량)준설</v>
          </cell>
          <cell r="E84">
            <v>1</v>
          </cell>
          <cell r="F84" t="str">
            <v>m3</v>
          </cell>
          <cell r="G84">
            <v>2077</v>
          </cell>
          <cell r="H84">
            <v>2077</v>
          </cell>
        </row>
        <row r="85">
          <cell r="D85" t="str">
            <v>표토제거불도저 19Ton</v>
          </cell>
          <cell r="E85">
            <v>1</v>
          </cell>
          <cell r="F85" t="str">
            <v>m2</v>
          </cell>
          <cell r="G85">
            <v>214</v>
          </cell>
          <cell r="H85">
            <v>214</v>
          </cell>
        </row>
        <row r="86">
          <cell r="D86" t="str">
            <v>리프트트럭5.0Ton</v>
          </cell>
          <cell r="E86">
            <v>20730</v>
          </cell>
          <cell r="F86">
            <v>5034</v>
          </cell>
          <cell r="G86">
            <v>10833</v>
          </cell>
          <cell r="H86">
            <v>4863</v>
          </cell>
        </row>
        <row r="87">
          <cell r="D87" t="str">
            <v>잔토처리인력(10%)+기계(90%)</v>
          </cell>
          <cell r="E87">
            <v>1</v>
          </cell>
          <cell r="F87" t="str">
            <v>m3</v>
          </cell>
          <cell r="G87">
            <v>1095</v>
          </cell>
          <cell r="H87">
            <v>1095</v>
          </cell>
        </row>
        <row r="88">
          <cell r="D88" t="str">
            <v>잔토처리인력(30%)+기계(70%)</v>
          </cell>
          <cell r="E88">
            <v>1</v>
          </cell>
          <cell r="F88" t="str">
            <v>m3</v>
          </cell>
          <cell r="G88">
            <v>2318</v>
          </cell>
          <cell r="H88">
            <v>2318</v>
          </cell>
        </row>
        <row r="89">
          <cell r="D89" t="str">
            <v>트럭트랙터및트레일러20Ton</v>
          </cell>
          <cell r="E89">
            <v>40158</v>
          </cell>
          <cell r="F89">
            <v>14868</v>
          </cell>
          <cell r="G89">
            <v>10833</v>
          </cell>
          <cell r="H89">
            <v>14457</v>
          </cell>
        </row>
        <row r="90">
          <cell r="D90" t="str">
            <v>잡석부설φ150mm이하</v>
          </cell>
          <cell r="E90">
            <v>1</v>
          </cell>
          <cell r="F90" t="str">
            <v>m3</v>
          </cell>
          <cell r="G90">
            <v>2475</v>
          </cell>
          <cell r="H90">
            <v>2475</v>
          </cell>
        </row>
        <row r="91">
          <cell r="D91" t="str">
            <v>표층포설및다짐칼라투수콘(T=10cm)</v>
          </cell>
          <cell r="E91">
            <v>1</v>
          </cell>
          <cell r="F91" t="str">
            <v>a</v>
          </cell>
          <cell r="G91">
            <v>310314</v>
          </cell>
          <cell r="H91">
            <v>310314</v>
          </cell>
        </row>
        <row r="92">
          <cell r="D92" t="str">
            <v>트럭트랙터및트레일러30Ton</v>
          </cell>
          <cell r="E92">
            <v>45826</v>
          </cell>
          <cell r="F92">
            <v>15512</v>
          </cell>
          <cell r="G92">
            <v>10833</v>
          </cell>
          <cell r="H92">
            <v>19481</v>
          </cell>
        </row>
        <row r="93">
          <cell r="D93" t="str">
            <v>표면보호공</v>
          </cell>
          <cell r="E93">
            <v>1</v>
          </cell>
          <cell r="F93" t="str">
            <v>a</v>
          </cell>
          <cell r="G93">
            <v>161122</v>
          </cell>
          <cell r="H93">
            <v>161122</v>
          </cell>
        </row>
        <row r="94">
          <cell r="D94" t="str">
            <v>점토벽돌포설 및 다짐T=6cm</v>
          </cell>
          <cell r="E94">
            <v>1</v>
          </cell>
          <cell r="F94" t="str">
            <v>a</v>
          </cell>
          <cell r="G94">
            <v>490560</v>
          </cell>
          <cell r="H94">
            <v>490560</v>
          </cell>
        </row>
        <row r="95">
          <cell r="D95" t="str">
            <v>아스팔트페이버3m</v>
          </cell>
          <cell r="E95">
            <v>44846</v>
          </cell>
          <cell r="F95">
            <v>4972</v>
          </cell>
          <cell r="G95">
            <v>17353</v>
          </cell>
          <cell r="H95">
            <v>22521</v>
          </cell>
        </row>
        <row r="96">
          <cell r="D96" t="str">
            <v>터파기(배수로)기계,불량</v>
          </cell>
          <cell r="E96">
            <v>1</v>
          </cell>
          <cell r="F96" t="str">
            <v>m3</v>
          </cell>
          <cell r="G96">
            <v>4379</v>
          </cell>
          <cell r="H96">
            <v>4379</v>
          </cell>
        </row>
        <row r="97">
          <cell r="D97" t="str">
            <v>살수</v>
          </cell>
          <cell r="E97">
            <v>1</v>
          </cell>
          <cell r="F97" t="str">
            <v>일</v>
          </cell>
          <cell r="G97">
            <v>31496</v>
          </cell>
          <cell r="H97">
            <v>31496</v>
          </cell>
        </row>
        <row r="98">
          <cell r="D98" t="str">
            <v>아스팔트디스트리뷰터3800ℓ</v>
          </cell>
          <cell r="E98">
            <v>28206</v>
          </cell>
          <cell r="F98">
            <v>7956</v>
          </cell>
          <cell r="G98">
            <v>10833</v>
          </cell>
          <cell r="H98">
            <v>9417</v>
          </cell>
        </row>
        <row r="99">
          <cell r="D99" t="str">
            <v>시험비</v>
          </cell>
          <cell r="E99">
            <v>1</v>
          </cell>
          <cell r="F99" t="str">
            <v>식</v>
          </cell>
          <cell r="G99">
            <v>50288950</v>
          </cell>
          <cell r="H99">
            <v>50288950</v>
          </cell>
        </row>
        <row r="100">
          <cell r="D100" t="str">
            <v>적사로더 1.72m3</v>
          </cell>
          <cell r="E100">
            <v>1</v>
          </cell>
          <cell r="F100" t="str">
            <v>m3</v>
          </cell>
          <cell r="G100">
            <v>1002</v>
          </cell>
          <cell r="H100">
            <v>1002</v>
          </cell>
        </row>
        <row r="101">
          <cell r="D101" t="str">
            <v>아스팔트스프레이어300ℓ</v>
          </cell>
          <cell r="E101">
            <v>12332</v>
          </cell>
          <cell r="F101">
            <v>977</v>
          </cell>
          <cell r="G101">
            <v>10833</v>
          </cell>
          <cell r="H101">
            <v>522</v>
          </cell>
        </row>
        <row r="102">
          <cell r="D102" t="str">
            <v>VR관운반</v>
          </cell>
          <cell r="E102">
            <v>1</v>
          </cell>
          <cell r="F102" t="str">
            <v>Ton</v>
          </cell>
          <cell r="G102">
            <v>21763</v>
          </cell>
          <cell r="H102">
            <v>21763</v>
          </cell>
        </row>
        <row r="103">
          <cell r="D103" t="str">
            <v>VR관운반D = 300mm</v>
          </cell>
          <cell r="E103">
            <v>1</v>
          </cell>
          <cell r="F103" t="str">
            <v>본</v>
          </cell>
          <cell r="G103">
            <v>8117</v>
          </cell>
          <cell r="H103">
            <v>8117</v>
          </cell>
        </row>
        <row r="104">
          <cell r="D104" t="str">
            <v>콘크리트캇터320-400mm</v>
          </cell>
          <cell r="E104">
            <v>18142</v>
          </cell>
          <cell r="F104">
            <v>7748</v>
          </cell>
          <cell r="G104">
            <v>9166</v>
          </cell>
          <cell r="H104">
            <v>1228</v>
          </cell>
        </row>
        <row r="105">
          <cell r="D105" t="str">
            <v>VR관운반D = 500mm</v>
          </cell>
          <cell r="E105">
            <v>1</v>
          </cell>
          <cell r="F105" t="str">
            <v>본</v>
          </cell>
          <cell r="G105">
            <v>18346</v>
          </cell>
          <cell r="H105">
            <v>18346</v>
          </cell>
        </row>
        <row r="106">
          <cell r="D106" t="str">
            <v>VR관운반D = 600mm</v>
          </cell>
          <cell r="E106">
            <v>1</v>
          </cell>
          <cell r="F106" t="str">
            <v>본</v>
          </cell>
          <cell r="G106">
            <v>23656</v>
          </cell>
          <cell r="H106">
            <v>23656</v>
          </cell>
        </row>
        <row r="107">
          <cell r="D107" t="str">
            <v>콘크리트펌프차80m3/hr</v>
          </cell>
          <cell r="E107">
            <v>120639</v>
          </cell>
          <cell r="F107">
            <v>12960</v>
          </cell>
          <cell r="G107">
            <v>10833</v>
          </cell>
          <cell r="H107">
            <v>96846</v>
          </cell>
        </row>
        <row r="108">
          <cell r="D108" t="str">
            <v>VR관운반D = 800mm</v>
          </cell>
          <cell r="E108">
            <v>1</v>
          </cell>
          <cell r="F108" t="str">
            <v>본</v>
          </cell>
          <cell r="G108">
            <v>39391</v>
          </cell>
          <cell r="H108">
            <v>39391</v>
          </cell>
        </row>
        <row r="109">
          <cell r="D109" t="str">
            <v>VR관운반D = 900mm</v>
          </cell>
          <cell r="E109">
            <v>1</v>
          </cell>
          <cell r="F109" t="str">
            <v>본</v>
          </cell>
          <cell r="G109">
            <v>43895</v>
          </cell>
          <cell r="H109">
            <v>43895</v>
          </cell>
        </row>
        <row r="110">
          <cell r="D110" t="str">
            <v>콘크리트진동기(엔진식)3.5HP</v>
          </cell>
          <cell r="E110">
            <v>1400</v>
          </cell>
          <cell r="F110">
            <v>1268</v>
          </cell>
          <cell r="G110">
            <v>0</v>
          </cell>
          <cell r="H110">
            <v>132</v>
          </cell>
        </row>
        <row r="111">
          <cell r="D111" t="str">
            <v>VR관운반D = 1200mm</v>
          </cell>
          <cell r="E111">
            <v>1</v>
          </cell>
          <cell r="F111" t="str">
            <v>본</v>
          </cell>
          <cell r="G111">
            <v>76388</v>
          </cell>
          <cell r="H111">
            <v>76388</v>
          </cell>
        </row>
        <row r="112">
          <cell r="D112" t="str">
            <v>상,하차/운반비R 8</v>
          </cell>
          <cell r="E112">
            <v>1</v>
          </cell>
          <cell r="F112" t="str">
            <v>주</v>
          </cell>
          <cell r="G112">
            <v>3215</v>
          </cell>
          <cell r="H112">
            <v>3215</v>
          </cell>
        </row>
        <row r="113">
          <cell r="D113" t="str">
            <v>공기압축기(이동식)3.5m3/min</v>
          </cell>
          <cell r="E113">
            <v>16752</v>
          </cell>
          <cell r="F113">
            <v>3791</v>
          </cell>
          <cell r="G113">
            <v>10833</v>
          </cell>
          <cell r="H113">
            <v>2128</v>
          </cell>
        </row>
        <row r="114">
          <cell r="D114" t="str">
            <v>상,하차/운반비R 15</v>
          </cell>
          <cell r="E114">
            <v>1</v>
          </cell>
          <cell r="F114" t="str">
            <v>주</v>
          </cell>
          <cell r="G114">
            <v>6474</v>
          </cell>
          <cell r="H114">
            <v>6474</v>
          </cell>
        </row>
        <row r="115">
          <cell r="D115" t="str">
            <v>상,하차/운반비R 20</v>
          </cell>
          <cell r="E115">
            <v>1</v>
          </cell>
          <cell r="F115" t="str">
            <v>주</v>
          </cell>
          <cell r="G115">
            <v>12933</v>
          </cell>
          <cell r="H115">
            <v>12933</v>
          </cell>
        </row>
        <row r="116">
          <cell r="D116" t="str">
            <v>착암기2.7m3/min</v>
          </cell>
          <cell r="E116">
            <v>607</v>
          </cell>
          <cell r="F116">
            <v>0</v>
          </cell>
          <cell r="G116">
            <v>0</v>
          </cell>
          <cell r="H116">
            <v>607</v>
          </cell>
        </row>
        <row r="117">
          <cell r="D117" t="str">
            <v>상,하차/운반비R 30</v>
          </cell>
          <cell r="E117">
            <v>1</v>
          </cell>
          <cell r="F117" t="str">
            <v>주</v>
          </cell>
          <cell r="G117">
            <v>22781</v>
          </cell>
          <cell r="H117">
            <v>22781</v>
          </cell>
        </row>
        <row r="118">
          <cell r="D118" t="str">
            <v>상,하차/운반비R 35</v>
          </cell>
          <cell r="E118">
            <v>1</v>
          </cell>
          <cell r="F118" t="str">
            <v>주</v>
          </cell>
          <cell r="G118">
            <v>25140</v>
          </cell>
          <cell r="H118">
            <v>25140</v>
          </cell>
        </row>
        <row r="119">
          <cell r="D119" t="str">
            <v>진동파일해머30Kw</v>
          </cell>
          <cell r="E119">
            <v>16418</v>
          </cell>
          <cell r="F119">
            <v>0</v>
          </cell>
          <cell r="G119">
            <v>0</v>
          </cell>
          <cell r="H119">
            <v>16418</v>
          </cell>
        </row>
        <row r="120">
          <cell r="D120" t="str">
            <v>상,하차/운반비R 45</v>
          </cell>
          <cell r="E120">
            <v>1</v>
          </cell>
          <cell r="F120" t="str">
            <v>주</v>
          </cell>
          <cell r="G120">
            <v>229313</v>
          </cell>
          <cell r="H120">
            <v>229313</v>
          </cell>
        </row>
        <row r="121">
          <cell r="D121" t="str">
            <v>상,하차/운반비R 50</v>
          </cell>
          <cell r="E121">
            <v>1</v>
          </cell>
          <cell r="F121" t="str">
            <v>주</v>
          </cell>
          <cell r="G121">
            <v>252476</v>
          </cell>
          <cell r="H121">
            <v>252476</v>
          </cell>
        </row>
        <row r="122">
          <cell r="D122" t="str">
            <v>물탱크5,500ℓ</v>
          </cell>
          <cell r="E122">
            <v>20998</v>
          </cell>
          <cell r="F122">
            <v>7027</v>
          </cell>
          <cell r="G122">
            <v>10208</v>
          </cell>
          <cell r="H122">
            <v>3763</v>
          </cell>
        </row>
        <row r="123">
          <cell r="D123" t="str">
            <v>상,하차/운반비R 60</v>
          </cell>
          <cell r="E123">
            <v>1</v>
          </cell>
          <cell r="F123" t="str">
            <v>주</v>
          </cell>
          <cell r="G123">
            <v>298802</v>
          </cell>
          <cell r="H123">
            <v>298802</v>
          </cell>
        </row>
        <row r="125">
          <cell r="D125" t="str">
            <v>라인마커10km/hr</v>
          </cell>
          <cell r="E125">
            <v>26225</v>
          </cell>
          <cell r="F125">
            <v>12400</v>
          </cell>
          <cell r="G125">
            <v>9166</v>
          </cell>
          <cell r="H125">
            <v>4659</v>
          </cell>
        </row>
        <row r="128">
          <cell r="D128" t="str">
            <v>발전기50kw</v>
          </cell>
          <cell r="E128">
            <v>22049</v>
          </cell>
          <cell r="F128">
            <v>8205</v>
          </cell>
          <cell r="G128">
            <v>9166</v>
          </cell>
          <cell r="H128">
            <v>4678</v>
          </cell>
        </row>
        <row r="131">
          <cell r="D131" t="str">
            <v>발전기100kw</v>
          </cell>
          <cell r="E131">
            <v>31228</v>
          </cell>
          <cell r="F131">
            <v>16410</v>
          </cell>
          <cell r="G131">
            <v>9166</v>
          </cell>
          <cell r="H131">
            <v>5652</v>
          </cell>
        </row>
        <row r="134">
          <cell r="D134" t="str">
            <v>발전기125kw</v>
          </cell>
          <cell r="E134">
            <v>34538</v>
          </cell>
          <cell r="F134">
            <v>18337</v>
          </cell>
          <cell r="G134">
            <v>9166</v>
          </cell>
          <cell r="H134">
            <v>7035</v>
          </cell>
        </row>
        <row r="137">
          <cell r="D137" t="str">
            <v>발전기150kw</v>
          </cell>
          <cell r="E137">
            <v>38080</v>
          </cell>
          <cell r="F137">
            <v>21693</v>
          </cell>
          <cell r="G137">
            <v>9166</v>
          </cell>
          <cell r="H137">
            <v>7221</v>
          </cell>
        </row>
        <row r="140">
          <cell r="D140" t="str">
            <v>발전기200kw</v>
          </cell>
          <cell r="E140">
            <v>47541</v>
          </cell>
          <cell r="F140">
            <v>28904</v>
          </cell>
          <cell r="G140">
            <v>9166</v>
          </cell>
          <cell r="H140">
            <v>9471</v>
          </cell>
        </row>
        <row r="143">
          <cell r="D143" t="str">
            <v>용접기(교류)200Amp</v>
          </cell>
          <cell r="E143">
            <v>71</v>
          </cell>
          <cell r="F143">
            <v>0</v>
          </cell>
          <cell r="G143">
            <v>0</v>
          </cell>
          <cell r="H143">
            <v>71</v>
          </cell>
        </row>
        <row r="146">
          <cell r="D146" t="str">
            <v>용접기(교류)300Amp</v>
          </cell>
          <cell r="E146">
            <v>93</v>
          </cell>
          <cell r="F146">
            <v>0</v>
          </cell>
          <cell r="G146">
            <v>0</v>
          </cell>
          <cell r="H146">
            <v>93</v>
          </cell>
        </row>
        <row r="149">
          <cell r="D149" t="str">
            <v>주철관절단기2-6</v>
          </cell>
          <cell r="E149">
            <v>225</v>
          </cell>
          <cell r="F149">
            <v>0</v>
          </cell>
          <cell r="G149">
            <v>0</v>
          </cell>
          <cell r="H149">
            <v>225</v>
          </cell>
        </row>
        <row r="152">
          <cell r="D152" t="str">
            <v>건설용펌프50mm</v>
          </cell>
          <cell r="E152">
            <v>54</v>
          </cell>
          <cell r="F152">
            <v>0</v>
          </cell>
          <cell r="G152">
            <v>0</v>
          </cell>
          <cell r="H152">
            <v>54</v>
          </cell>
        </row>
        <row r="155">
          <cell r="D155" t="str">
            <v>에어호스25mm</v>
          </cell>
          <cell r="E155">
            <v>38</v>
          </cell>
          <cell r="F155">
            <v>0</v>
          </cell>
          <cell r="G155">
            <v>0</v>
          </cell>
          <cell r="H155">
            <v>38</v>
          </cell>
        </row>
        <row r="158">
          <cell r="D158" t="str">
            <v>바이브레이터봉상</v>
          </cell>
          <cell r="E158">
            <v>35</v>
          </cell>
          <cell r="F158">
            <v>0</v>
          </cell>
          <cell r="G158">
            <v>0</v>
          </cell>
          <cell r="H158">
            <v>35</v>
          </cell>
        </row>
        <row r="161">
          <cell r="D161" t="str">
            <v>CCTV카메라</v>
          </cell>
          <cell r="E161">
            <v>28069</v>
          </cell>
          <cell r="F161">
            <v>0</v>
          </cell>
          <cell r="G161">
            <v>0</v>
          </cell>
          <cell r="H161">
            <v>28069</v>
          </cell>
        </row>
      </sheetData>
      <sheetData sheetId="2"/>
      <sheetData sheetId="3" refreshError="1">
        <row r="3">
          <cell r="O3" t="str">
            <v>▣ 산출근거(조경/토목) 목록</v>
          </cell>
        </row>
        <row r="4">
          <cell r="D4" t="str">
            <v>철근콘크리트다짐</v>
          </cell>
          <cell r="E4">
            <v>1</v>
          </cell>
          <cell r="F4" t="str">
            <v>m3</v>
          </cell>
          <cell r="G4">
            <v>264</v>
          </cell>
          <cell r="H4">
            <v>264</v>
          </cell>
          <cell r="I4">
            <v>234</v>
          </cell>
          <cell r="J4">
            <v>234</v>
          </cell>
          <cell r="K4">
            <v>0</v>
          </cell>
          <cell r="L4">
            <v>0</v>
          </cell>
          <cell r="M4">
            <v>30</v>
          </cell>
          <cell r="N4">
            <v>30</v>
          </cell>
          <cell r="O4">
            <v>1</v>
          </cell>
        </row>
        <row r="5">
          <cell r="D5" t="str">
            <v>펌프카타설철근</v>
          </cell>
          <cell r="E5">
            <v>1</v>
          </cell>
          <cell r="F5" t="str">
            <v>m3</v>
          </cell>
          <cell r="G5">
            <v>14815</v>
          </cell>
          <cell r="H5">
            <v>14815</v>
          </cell>
          <cell r="I5">
            <v>1069</v>
          </cell>
          <cell r="J5">
            <v>1069</v>
          </cell>
          <cell r="K5">
            <v>6454</v>
          </cell>
          <cell r="L5">
            <v>6454</v>
          </cell>
          <cell r="M5">
            <v>7292</v>
          </cell>
          <cell r="N5">
            <v>7292</v>
          </cell>
          <cell r="O5">
            <v>2</v>
          </cell>
        </row>
        <row r="6">
          <cell r="D6" t="str">
            <v>콘크리트깨기무근구조물</v>
          </cell>
          <cell r="E6">
            <v>1</v>
          </cell>
          <cell r="F6" t="str">
            <v>m3</v>
          </cell>
          <cell r="G6">
            <v>21901</v>
          </cell>
          <cell r="H6">
            <v>21901</v>
          </cell>
          <cell r="I6">
            <v>2812</v>
          </cell>
          <cell r="J6">
            <v>2812</v>
          </cell>
          <cell r="K6">
            <v>13942</v>
          </cell>
          <cell r="L6">
            <v>13942</v>
          </cell>
          <cell r="M6">
            <v>5147</v>
          </cell>
          <cell r="N6">
            <v>5147</v>
          </cell>
          <cell r="O6">
            <v>3</v>
          </cell>
        </row>
        <row r="7">
          <cell r="D7" t="str">
            <v>콘크리트깨기철근구조물</v>
          </cell>
          <cell r="E7">
            <v>1</v>
          </cell>
          <cell r="F7" t="str">
            <v>m3</v>
          </cell>
          <cell r="G7">
            <v>38081</v>
          </cell>
          <cell r="H7">
            <v>38081</v>
          </cell>
          <cell r="I7">
            <v>6154</v>
          </cell>
          <cell r="J7">
            <v>6154</v>
          </cell>
          <cell r="K7">
            <v>22560</v>
          </cell>
          <cell r="L7">
            <v>22560</v>
          </cell>
          <cell r="M7">
            <v>9367</v>
          </cell>
          <cell r="N7">
            <v>9367</v>
          </cell>
          <cell r="O7">
            <v>4</v>
          </cell>
        </row>
        <row r="8">
          <cell r="D8" t="str">
            <v>포장절단아스팔트</v>
          </cell>
          <cell r="E8">
            <v>1</v>
          </cell>
          <cell r="F8" t="str">
            <v>m</v>
          </cell>
          <cell r="G8">
            <v>1372</v>
          </cell>
          <cell r="H8">
            <v>1372</v>
          </cell>
          <cell r="I8">
            <v>736</v>
          </cell>
          <cell r="J8">
            <v>736</v>
          </cell>
          <cell r="K8">
            <v>585</v>
          </cell>
          <cell r="L8">
            <v>585</v>
          </cell>
          <cell r="M8">
            <v>51</v>
          </cell>
          <cell r="N8">
            <v>51</v>
          </cell>
          <cell r="O8">
            <v>5</v>
          </cell>
        </row>
        <row r="9">
          <cell r="D9" t="str">
            <v>석축쌓기찰쌓기</v>
          </cell>
          <cell r="E9">
            <v>1</v>
          </cell>
          <cell r="F9" t="str">
            <v>m2</v>
          </cell>
          <cell r="G9">
            <v>52622</v>
          </cell>
          <cell r="H9">
            <v>52622</v>
          </cell>
          <cell r="I9">
            <v>11784</v>
          </cell>
          <cell r="J9">
            <v>11784</v>
          </cell>
          <cell r="K9">
            <v>40838</v>
          </cell>
          <cell r="L9">
            <v>40838</v>
          </cell>
          <cell r="M9">
            <v>0</v>
          </cell>
          <cell r="N9">
            <v>0</v>
          </cell>
          <cell r="O9">
            <v>6</v>
          </cell>
        </row>
        <row r="10">
          <cell r="D10" t="str">
            <v>토공규준틀설치비탈</v>
          </cell>
          <cell r="E10">
            <v>1</v>
          </cell>
          <cell r="F10" t="str">
            <v>개소</v>
          </cell>
          <cell r="G10">
            <v>20160</v>
          </cell>
          <cell r="H10">
            <v>20160</v>
          </cell>
          <cell r="I10">
            <v>2560</v>
          </cell>
          <cell r="J10">
            <v>2560</v>
          </cell>
          <cell r="K10">
            <v>17600</v>
          </cell>
          <cell r="L10">
            <v>17600</v>
          </cell>
          <cell r="M10">
            <v>0</v>
          </cell>
          <cell r="N10">
            <v>0</v>
          </cell>
          <cell r="O10">
            <v>7</v>
          </cell>
        </row>
        <row r="11">
          <cell r="D11" t="str">
            <v>덤프운반(토사)15Ton,L=0.133km</v>
          </cell>
          <cell r="E11">
            <v>1</v>
          </cell>
          <cell r="F11" t="str">
            <v>m3</v>
          </cell>
          <cell r="G11">
            <v>1126</v>
          </cell>
          <cell r="H11">
            <v>1126</v>
          </cell>
          <cell r="I11">
            <v>378</v>
          </cell>
          <cell r="J11">
            <v>378</v>
          </cell>
          <cell r="K11">
            <v>359</v>
          </cell>
          <cell r="L11">
            <v>359</v>
          </cell>
          <cell r="M11">
            <v>389</v>
          </cell>
          <cell r="N11">
            <v>389</v>
          </cell>
          <cell r="O11">
            <v>8</v>
          </cell>
        </row>
        <row r="12">
          <cell r="D12" t="str">
            <v>소할리핑암,발파암</v>
          </cell>
          <cell r="E12">
            <v>1</v>
          </cell>
          <cell r="F12" t="str">
            <v>m3</v>
          </cell>
          <cell r="G12">
            <v>1532</v>
          </cell>
          <cell r="H12">
            <v>1532</v>
          </cell>
          <cell r="I12">
            <v>239</v>
          </cell>
          <cell r="J12">
            <v>239</v>
          </cell>
          <cell r="K12">
            <v>520</v>
          </cell>
          <cell r="L12">
            <v>520</v>
          </cell>
          <cell r="M12">
            <v>773</v>
          </cell>
          <cell r="N12">
            <v>773</v>
          </cell>
          <cell r="O12">
            <v>9</v>
          </cell>
        </row>
        <row r="13">
          <cell r="D13" t="str">
            <v>덤프운반(발파암)15Ton,L=0.291km</v>
          </cell>
          <cell r="E13">
            <v>1</v>
          </cell>
          <cell r="F13" t="str">
            <v>m3</v>
          </cell>
          <cell r="G13">
            <v>4819</v>
          </cell>
          <cell r="H13">
            <v>4819</v>
          </cell>
          <cell r="I13">
            <v>886</v>
          </cell>
          <cell r="J13">
            <v>886</v>
          </cell>
          <cell r="K13">
            <v>1685</v>
          </cell>
          <cell r="L13">
            <v>1685</v>
          </cell>
          <cell r="M13">
            <v>2248</v>
          </cell>
          <cell r="N13">
            <v>2248</v>
          </cell>
          <cell r="O13">
            <v>10</v>
          </cell>
        </row>
        <row r="14">
          <cell r="D14" t="str">
            <v>벌개제근</v>
          </cell>
          <cell r="E14">
            <v>1</v>
          </cell>
          <cell r="F14" t="str">
            <v>m2</v>
          </cell>
          <cell r="G14">
            <v>183</v>
          </cell>
          <cell r="H14">
            <v>183</v>
          </cell>
          <cell r="I14">
            <v>0</v>
          </cell>
          <cell r="J14">
            <v>0</v>
          </cell>
          <cell r="K14">
            <v>183</v>
          </cell>
          <cell r="L14">
            <v>183</v>
          </cell>
          <cell r="M14">
            <v>0</v>
          </cell>
          <cell r="N14">
            <v>0</v>
          </cell>
          <cell r="O14">
            <v>11</v>
          </cell>
        </row>
        <row r="15">
          <cell r="D15" t="str">
            <v>절토(토사)불도저 19Ton</v>
          </cell>
          <cell r="E15">
            <v>1</v>
          </cell>
          <cell r="F15" t="str">
            <v>m3</v>
          </cell>
          <cell r="G15">
            <v>647</v>
          </cell>
          <cell r="H15">
            <v>647</v>
          </cell>
          <cell r="I15">
            <v>180</v>
          </cell>
          <cell r="J15">
            <v>180</v>
          </cell>
          <cell r="K15">
            <v>199</v>
          </cell>
          <cell r="L15">
            <v>199</v>
          </cell>
          <cell r="M15">
            <v>268</v>
          </cell>
          <cell r="N15">
            <v>268</v>
          </cell>
          <cell r="O15">
            <v>12</v>
          </cell>
        </row>
        <row r="16">
          <cell r="D16" t="str">
            <v>절토(풍화암)불도저 19Ton</v>
          </cell>
          <cell r="E16">
            <v>1</v>
          </cell>
          <cell r="F16" t="str">
            <v>m3</v>
          </cell>
          <cell r="G16">
            <v>1176</v>
          </cell>
          <cell r="H16">
            <v>1176</v>
          </cell>
          <cell r="I16">
            <v>324</v>
          </cell>
          <cell r="J16">
            <v>324</v>
          </cell>
          <cell r="K16">
            <v>360</v>
          </cell>
          <cell r="L16">
            <v>360</v>
          </cell>
          <cell r="M16">
            <v>492</v>
          </cell>
          <cell r="N16">
            <v>492</v>
          </cell>
          <cell r="O16">
            <v>13</v>
          </cell>
        </row>
        <row r="17">
          <cell r="D17" t="str">
            <v>절토(발파암)굴삭기+대형브레이커</v>
          </cell>
          <cell r="E17">
            <v>1</v>
          </cell>
          <cell r="F17" t="str">
            <v>m3</v>
          </cell>
          <cell r="G17">
            <v>10761</v>
          </cell>
          <cell r="H17">
            <v>10761</v>
          </cell>
          <cell r="I17">
            <v>1656</v>
          </cell>
          <cell r="J17">
            <v>1656</v>
          </cell>
          <cell r="K17">
            <v>3602</v>
          </cell>
          <cell r="L17">
            <v>3602</v>
          </cell>
          <cell r="M17">
            <v>5503</v>
          </cell>
          <cell r="N17">
            <v>5503</v>
          </cell>
          <cell r="O17">
            <v>14</v>
          </cell>
        </row>
        <row r="18">
          <cell r="D18" t="str">
            <v>덤프운반(토사)15Ton,L=0.5km</v>
          </cell>
          <cell r="E18">
            <v>1</v>
          </cell>
          <cell r="F18" t="str">
            <v>m3</v>
          </cell>
          <cell r="G18">
            <v>1415</v>
          </cell>
          <cell r="H18">
            <v>1415</v>
          </cell>
          <cell r="I18">
            <v>486</v>
          </cell>
          <cell r="J18">
            <v>486</v>
          </cell>
          <cell r="K18">
            <v>441</v>
          </cell>
          <cell r="L18">
            <v>441</v>
          </cell>
          <cell r="M18">
            <v>488</v>
          </cell>
          <cell r="N18">
            <v>488</v>
          </cell>
          <cell r="O18">
            <v>15</v>
          </cell>
        </row>
        <row r="19">
          <cell r="D19" t="str">
            <v>덤프운반(토사)15Ton,L=1.0km</v>
          </cell>
          <cell r="E19">
            <v>1</v>
          </cell>
          <cell r="F19" t="str">
            <v>m3</v>
          </cell>
          <cell r="G19">
            <v>1773</v>
          </cell>
          <cell r="H19">
            <v>1773</v>
          </cell>
          <cell r="I19">
            <v>626</v>
          </cell>
          <cell r="J19">
            <v>626</v>
          </cell>
          <cell r="K19">
            <v>537</v>
          </cell>
          <cell r="L19">
            <v>537</v>
          </cell>
          <cell r="M19">
            <v>610</v>
          </cell>
          <cell r="N19">
            <v>610</v>
          </cell>
          <cell r="O19">
            <v>16</v>
          </cell>
        </row>
        <row r="20">
          <cell r="D20" t="str">
            <v>덤프운반(리핑암)15Ton,L=0.128km</v>
          </cell>
          <cell r="E20">
            <v>1</v>
          </cell>
          <cell r="F20" t="str">
            <v>m3</v>
          </cell>
          <cell r="G20">
            <v>1960</v>
          </cell>
          <cell r="H20">
            <v>1960</v>
          </cell>
          <cell r="I20">
            <v>641</v>
          </cell>
          <cell r="J20">
            <v>641</v>
          </cell>
          <cell r="K20">
            <v>597</v>
          </cell>
          <cell r="L20">
            <v>597</v>
          </cell>
          <cell r="M20">
            <v>722</v>
          </cell>
          <cell r="N20">
            <v>722</v>
          </cell>
          <cell r="O20">
            <v>17</v>
          </cell>
        </row>
        <row r="21">
          <cell r="D21" t="str">
            <v>순성토운반</v>
          </cell>
          <cell r="E21">
            <v>1</v>
          </cell>
          <cell r="F21" t="str">
            <v>m3</v>
          </cell>
          <cell r="G21">
            <v>8952</v>
          </cell>
          <cell r="H21">
            <v>8952</v>
          </cell>
          <cell r="I21">
            <v>3429</v>
          </cell>
          <cell r="J21">
            <v>3429</v>
          </cell>
          <cell r="K21">
            <v>2466</v>
          </cell>
          <cell r="L21">
            <v>2466</v>
          </cell>
          <cell r="M21">
            <v>3057</v>
          </cell>
          <cell r="N21">
            <v>3057</v>
          </cell>
          <cell r="O21">
            <v>18</v>
          </cell>
        </row>
        <row r="22">
          <cell r="D22" t="str">
            <v>도쟈운반(리핑암)불도저 19Ton</v>
          </cell>
          <cell r="E22">
            <v>1</v>
          </cell>
          <cell r="F22" t="str">
            <v>m3</v>
          </cell>
          <cell r="G22">
            <v>549</v>
          </cell>
          <cell r="H22">
            <v>549</v>
          </cell>
          <cell r="I22">
            <v>153</v>
          </cell>
          <cell r="J22">
            <v>153</v>
          </cell>
          <cell r="K22">
            <v>169</v>
          </cell>
          <cell r="L22">
            <v>169</v>
          </cell>
          <cell r="M22">
            <v>227</v>
          </cell>
          <cell r="N22">
            <v>227</v>
          </cell>
          <cell r="O22">
            <v>19</v>
          </cell>
        </row>
        <row r="23">
          <cell r="D23" t="str">
            <v>도쟈운반(발파암)불도저 19Ton</v>
          </cell>
          <cell r="E23">
            <v>1</v>
          </cell>
          <cell r="F23" t="str">
            <v>m3</v>
          </cell>
          <cell r="G23">
            <v>1313</v>
          </cell>
          <cell r="H23">
            <v>1313</v>
          </cell>
          <cell r="I23">
            <v>365</v>
          </cell>
          <cell r="J23">
            <v>365</v>
          </cell>
          <cell r="K23">
            <v>405</v>
          </cell>
          <cell r="L23">
            <v>405</v>
          </cell>
          <cell r="M23">
            <v>543</v>
          </cell>
          <cell r="N23">
            <v>543</v>
          </cell>
          <cell r="O23">
            <v>20</v>
          </cell>
        </row>
        <row r="24">
          <cell r="D24" t="str">
            <v>도쟈운반(토사)불도저 19Ton</v>
          </cell>
          <cell r="E24">
            <v>1</v>
          </cell>
          <cell r="F24" t="str">
            <v>m3</v>
          </cell>
          <cell r="G24">
            <v>436</v>
          </cell>
          <cell r="H24">
            <v>436</v>
          </cell>
          <cell r="I24">
            <v>121</v>
          </cell>
          <cell r="J24">
            <v>121</v>
          </cell>
          <cell r="K24">
            <v>135</v>
          </cell>
          <cell r="L24">
            <v>135</v>
          </cell>
          <cell r="M24">
            <v>180</v>
          </cell>
          <cell r="N24">
            <v>180</v>
          </cell>
          <cell r="O24">
            <v>21</v>
          </cell>
        </row>
        <row r="25">
          <cell r="D25" t="str">
            <v>노상 (95%)</v>
          </cell>
          <cell r="E25">
            <v>1</v>
          </cell>
          <cell r="F25" t="str">
            <v>m3</v>
          </cell>
          <cell r="G25">
            <v>1122</v>
          </cell>
          <cell r="H25">
            <v>1122</v>
          </cell>
          <cell r="I25">
            <v>242</v>
          </cell>
          <cell r="J25">
            <v>242</v>
          </cell>
          <cell r="K25">
            <v>449</v>
          </cell>
          <cell r="L25">
            <v>449</v>
          </cell>
          <cell r="M25">
            <v>431</v>
          </cell>
          <cell r="N25">
            <v>431</v>
          </cell>
          <cell r="O25">
            <v>22</v>
          </cell>
        </row>
        <row r="26">
          <cell r="D26" t="str">
            <v>노체 (90%)</v>
          </cell>
          <cell r="E26">
            <v>1</v>
          </cell>
          <cell r="F26" t="str">
            <v>m3</v>
          </cell>
          <cell r="G26">
            <v>819</v>
          </cell>
          <cell r="H26">
            <v>819</v>
          </cell>
          <cell r="I26">
            <v>172</v>
          </cell>
          <cell r="J26">
            <v>172</v>
          </cell>
          <cell r="K26">
            <v>343</v>
          </cell>
          <cell r="L26">
            <v>343</v>
          </cell>
          <cell r="M26">
            <v>304</v>
          </cell>
          <cell r="N26">
            <v>304</v>
          </cell>
          <cell r="O26">
            <v>23</v>
          </cell>
        </row>
        <row r="27">
          <cell r="D27" t="str">
            <v>표토선별 및 운반</v>
          </cell>
          <cell r="E27">
            <v>1</v>
          </cell>
          <cell r="F27" t="str">
            <v>m3</v>
          </cell>
          <cell r="G27">
            <v>5697</v>
          </cell>
          <cell r="H27">
            <v>5697</v>
          </cell>
          <cell r="I27">
            <v>609</v>
          </cell>
          <cell r="J27">
            <v>609</v>
          </cell>
          <cell r="K27">
            <v>4490</v>
          </cell>
          <cell r="L27">
            <v>4490</v>
          </cell>
          <cell r="M27">
            <v>598</v>
          </cell>
          <cell r="N27">
            <v>598</v>
          </cell>
          <cell r="O27">
            <v>24</v>
          </cell>
        </row>
        <row r="28">
          <cell r="D28" t="str">
            <v>단지정리불도저 19Ton</v>
          </cell>
          <cell r="E28">
            <v>1</v>
          </cell>
          <cell r="F28" t="str">
            <v>m3</v>
          </cell>
          <cell r="G28">
            <v>475</v>
          </cell>
          <cell r="H28">
            <v>475</v>
          </cell>
          <cell r="I28">
            <v>132</v>
          </cell>
          <cell r="J28">
            <v>132</v>
          </cell>
          <cell r="K28">
            <v>146</v>
          </cell>
          <cell r="L28">
            <v>146</v>
          </cell>
          <cell r="M28">
            <v>197</v>
          </cell>
          <cell r="N28">
            <v>197</v>
          </cell>
          <cell r="O28">
            <v>25</v>
          </cell>
        </row>
        <row r="29">
          <cell r="D29" t="str">
            <v>터파기(토사)인력(10%)+기계(90%)</v>
          </cell>
          <cell r="E29">
            <v>1</v>
          </cell>
          <cell r="F29" t="str">
            <v>m3</v>
          </cell>
          <cell r="G29">
            <v>1339</v>
          </cell>
          <cell r="H29">
            <v>1339</v>
          </cell>
          <cell r="I29">
            <v>74</v>
          </cell>
          <cell r="J29">
            <v>74</v>
          </cell>
          <cell r="K29">
            <v>1082</v>
          </cell>
          <cell r="L29">
            <v>1082</v>
          </cell>
          <cell r="M29">
            <v>183</v>
          </cell>
          <cell r="N29">
            <v>183</v>
          </cell>
          <cell r="O29">
            <v>26</v>
          </cell>
        </row>
        <row r="30">
          <cell r="D30" t="str">
            <v>터파기(토사)인력(30%)+기계(70%)</v>
          </cell>
          <cell r="E30">
            <v>1</v>
          </cell>
          <cell r="F30" t="str">
            <v>m3</v>
          </cell>
          <cell r="G30">
            <v>3021</v>
          </cell>
          <cell r="H30">
            <v>3021</v>
          </cell>
          <cell r="I30">
            <v>58</v>
          </cell>
          <cell r="J30">
            <v>58</v>
          </cell>
          <cell r="K30">
            <v>2821</v>
          </cell>
          <cell r="L30">
            <v>2821</v>
          </cell>
          <cell r="M30">
            <v>142</v>
          </cell>
          <cell r="N30">
            <v>142</v>
          </cell>
          <cell r="O30">
            <v>27</v>
          </cell>
        </row>
        <row r="31">
          <cell r="D31" t="str">
            <v>터파기(토사)기계</v>
          </cell>
          <cell r="E31">
            <v>1</v>
          </cell>
          <cell r="F31" t="str">
            <v>m3</v>
          </cell>
          <cell r="G31">
            <v>673</v>
          </cell>
          <cell r="H31">
            <v>673</v>
          </cell>
          <cell r="I31">
            <v>112</v>
          </cell>
          <cell r="J31">
            <v>112</v>
          </cell>
          <cell r="K31">
            <v>286</v>
          </cell>
          <cell r="L31">
            <v>286</v>
          </cell>
          <cell r="M31">
            <v>275</v>
          </cell>
          <cell r="N31">
            <v>275</v>
          </cell>
          <cell r="O31">
            <v>28</v>
          </cell>
        </row>
        <row r="32">
          <cell r="D32" t="str">
            <v>터파기(풍화암)기계</v>
          </cell>
          <cell r="E32">
            <v>1</v>
          </cell>
          <cell r="F32" t="str">
            <v>m3</v>
          </cell>
          <cell r="G32">
            <v>2097</v>
          </cell>
          <cell r="H32">
            <v>2097</v>
          </cell>
          <cell r="I32">
            <v>217</v>
          </cell>
          <cell r="J32">
            <v>217</v>
          </cell>
          <cell r="K32">
            <v>1347</v>
          </cell>
          <cell r="L32">
            <v>1347</v>
          </cell>
          <cell r="M32">
            <v>533</v>
          </cell>
          <cell r="N32">
            <v>533</v>
          </cell>
          <cell r="O32">
            <v>29</v>
          </cell>
        </row>
        <row r="33">
          <cell r="D33" t="str">
            <v>터파기(리핑암)인력(10%)+기계(90%)</v>
          </cell>
          <cell r="E33">
            <v>1</v>
          </cell>
          <cell r="F33" t="str">
            <v>m3</v>
          </cell>
          <cell r="G33">
            <v>28405</v>
          </cell>
          <cell r="H33">
            <v>28405</v>
          </cell>
          <cell r="I33">
            <v>2303</v>
          </cell>
          <cell r="J33">
            <v>2303</v>
          </cell>
          <cell r="K33">
            <v>18863</v>
          </cell>
          <cell r="L33">
            <v>18863</v>
          </cell>
          <cell r="M33">
            <v>7239</v>
          </cell>
          <cell r="N33">
            <v>7239</v>
          </cell>
          <cell r="O33">
            <v>30</v>
          </cell>
        </row>
        <row r="34">
          <cell r="D34" t="str">
            <v>터파기(토사)인력</v>
          </cell>
          <cell r="E34">
            <v>1</v>
          </cell>
          <cell r="F34" t="str">
            <v>m3</v>
          </cell>
          <cell r="G34">
            <v>8910</v>
          </cell>
          <cell r="H34">
            <v>8910</v>
          </cell>
          <cell r="I34">
            <v>0</v>
          </cell>
          <cell r="J34">
            <v>0</v>
          </cell>
          <cell r="K34">
            <v>8910</v>
          </cell>
          <cell r="L34">
            <v>8910</v>
          </cell>
          <cell r="M34">
            <v>0</v>
          </cell>
          <cell r="N34">
            <v>0</v>
          </cell>
          <cell r="O34">
            <v>31</v>
          </cell>
        </row>
        <row r="35">
          <cell r="D35" t="str">
            <v>터파기(발파암)인력(10%)+기계(90%)</v>
          </cell>
          <cell r="E35">
            <v>1</v>
          </cell>
          <cell r="F35" t="str">
            <v>m3</v>
          </cell>
          <cell r="G35">
            <v>40556</v>
          </cell>
          <cell r="H35">
            <v>40556</v>
          </cell>
          <cell r="I35">
            <v>3254</v>
          </cell>
          <cell r="J35">
            <v>3254</v>
          </cell>
          <cell r="K35">
            <v>27096</v>
          </cell>
          <cell r="L35">
            <v>27096</v>
          </cell>
          <cell r="M35">
            <v>10206</v>
          </cell>
          <cell r="N35">
            <v>10206</v>
          </cell>
          <cell r="O35">
            <v>32</v>
          </cell>
        </row>
        <row r="36">
          <cell r="D36" t="str">
            <v>되메우기 및 다짐인력</v>
          </cell>
          <cell r="E36">
            <v>1</v>
          </cell>
          <cell r="F36" t="str">
            <v>m3</v>
          </cell>
          <cell r="G36">
            <v>4851</v>
          </cell>
          <cell r="H36">
            <v>4851</v>
          </cell>
          <cell r="I36">
            <v>0</v>
          </cell>
          <cell r="J36">
            <v>0</v>
          </cell>
          <cell r="K36">
            <v>4851</v>
          </cell>
          <cell r="L36">
            <v>4851</v>
          </cell>
          <cell r="M36">
            <v>0</v>
          </cell>
          <cell r="N36">
            <v>0</v>
          </cell>
          <cell r="O36">
            <v>33</v>
          </cell>
        </row>
        <row r="37">
          <cell r="D37" t="str">
            <v>되메우기 및 다짐인력(10%)+기계(90%)</v>
          </cell>
          <cell r="E37">
            <v>1</v>
          </cell>
          <cell r="F37" t="str">
            <v>m3</v>
          </cell>
          <cell r="G37">
            <v>1580</v>
          </cell>
          <cell r="H37">
            <v>1580</v>
          </cell>
          <cell r="I37">
            <v>136</v>
          </cell>
          <cell r="J37">
            <v>136</v>
          </cell>
          <cell r="K37">
            <v>1306</v>
          </cell>
          <cell r="L37">
            <v>1306</v>
          </cell>
          <cell r="M37">
            <v>138</v>
          </cell>
          <cell r="N37">
            <v>138</v>
          </cell>
          <cell r="O37">
            <v>34</v>
          </cell>
        </row>
        <row r="38">
          <cell r="D38" t="str">
            <v>되메우기 및 다짐인력(30%)+기계(70%)</v>
          </cell>
          <cell r="E38">
            <v>1</v>
          </cell>
          <cell r="F38" t="str">
            <v>m3</v>
          </cell>
          <cell r="G38">
            <v>2434</v>
          </cell>
          <cell r="H38">
            <v>2434</v>
          </cell>
          <cell r="I38">
            <v>164</v>
          </cell>
          <cell r="J38">
            <v>164</v>
          </cell>
          <cell r="K38">
            <v>2128</v>
          </cell>
          <cell r="L38">
            <v>2128</v>
          </cell>
          <cell r="M38">
            <v>142</v>
          </cell>
          <cell r="N38">
            <v>142</v>
          </cell>
          <cell r="O38">
            <v>35</v>
          </cell>
        </row>
        <row r="39">
          <cell r="D39" t="str">
            <v>잔토처리인력</v>
          </cell>
          <cell r="E39">
            <v>1</v>
          </cell>
          <cell r="F39" t="str">
            <v>m3</v>
          </cell>
          <cell r="G39">
            <v>4817</v>
          </cell>
          <cell r="H39">
            <v>4817</v>
          </cell>
          <cell r="I39">
            <v>0</v>
          </cell>
          <cell r="J39">
            <v>0</v>
          </cell>
          <cell r="K39">
            <v>4817</v>
          </cell>
          <cell r="L39">
            <v>4817</v>
          </cell>
          <cell r="M39">
            <v>0</v>
          </cell>
          <cell r="N39">
            <v>0</v>
          </cell>
          <cell r="O39">
            <v>36</v>
          </cell>
        </row>
        <row r="40">
          <cell r="D40" t="str">
            <v>흙채움</v>
          </cell>
          <cell r="E40">
            <v>1</v>
          </cell>
          <cell r="F40" t="str">
            <v>m3</v>
          </cell>
          <cell r="G40">
            <v>536</v>
          </cell>
          <cell r="H40">
            <v>536</v>
          </cell>
          <cell r="I40">
            <v>89</v>
          </cell>
          <cell r="J40">
            <v>89</v>
          </cell>
          <cell r="K40">
            <v>228</v>
          </cell>
          <cell r="L40">
            <v>228</v>
          </cell>
          <cell r="M40">
            <v>219</v>
          </cell>
          <cell r="N40">
            <v>219</v>
          </cell>
          <cell r="O40">
            <v>37</v>
          </cell>
        </row>
        <row r="41">
          <cell r="D41" t="str">
            <v>원지반다짐</v>
          </cell>
          <cell r="E41">
            <v>1</v>
          </cell>
          <cell r="F41" t="str">
            <v>a</v>
          </cell>
          <cell r="G41">
            <v>18776</v>
          </cell>
          <cell r="H41">
            <v>18776</v>
          </cell>
          <cell r="I41">
            <v>2414</v>
          </cell>
          <cell r="J41">
            <v>2414</v>
          </cell>
          <cell r="K41">
            <v>10427</v>
          </cell>
          <cell r="L41">
            <v>10427</v>
          </cell>
          <cell r="M41">
            <v>5935</v>
          </cell>
          <cell r="N41">
            <v>5935</v>
          </cell>
          <cell r="O41">
            <v>38</v>
          </cell>
        </row>
        <row r="42">
          <cell r="D42" t="str">
            <v>보조기층포설 및 다짐T=20cm</v>
          </cell>
          <cell r="E42">
            <v>1</v>
          </cell>
          <cell r="F42" t="str">
            <v>m3</v>
          </cell>
          <cell r="G42">
            <v>2231</v>
          </cell>
          <cell r="H42">
            <v>2231</v>
          </cell>
          <cell r="I42">
            <v>331</v>
          </cell>
          <cell r="J42">
            <v>331</v>
          </cell>
          <cell r="K42">
            <v>1291</v>
          </cell>
          <cell r="L42">
            <v>1291</v>
          </cell>
          <cell r="M42">
            <v>609</v>
          </cell>
          <cell r="N42">
            <v>609</v>
          </cell>
          <cell r="O42">
            <v>39</v>
          </cell>
        </row>
        <row r="43">
          <cell r="D43" t="str">
            <v>프라임코팅MC-1(75ℓ/a)</v>
          </cell>
          <cell r="E43">
            <v>1</v>
          </cell>
          <cell r="F43" t="str">
            <v>a</v>
          </cell>
          <cell r="G43">
            <v>10924</v>
          </cell>
          <cell r="H43">
            <v>10924</v>
          </cell>
          <cell r="I43">
            <v>456</v>
          </cell>
          <cell r="J43">
            <v>456</v>
          </cell>
          <cell r="K43">
            <v>10337</v>
          </cell>
          <cell r="L43">
            <v>10337</v>
          </cell>
          <cell r="M43">
            <v>131</v>
          </cell>
          <cell r="N43">
            <v>131</v>
          </cell>
          <cell r="O43">
            <v>40</v>
          </cell>
        </row>
        <row r="44">
          <cell r="D44" t="str">
            <v>택코팅RSC-4(30ℓ/a)</v>
          </cell>
          <cell r="E44">
            <v>1</v>
          </cell>
          <cell r="F44" t="str">
            <v>a</v>
          </cell>
          <cell r="G44">
            <v>8223</v>
          </cell>
          <cell r="H44">
            <v>8223</v>
          </cell>
          <cell r="I44">
            <v>141</v>
          </cell>
          <cell r="J44">
            <v>141</v>
          </cell>
          <cell r="K44">
            <v>8030</v>
          </cell>
          <cell r="L44">
            <v>8030</v>
          </cell>
          <cell r="M44">
            <v>52</v>
          </cell>
          <cell r="N44">
            <v>52</v>
          </cell>
          <cell r="O44">
            <v>41</v>
          </cell>
        </row>
        <row r="45">
          <cell r="D45" t="str">
            <v>아스콘표층포설 및 다짐#78,T=5cm</v>
          </cell>
          <cell r="E45">
            <v>1</v>
          </cell>
          <cell r="F45" t="str">
            <v>a</v>
          </cell>
          <cell r="G45">
            <v>52157</v>
          </cell>
          <cell r="H45">
            <v>52157</v>
          </cell>
          <cell r="I45">
            <v>5823</v>
          </cell>
          <cell r="J45">
            <v>5823</v>
          </cell>
          <cell r="K45">
            <v>33250</v>
          </cell>
          <cell r="L45">
            <v>33250</v>
          </cell>
          <cell r="M45">
            <v>13084</v>
          </cell>
          <cell r="N45">
            <v>13084</v>
          </cell>
          <cell r="O45">
            <v>42</v>
          </cell>
        </row>
        <row r="46">
          <cell r="D46" t="str">
            <v>아스콘기층포설 및 다짐#467,T=10cm</v>
          </cell>
          <cell r="E46">
            <v>1</v>
          </cell>
          <cell r="F46" t="str">
            <v>a</v>
          </cell>
          <cell r="G46">
            <v>56095</v>
          </cell>
          <cell r="H46">
            <v>56095</v>
          </cell>
          <cell r="I46">
            <v>6614</v>
          </cell>
          <cell r="J46">
            <v>6614</v>
          </cell>
          <cell r="K46">
            <v>35264</v>
          </cell>
          <cell r="L46">
            <v>35264</v>
          </cell>
          <cell r="M46">
            <v>14217</v>
          </cell>
          <cell r="N46">
            <v>14217</v>
          </cell>
          <cell r="O46">
            <v>43</v>
          </cell>
        </row>
        <row r="47">
          <cell r="D47" t="str">
            <v>차선도색로타리식</v>
          </cell>
          <cell r="E47">
            <v>1</v>
          </cell>
          <cell r="F47" t="str">
            <v>m2</v>
          </cell>
          <cell r="G47">
            <v>6100</v>
          </cell>
          <cell r="H47">
            <v>6100</v>
          </cell>
          <cell r="I47">
            <v>5483</v>
          </cell>
          <cell r="J47">
            <v>5483</v>
          </cell>
          <cell r="K47">
            <v>614</v>
          </cell>
          <cell r="L47">
            <v>614</v>
          </cell>
          <cell r="M47">
            <v>3</v>
          </cell>
          <cell r="N47">
            <v>3</v>
          </cell>
          <cell r="O47">
            <v>44</v>
          </cell>
        </row>
        <row r="48">
          <cell r="D48" t="str">
            <v>차선도색수동식</v>
          </cell>
          <cell r="E48">
            <v>1</v>
          </cell>
          <cell r="F48" t="str">
            <v>m2</v>
          </cell>
          <cell r="G48">
            <v>6655</v>
          </cell>
          <cell r="H48">
            <v>6655</v>
          </cell>
          <cell r="I48">
            <v>5345</v>
          </cell>
          <cell r="J48">
            <v>5345</v>
          </cell>
          <cell r="K48">
            <v>1306</v>
          </cell>
          <cell r="L48">
            <v>1306</v>
          </cell>
          <cell r="M48">
            <v>4</v>
          </cell>
          <cell r="N48">
            <v>4</v>
          </cell>
          <cell r="O48">
            <v>45</v>
          </cell>
        </row>
        <row r="49">
          <cell r="D49" t="str">
            <v>시멘트운반40kg/포</v>
          </cell>
          <cell r="E49">
            <v>1</v>
          </cell>
          <cell r="F49" t="str">
            <v>포</v>
          </cell>
          <cell r="G49">
            <v>356</v>
          </cell>
          <cell r="H49">
            <v>356</v>
          </cell>
          <cell r="I49">
            <v>0</v>
          </cell>
          <cell r="J49">
            <v>0</v>
          </cell>
          <cell r="K49">
            <v>0</v>
          </cell>
          <cell r="L49">
            <v>0</v>
          </cell>
          <cell r="M49">
            <v>356</v>
          </cell>
          <cell r="N49">
            <v>356</v>
          </cell>
          <cell r="O49">
            <v>46</v>
          </cell>
        </row>
        <row r="50">
          <cell r="D50" t="str">
            <v>철근운반</v>
          </cell>
          <cell r="E50">
            <v>1</v>
          </cell>
          <cell r="F50" t="str">
            <v>Ton</v>
          </cell>
          <cell r="G50">
            <v>20378</v>
          </cell>
          <cell r="H50">
            <v>20378</v>
          </cell>
          <cell r="I50">
            <v>0</v>
          </cell>
          <cell r="J50">
            <v>0</v>
          </cell>
          <cell r="K50">
            <v>0</v>
          </cell>
          <cell r="L50">
            <v>0</v>
          </cell>
          <cell r="M50">
            <v>20378</v>
          </cell>
          <cell r="N50">
            <v>20378</v>
          </cell>
          <cell r="O50">
            <v>47</v>
          </cell>
        </row>
        <row r="51">
          <cell r="D51" t="str">
            <v>주철관운반D = 80 mm</v>
          </cell>
          <cell r="E51">
            <v>1</v>
          </cell>
          <cell r="F51" t="str">
            <v>본</v>
          </cell>
          <cell r="G51">
            <v>1059</v>
          </cell>
          <cell r="H51">
            <v>1059</v>
          </cell>
          <cell r="I51">
            <v>0</v>
          </cell>
          <cell r="J51">
            <v>0</v>
          </cell>
          <cell r="K51">
            <v>0</v>
          </cell>
          <cell r="L51">
            <v>0</v>
          </cell>
          <cell r="M51">
            <v>1059</v>
          </cell>
          <cell r="N51">
            <v>1059</v>
          </cell>
          <cell r="O51">
            <v>48</v>
          </cell>
        </row>
        <row r="52">
          <cell r="D52" t="str">
            <v>주철관운반D = 100 mm</v>
          </cell>
          <cell r="E52">
            <v>1</v>
          </cell>
          <cell r="F52" t="str">
            <v>본</v>
          </cell>
          <cell r="G52">
            <v>1588</v>
          </cell>
          <cell r="H52">
            <v>1588</v>
          </cell>
          <cell r="I52">
            <v>0</v>
          </cell>
          <cell r="J52">
            <v>0</v>
          </cell>
          <cell r="K52">
            <v>0</v>
          </cell>
          <cell r="L52">
            <v>0</v>
          </cell>
          <cell r="M52">
            <v>1588</v>
          </cell>
          <cell r="N52">
            <v>1588</v>
          </cell>
          <cell r="O52">
            <v>49</v>
          </cell>
        </row>
        <row r="53">
          <cell r="D53" t="str">
            <v>주철관운반D = 150 mm</v>
          </cell>
          <cell r="E53">
            <v>1</v>
          </cell>
          <cell r="F53" t="str">
            <v>본</v>
          </cell>
          <cell r="G53">
            <v>2446</v>
          </cell>
          <cell r="H53">
            <v>2446</v>
          </cell>
          <cell r="I53">
            <v>0</v>
          </cell>
          <cell r="J53">
            <v>0</v>
          </cell>
          <cell r="K53">
            <v>0</v>
          </cell>
          <cell r="L53">
            <v>0</v>
          </cell>
          <cell r="M53">
            <v>2446</v>
          </cell>
          <cell r="N53">
            <v>2446</v>
          </cell>
          <cell r="O53">
            <v>50</v>
          </cell>
        </row>
        <row r="54">
          <cell r="D54" t="str">
            <v>주철관운반D = 200 mm</v>
          </cell>
          <cell r="E54">
            <v>1</v>
          </cell>
          <cell r="F54" t="str">
            <v>본</v>
          </cell>
          <cell r="G54">
            <v>3890</v>
          </cell>
          <cell r="H54">
            <v>3890</v>
          </cell>
          <cell r="I54">
            <v>0</v>
          </cell>
          <cell r="J54">
            <v>0</v>
          </cell>
          <cell r="K54">
            <v>0</v>
          </cell>
          <cell r="L54">
            <v>0</v>
          </cell>
          <cell r="M54">
            <v>3890</v>
          </cell>
          <cell r="N54">
            <v>3890</v>
          </cell>
          <cell r="O54">
            <v>51</v>
          </cell>
        </row>
        <row r="55">
          <cell r="D55" t="str">
            <v>주철관운반D = 250 mm</v>
          </cell>
          <cell r="E55">
            <v>1</v>
          </cell>
          <cell r="F55" t="str">
            <v>본</v>
          </cell>
          <cell r="G55">
            <v>5862</v>
          </cell>
          <cell r="H55">
            <v>5862</v>
          </cell>
          <cell r="I55">
            <v>0</v>
          </cell>
          <cell r="J55">
            <v>0</v>
          </cell>
          <cell r="K55">
            <v>0</v>
          </cell>
          <cell r="L55">
            <v>0</v>
          </cell>
          <cell r="M55">
            <v>5862</v>
          </cell>
          <cell r="N55">
            <v>5862</v>
          </cell>
          <cell r="O55">
            <v>52</v>
          </cell>
        </row>
        <row r="56">
          <cell r="D56" t="str">
            <v>주철관운반D = 300 mm</v>
          </cell>
          <cell r="E56">
            <v>1</v>
          </cell>
          <cell r="F56" t="str">
            <v>본</v>
          </cell>
          <cell r="G56">
            <v>7845</v>
          </cell>
          <cell r="H56">
            <v>7845</v>
          </cell>
          <cell r="I56">
            <v>0</v>
          </cell>
          <cell r="J56">
            <v>0</v>
          </cell>
          <cell r="K56">
            <v>0</v>
          </cell>
          <cell r="L56">
            <v>0</v>
          </cell>
          <cell r="M56">
            <v>7845</v>
          </cell>
          <cell r="N56">
            <v>7845</v>
          </cell>
          <cell r="O56">
            <v>53</v>
          </cell>
        </row>
        <row r="57">
          <cell r="D57" t="str">
            <v>주철관이형관운반</v>
          </cell>
          <cell r="E57">
            <v>1</v>
          </cell>
          <cell r="F57" t="str">
            <v>Ton</v>
          </cell>
          <cell r="G57">
            <v>18264</v>
          </cell>
          <cell r="H57">
            <v>18264</v>
          </cell>
          <cell r="I57">
            <v>0</v>
          </cell>
          <cell r="J57">
            <v>0</v>
          </cell>
          <cell r="K57">
            <v>0</v>
          </cell>
          <cell r="L57">
            <v>0</v>
          </cell>
          <cell r="M57">
            <v>18264</v>
          </cell>
          <cell r="N57">
            <v>18264</v>
          </cell>
          <cell r="O57">
            <v>54</v>
          </cell>
        </row>
        <row r="58">
          <cell r="D58" t="str">
            <v>아스팔트운반</v>
          </cell>
          <cell r="E58">
            <v>1</v>
          </cell>
          <cell r="F58" t="str">
            <v>D/M</v>
          </cell>
          <cell r="G58">
            <v>1781</v>
          </cell>
          <cell r="H58">
            <v>1781</v>
          </cell>
          <cell r="I58">
            <v>0</v>
          </cell>
          <cell r="J58">
            <v>0</v>
          </cell>
          <cell r="K58">
            <v>0</v>
          </cell>
          <cell r="L58">
            <v>0</v>
          </cell>
          <cell r="M58">
            <v>1781</v>
          </cell>
          <cell r="N58">
            <v>1781</v>
          </cell>
          <cell r="O58">
            <v>55</v>
          </cell>
        </row>
        <row r="59">
          <cell r="D59" t="str">
            <v>아스콘운반#467</v>
          </cell>
          <cell r="E59">
            <v>1</v>
          </cell>
          <cell r="F59" t="str">
            <v>Ton</v>
          </cell>
          <cell r="G59">
            <v>3690</v>
          </cell>
          <cell r="H59">
            <v>3690</v>
          </cell>
          <cell r="I59">
            <v>0</v>
          </cell>
          <cell r="J59">
            <v>0</v>
          </cell>
          <cell r="K59">
            <v>0</v>
          </cell>
          <cell r="L59">
            <v>0</v>
          </cell>
          <cell r="M59">
            <v>3690</v>
          </cell>
          <cell r="N59">
            <v>3690</v>
          </cell>
          <cell r="O59">
            <v>56</v>
          </cell>
        </row>
        <row r="60">
          <cell r="D60" t="str">
            <v>강재거푸집제작35회</v>
          </cell>
          <cell r="E60">
            <v>1</v>
          </cell>
          <cell r="F60" t="str">
            <v>Ton</v>
          </cell>
          <cell r="G60">
            <v>43444</v>
          </cell>
          <cell r="H60">
            <v>43444</v>
          </cell>
          <cell r="I60">
            <v>1063</v>
          </cell>
          <cell r="J60">
            <v>1063</v>
          </cell>
          <cell r="K60">
            <v>40944</v>
          </cell>
          <cell r="L60">
            <v>40944</v>
          </cell>
          <cell r="M60">
            <v>1437</v>
          </cell>
          <cell r="N60">
            <v>1437</v>
          </cell>
          <cell r="O60">
            <v>57</v>
          </cell>
        </row>
        <row r="61">
          <cell r="D61" t="str">
            <v>강재거푸집거치 및 해체</v>
          </cell>
          <cell r="E61">
            <v>1</v>
          </cell>
          <cell r="F61" t="str">
            <v>m2</v>
          </cell>
          <cell r="G61">
            <v>13373</v>
          </cell>
          <cell r="H61">
            <v>13373</v>
          </cell>
          <cell r="I61">
            <v>0</v>
          </cell>
          <cell r="J61">
            <v>0</v>
          </cell>
          <cell r="K61">
            <v>12984</v>
          </cell>
          <cell r="L61">
            <v>12984</v>
          </cell>
          <cell r="M61">
            <v>389</v>
          </cell>
          <cell r="N61">
            <v>389</v>
          </cell>
          <cell r="O61">
            <v>58</v>
          </cell>
        </row>
        <row r="62">
          <cell r="D62" t="str">
            <v>강재거푸집1호용/벽체35회</v>
          </cell>
          <cell r="E62">
            <v>1</v>
          </cell>
          <cell r="F62" t="str">
            <v>m2</v>
          </cell>
          <cell r="G62">
            <v>15943</v>
          </cell>
          <cell r="H62">
            <v>15943</v>
          </cell>
          <cell r="I62">
            <v>537</v>
          </cell>
          <cell r="J62">
            <v>537</v>
          </cell>
          <cell r="K62">
            <v>14949</v>
          </cell>
          <cell r="L62">
            <v>14949</v>
          </cell>
          <cell r="M62">
            <v>457</v>
          </cell>
          <cell r="N62">
            <v>457</v>
          </cell>
          <cell r="O62">
            <v>59</v>
          </cell>
        </row>
        <row r="63">
          <cell r="D63" t="str">
            <v>강재거푸집2호용/벽체35회</v>
          </cell>
          <cell r="E63">
            <v>1</v>
          </cell>
          <cell r="F63" t="str">
            <v>m2</v>
          </cell>
          <cell r="G63">
            <v>15828</v>
          </cell>
          <cell r="H63">
            <v>15828</v>
          </cell>
          <cell r="I63">
            <v>506</v>
          </cell>
          <cell r="J63">
            <v>506</v>
          </cell>
          <cell r="K63">
            <v>14867</v>
          </cell>
          <cell r="L63">
            <v>14867</v>
          </cell>
          <cell r="M63">
            <v>455</v>
          </cell>
          <cell r="N63">
            <v>455</v>
          </cell>
          <cell r="O63">
            <v>60</v>
          </cell>
        </row>
        <row r="64">
          <cell r="D64" t="str">
            <v>강재거푸집3호용/벽체35회</v>
          </cell>
          <cell r="E64">
            <v>1</v>
          </cell>
          <cell r="F64" t="str">
            <v>m2</v>
          </cell>
          <cell r="G64">
            <v>15726</v>
          </cell>
          <cell r="H64">
            <v>15726</v>
          </cell>
          <cell r="I64">
            <v>489</v>
          </cell>
          <cell r="J64">
            <v>489</v>
          </cell>
          <cell r="K64">
            <v>14785</v>
          </cell>
          <cell r="L64">
            <v>14785</v>
          </cell>
          <cell r="M64">
            <v>452</v>
          </cell>
          <cell r="N64">
            <v>452</v>
          </cell>
          <cell r="O64">
            <v>61</v>
          </cell>
        </row>
        <row r="65">
          <cell r="D65" t="str">
            <v>강재거푸집4호용/벽체35회</v>
          </cell>
          <cell r="E65">
            <v>1</v>
          </cell>
          <cell r="F65" t="str">
            <v>m2</v>
          </cell>
          <cell r="G65">
            <v>15669</v>
          </cell>
          <cell r="H65">
            <v>15669</v>
          </cell>
          <cell r="I65">
            <v>475</v>
          </cell>
          <cell r="J65">
            <v>475</v>
          </cell>
          <cell r="K65">
            <v>14744</v>
          </cell>
          <cell r="L65">
            <v>14744</v>
          </cell>
          <cell r="M65">
            <v>450</v>
          </cell>
          <cell r="N65">
            <v>450</v>
          </cell>
          <cell r="O65">
            <v>62</v>
          </cell>
        </row>
        <row r="66">
          <cell r="D66" t="str">
            <v>강재거푸집(바닥및높이조절용)1호용/차도측</v>
          </cell>
          <cell r="E66">
            <v>1</v>
          </cell>
          <cell r="F66" t="str">
            <v>개소</v>
          </cell>
          <cell r="G66">
            <v>47438</v>
          </cell>
          <cell r="H66">
            <v>47438</v>
          </cell>
          <cell r="I66">
            <v>2711</v>
          </cell>
          <cell r="J66">
            <v>2711</v>
          </cell>
          <cell r="K66">
            <v>43379</v>
          </cell>
          <cell r="L66">
            <v>43379</v>
          </cell>
          <cell r="M66">
            <v>1348</v>
          </cell>
          <cell r="N66">
            <v>1348</v>
          </cell>
          <cell r="O66">
            <v>63</v>
          </cell>
        </row>
        <row r="67">
          <cell r="D67" t="str">
            <v>강재거푸집(바닥및높이조절용)2호용/차도측</v>
          </cell>
          <cell r="E67">
            <v>1</v>
          </cell>
          <cell r="F67" t="str">
            <v>개소</v>
          </cell>
          <cell r="G67">
            <v>65292</v>
          </cell>
          <cell r="H67">
            <v>65292</v>
          </cell>
          <cell r="I67">
            <v>3517</v>
          </cell>
          <cell r="J67">
            <v>3517</v>
          </cell>
          <cell r="K67">
            <v>59920</v>
          </cell>
          <cell r="L67">
            <v>59920</v>
          </cell>
          <cell r="M67">
            <v>1855</v>
          </cell>
          <cell r="N67">
            <v>1855</v>
          </cell>
          <cell r="O67">
            <v>64</v>
          </cell>
        </row>
        <row r="68">
          <cell r="D68" t="str">
            <v>강재거푸집(바닥및높이조절용)3호용/차도측</v>
          </cell>
          <cell r="E68">
            <v>1</v>
          </cell>
          <cell r="F68" t="str">
            <v>개소</v>
          </cell>
          <cell r="G68">
            <v>72161</v>
          </cell>
          <cell r="H68">
            <v>72161</v>
          </cell>
          <cell r="I68">
            <v>3583</v>
          </cell>
          <cell r="J68">
            <v>3583</v>
          </cell>
          <cell r="K68">
            <v>66520</v>
          </cell>
          <cell r="L68">
            <v>66520</v>
          </cell>
          <cell r="M68">
            <v>2058</v>
          </cell>
          <cell r="N68">
            <v>2058</v>
          </cell>
          <cell r="O68">
            <v>65</v>
          </cell>
        </row>
        <row r="69">
          <cell r="D69" t="str">
            <v>강재거푸집(바닥및높이조절용)4호용/차도측</v>
          </cell>
          <cell r="E69">
            <v>1</v>
          </cell>
          <cell r="F69" t="str">
            <v>개소</v>
          </cell>
          <cell r="G69">
            <v>95090</v>
          </cell>
          <cell r="H69">
            <v>95090</v>
          </cell>
          <cell r="I69">
            <v>4275</v>
          </cell>
          <cell r="J69">
            <v>4275</v>
          </cell>
          <cell r="K69">
            <v>88097</v>
          </cell>
          <cell r="L69">
            <v>88097</v>
          </cell>
          <cell r="M69">
            <v>2718</v>
          </cell>
          <cell r="N69">
            <v>2718</v>
          </cell>
          <cell r="O69">
            <v>66</v>
          </cell>
        </row>
        <row r="70">
          <cell r="D70" t="str">
            <v>강재거푸집(바닥및높이조절용)1호용/보도측</v>
          </cell>
          <cell r="E70">
            <v>1</v>
          </cell>
          <cell r="F70" t="str">
            <v>개소</v>
          </cell>
          <cell r="G70">
            <v>43392</v>
          </cell>
          <cell r="H70">
            <v>43392</v>
          </cell>
          <cell r="I70">
            <v>2558</v>
          </cell>
          <cell r="J70">
            <v>2558</v>
          </cell>
          <cell r="K70">
            <v>39601</v>
          </cell>
          <cell r="L70">
            <v>39601</v>
          </cell>
          <cell r="M70">
            <v>1233</v>
          </cell>
          <cell r="N70">
            <v>1233</v>
          </cell>
          <cell r="O70">
            <v>67</v>
          </cell>
        </row>
        <row r="71">
          <cell r="D71" t="str">
            <v>주철관운반D = 400 mm</v>
          </cell>
          <cell r="E71">
            <v>1</v>
          </cell>
          <cell r="F71" t="str">
            <v>본</v>
          </cell>
          <cell r="G71">
            <v>9465</v>
          </cell>
          <cell r="H71">
            <v>9465</v>
          </cell>
          <cell r="I71">
            <v>0</v>
          </cell>
          <cell r="J71">
            <v>0</v>
          </cell>
          <cell r="K71">
            <v>0</v>
          </cell>
          <cell r="L71">
            <v>0</v>
          </cell>
          <cell r="M71">
            <v>9465</v>
          </cell>
          <cell r="N71">
            <v>9465</v>
          </cell>
          <cell r="O71">
            <v>68</v>
          </cell>
        </row>
        <row r="72">
          <cell r="D72" t="str">
            <v>중기운반비울산시청→현장,10km</v>
          </cell>
          <cell r="E72">
            <v>1</v>
          </cell>
          <cell r="F72" t="str">
            <v>식</v>
          </cell>
          <cell r="G72">
            <v>4218620</v>
          </cell>
          <cell r="H72">
            <v>4218620</v>
          </cell>
          <cell r="I72">
            <v>0</v>
          </cell>
          <cell r="J72">
            <v>0</v>
          </cell>
          <cell r="K72">
            <v>0</v>
          </cell>
          <cell r="L72">
            <v>0</v>
          </cell>
          <cell r="M72">
            <v>4218620</v>
          </cell>
          <cell r="N72">
            <v>4218620</v>
          </cell>
          <cell r="O72">
            <v>69</v>
          </cell>
        </row>
        <row r="73">
          <cell r="D73" t="str">
            <v>CCTV촬영비270M당</v>
          </cell>
          <cell r="E73">
            <v>1</v>
          </cell>
          <cell r="F73" t="str">
            <v>회</v>
          </cell>
          <cell r="G73">
            <v>805128</v>
          </cell>
          <cell r="H73">
            <v>805128</v>
          </cell>
          <cell r="I73">
            <v>136656</v>
          </cell>
          <cell r="J73">
            <v>136656</v>
          </cell>
          <cell r="K73">
            <v>452244</v>
          </cell>
          <cell r="L73">
            <v>452244</v>
          </cell>
          <cell r="M73">
            <v>216228</v>
          </cell>
          <cell r="N73">
            <v>216228</v>
          </cell>
          <cell r="O73">
            <v>70</v>
          </cell>
        </row>
        <row r="74">
          <cell r="D74" t="str">
            <v>소형고압블록포장T=6-8cm</v>
          </cell>
          <cell r="E74">
            <v>1</v>
          </cell>
          <cell r="F74" t="str">
            <v>a</v>
          </cell>
          <cell r="G74">
            <v>490560</v>
          </cell>
          <cell r="H74">
            <v>490560</v>
          </cell>
          <cell r="I74">
            <v>1536</v>
          </cell>
          <cell r="J74">
            <v>1536</v>
          </cell>
          <cell r="K74">
            <v>488459</v>
          </cell>
          <cell r="L74">
            <v>488459</v>
          </cell>
          <cell r="M74">
            <v>565</v>
          </cell>
          <cell r="N74">
            <v>565</v>
          </cell>
          <cell r="O74">
            <v>71</v>
          </cell>
        </row>
        <row r="75">
          <cell r="D75" t="str">
            <v>마사토부설 및 다짐인력(20%)+기계(80%)</v>
          </cell>
          <cell r="E75">
            <v>1</v>
          </cell>
          <cell r="F75" t="str">
            <v>m3</v>
          </cell>
          <cell r="G75">
            <v>17944</v>
          </cell>
          <cell r="H75">
            <v>17944</v>
          </cell>
          <cell r="I75">
            <v>1439</v>
          </cell>
          <cell r="J75">
            <v>1439</v>
          </cell>
          <cell r="K75">
            <v>11905</v>
          </cell>
          <cell r="L75">
            <v>11905</v>
          </cell>
          <cell r="M75">
            <v>4600</v>
          </cell>
          <cell r="N75">
            <v>4600</v>
          </cell>
          <cell r="O75">
            <v>72</v>
          </cell>
        </row>
        <row r="76">
          <cell r="D76" t="str">
            <v>표면다짐</v>
          </cell>
          <cell r="E76">
            <v>1</v>
          </cell>
          <cell r="F76" t="str">
            <v>m2</v>
          </cell>
          <cell r="G76">
            <v>162</v>
          </cell>
          <cell r="H76">
            <v>162</v>
          </cell>
          <cell r="I76">
            <v>20</v>
          </cell>
          <cell r="J76">
            <v>20</v>
          </cell>
          <cell r="K76">
            <v>135</v>
          </cell>
          <cell r="L76">
            <v>135</v>
          </cell>
          <cell r="M76">
            <v>7</v>
          </cell>
          <cell r="N76">
            <v>7</v>
          </cell>
          <cell r="O76">
            <v>73</v>
          </cell>
        </row>
        <row r="77">
          <cell r="D77" t="str">
            <v>잡석부설 및 다짐φ150mm이하</v>
          </cell>
          <cell r="E77">
            <v>1</v>
          </cell>
          <cell r="F77" t="str">
            <v>m3</v>
          </cell>
          <cell r="G77">
            <v>4078</v>
          </cell>
          <cell r="H77">
            <v>4078</v>
          </cell>
          <cell r="I77">
            <v>325</v>
          </cell>
          <cell r="J77">
            <v>325</v>
          </cell>
          <cell r="K77">
            <v>3375</v>
          </cell>
          <cell r="L77">
            <v>3375</v>
          </cell>
          <cell r="M77">
            <v>378</v>
          </cell>
          <cell r="N77">
            <v>378</v>
          </cell>
          <cell r="O77">
            <v>74</v>
          </cell>
        </row>
        <row r="78">
          <cell r="D78" t="str">
            <v>쇄석부설 및 다짐(맹암거용)φ25-50mm</v>
          </cell>
          <cell r="E78">
            <v>1</v>
          </cell>
          <cell r="F78" t="str">
            <v>m3</v>
          </cell>
          <cell r="G78">
            <v>20672</v>
          </cell>
          <cell r="H78">
            <v>20672</v>
          </cell>
          <cell r="I78">
            <v>145</v>
          </cell>
          <cell r="J78">
            <v>145</v>
          </cell>
          <cell r="K78">
            <v>20171</v>
          </cell>
          <cell r="L78">
            <v>20171</v>
          </cell>
          <cell r="M78">
            <v>356</v>
          </cell>
          <cell r="N78">
            <v>356</v>
          </cell>
          <cell r="O78">
            <v>75</v>
          </cell>
        </row>
        <row r="79">
          <cell r="D79" t="str">
            <v>뒷채움잡석부설 및 다짐</v>
          </cell>
          <cell r="E79">
            <v>1</v>
          </cell>
          <cell r="F79" t="str">
            <v>m3</v>
          </cell>
          <cell r="G79">
            <v>22322</v>
          </cell>
          <cell r="H79">
            <v>22322</v>
          </cell>
          <cell r="I79">
            <v>145</v>
          </cell>
          <cell r="J79">
            <v>145</v>
          </cell>
          <cell r="K79">
            <v>21821</v>
          </cell>
          <cell r="L79">
            <v>21821</v>
          </cell>
          <cell r="M79">
            <v>356</v>
          </cell>
          <cell r="N79">
            <v>356</v>
          </cell>
          <cell r="O79">
            <v>76</v>
          </cell>
        </row>
        <row r="80">
          <cell r="D80" t="str">
            <v>아스콘깨기</v>
          </cell>
          <cell r="E80">
            <v>1</v>
          </cell>
          <cell r="F80" t="str">
            <v>m3</v>
          </cell>
          <cell r="G80">
            <v>10021</v>
          </cell>
          <cell r="H80">
            <v>10021</v>
          </cell>
          <cell r="I80">
            <v>1683</v>
          </cell>
          <cell r="J80">
            <v>1683</v>
          </cell>
          <cell r="K80">
            <v>3794</v>
          </cell>
          <cell r="L80">
            <v>3794</v>
          </cell>
          <cell r="M80">
            <v>4544</v>
          </cell>
          <cell r="N80">
            <v>4544</v>
          </cell>
          <cell r="O80">
            <v>77</v>
          </cell>
        </row>
        <row r="81">
          <cell r="D81" t="str">
            <v>보조기층절취 및 운반L=1.0km</v>
          </cell>
          <cell r="E81">
            <v>1</v>
          </cell>
          <cell r="F81" t="str">
            <v>m3</v>
          </cell>
          <cell r="G81">
            <v>4529</v>
          </cell>
          <cell r="H81">
            <v>4529</v>
          </cell>
          <cell r="I81">
            <v>1407</v>
          </cell>
          <cell r="J81">
            <v>1407</v>
          </cell>
          <cell r="K81">
            <v>1413</v>
          </cell>
          <cell r="L81">
            <v>1413</v>
          </cell>
          <cell r="M81">
            <v>1709</v>
          </cell>
          <cell r="N81">
            <v>1709</v>
          </cell>
          <cell r="O81">
            <v>78</v>
          </cell>
        </row>
        <row r="82">
          <cell r="D82" t="str">
            <v>다웰바 설치공</v>
          </cell>
          <cell r="E82">
            <v>1</v>
          </cell>
          <cell r="F82" t="str">
            <v>EA</v>
          </cell>
          <cell r="G82">
            <v>4912</v>
          </cell>
          <cell r="H82">
            <v>4912</v>
          </cell>
          <cell r="I82">
            <v>1612</v>
          </cell>
          <cell r="J82">
            <v>1612</v>
          </cell>
          <cell r="K82">
            <v>3300</v>
          </cell>
          <cell r="L82">
            <v>3300</v>
          </cell>
          <cell r="M82">
            <v>0</v>
          </cell>
          <cell r="N82">
            <v>0</v>
          </cell>
          <cell r="O82">
            <v>79</v>
          </cell>
        </row>
        <row r="83">
          <cell r="D83" t="str">
            <v xml:space="preserve">강널말뚝박기 </v>
          </cell>
          <cell r="E83">
            <v>1</v>
          </cell>
          <cell r="F83" t="str">
            <v>본</v>
          </cell>
          <cell r="G83">
            <v>57688</v>
          </cell>
          <cell r="H83">
            <v>57688</v>
          </cell>
          <cell r="I83">
            <v>9431</v>
          </cell>
          <cell r="J83">
            <v>9431</v>
          </cell>
          <cell r="K83">
            <v>22323</v>
          </cell>
          <cell r="L83">
            <v>22323</v>
          </cell>
          <cell r="M83">
            <v>25934</v>
          </cell>
          <cell r="N83">
            <v>25934</v>
          </cell>
          <cell r="O83">
            <v>80</v>
          </cell>
        </row>
        <row r="84">
          <cell r="D84" t="str">
            <v>터파기(불량)준설</v>
          </cell>
          <cell r="E84">
            <v>1</v>
          </cell>
          <cell r="F84" t="str">
            <v>m3</v>
          </cell>
          <cell r="G84">
            <v>2077</v>
          </cell>
          <cell r="H84">
            <v>2077</v>
          </cell>
          <cell r="I84">
            <v>346</v>
          </cell>
          <cell r="J84">
            <v>346</v>
          </cell>
          <cell r="K84">
            <v>883</v>
          </cell>
          <cell r="L84">
            <v>883</v>
          </cell>
          <cell r="M84">
            <v>848</v>
          </cell>
          <cell r="N84">
            <v>848</v>
          </cell>
          <cell r="O84">
            <v>81</v>
          </cell>
        </row>
        <row r="85">
          <cell r="D85" t="str">
            <v>표토제거불도저 19Ton</v>
          </cell>
          <cell r="E85">
            <v>1</v>
          </cell>
          <cell r="F85" t="str">
            <v>m2</v>
          </cell>
          <cell r="G85">
            <v>214</v>
          </cell>
          <cell r="H85">
            <v>214</v>
          </cell>
          <cell r="I85">
            <v>59</v>
          </cell>
          <cell r="J85">
            <v>59</v>
          </cell>
          <cell r="K85">
            <v>66</v>
          </cell>
          <cell r="L85">
            <v>66</v>
          </cell>
          <cell r="M85">
            <v>89</v>
          </cell>
          <cell r="N85">
            <v>89</v>
          </cell>
          <cell r="O85">
            <v>82</v>
          </cell>
        </row>
        <row r="86">
          <cell r="D86" t="str">
            <v>잡석포설 및 다짐φ40mm혼합</v>
          </cell>
          <cell r="E86">
            <v>1</v>
          </cell>
          <cell r="F86" t="str">
            <v>m3</v>
          </cell>
          <cell r="G86">
            <v>3204</v>
          </cell>
          <cell r="H86">
            <v>3204</v>
          </cell>
          <cell r="I86">
            <v>356</v>
          </cell>
          <cell r="J86">
            <v>356</v>
          </cell>
          <cell r="K86">
            <v>2071</v>
          </cell>
          <cell r="L86">
            <v>2071</v>
          </cell>
          <cell r="M86">
            <v>777</v>
          </cell>
          <cell r="N86">
            <v>777</v>
          </cell>
          <cell r="O86">
            <v>83</v>
          </cell>
        </row>
        <row r="87">
          <cell r="D87" t="str">
            <v>잔토처리인력(10%)+기계(90%)</v>
          </cell>
          <cell r="E87">
            <v>1</v>
          </cell>
          <cell r="F87" t="str">
            <v>m3</v>
          </cell>
          <cell r="G87">
            <v>1095</v>
          </cell>
          <cell r="H87">
            <v>1095</v>
          </cell>
          <cell r="I87">
            <v>121</v>
          </cell>
          <cell r="J87">
            <v>121</v>
          </cell>
          <cell r="K87">
            <v>794</v>
          </cell>
          <cell r="L87">
            <v>794</v>
          </cell>
          <cell r="M87">
            <v>180</v>
          </cell>
          <cell r="N87">
            <v>180</v>
          </cell>
          <cell r="O87">
            <v>84</v>
          </cell>
        </row>
        <row r="88">
          <cell r="D88" t="str">
            <v>잔토처리인력(30%)+기계(70%)</v>
          </cell>
          <cell r="E88">
            <v>1</v>
          </cell>
          <cell r="F88" t="str">
            <v>m3</v>
          </cell>
          <cell r="G88">
            <v>2318</v>
          </cell>
          <cell r="H88">
            <v>2318</v>
          </cell>
          <cell r="I88">
            <v>94</v>
          </cell>
          <cell r="J88">
            <v>94</v>
          </cell>
          <cell r="K88">
            <v>2084</v>
          </cell>
          <cell r="L88">
            <v>2084</v>
          </cell>
          <cell r="M88">
            <v>140</v>
          </cell>
          <cell r="N88">
            <v>140</v>
          </cell>
          <cell r="O88">
            <v>85</v>
          </cell>
        </row>
        <row r="89">
          <cell r="D89" t="str">
            <v>모래부설인력(20%)+기계(80%)</v>
          </cell>
          <cell r="E89">
            <v>1</v>
          </cell>
          <cell r="F89" t="str">
            <v>m3</v>
          </cell>
          <cell r="G89">
            <v>6785</v>
          </cell>
          <cell r="H89">
            <v>6785</v>
          </cell>
          <cell r="I89">
            <v>86</v>
          </cell>
          <cell r="J89">
            <v>86</v>
          </cell>
          <cell r="K89">
            <v>6489</v>
          </cell>
          <cell r="L89">
            <v>6489</v>
          </cell>
          <cell r="M89">
            <v>210</v>
          </cell>
          <cell r="N89">
            <v>210</v>
          </cell>
          <cell r="O89">
            <v>86</v>
          </cell>
        </row>
        <row r="90">
          <cell r="D90" t="str">
            <v>잡석부설φ150mm이하</v>
          </cell>
          <cell r="E90">
            <v>1</v>
          </cell>
          <cell r="F90" t="str">
            <v>m3</v>
          </cell>
          <cell r="G90">
            <v>2475</v>
          </cell>
          <cell r="H90">
            <v>2475</v>
          </cell>
          <cell r="I90">
            <v>104</v>
          </cell>
          <cell r="J90">
            <v>104</v>
          </cell>
          <cell r="K90">
            <v>2115</v>
          </cell>
          <cell r="L90">
            <v>2115</v>
          </cell>
          <cell r="M90">
            <v>256</v>
          </cell>
          <cell r="N90">
            <v>256</v>
          </cell>
          <cell r="O90">
            <v>87</v>
          </cell>
        </row>
        <row r="91">
          <cell r="D91" t="str">
            <v>표층포설및다짐칼라투수콘(T=10cm)</v>
          </cell>
          <cell r="E91">
            <v>1</v>
          </cell>
          <cell r="F91" t="str">
            <v>a</v>
          </cell>
          <cell r="G91">
            <v>310314</v>
          </cell>
          <cell r="H91">
            <v>310314</v>
          </cell>
          <cell r="I91">
            <v>2362</v>
          </cell>
          <cell r="J91">
            <v>2362</v>
          </cell>
          <cell r="K91">
            <v>303544</v>
          </cell>
          <cell r="L91">
            <v>303544</v>
          </cell>
          <cell r="M91">
            <v>4408</v>
          </cell>
          <cell r="N91">
            <v>4408</v>
          </cell>
          <cell r="O91">
            <v>88</v>
          </cell>
        </row>
        <row r="92">
          <cell r="D92" t="str">
            <v>줄눈설치</v>
          </cell>
          <cell r="E92">
            <v>1</v>
          </cell>
          <cell r="F92" t="str">
            <v>m</v>
          </cell>
          <cell r="G92">
            <v>2631</v>
          </cell>
          <cell r="H92">
            <v>2631</v>
          </cell>
          <cell r="I92">
            <v>1013</v>
          </cell>
          <cell r="J92">
            <v>1013</v>
          </cell>
          <cell r="K92">
            <v>1569</v>
          </cell>
          <cell r="L92">
            <v>1569</v>
          </cell>
          <cell r="M92">
            <v>49</v>
          </cell>
          <cell r="N92">
            <v>49</v>
          </cell>
          <cell r="O92">
            <v>89</v>
          </cell>
        </row>
        <row r="93">
          <cell r="D93" t="str">
            <v>표면보호공</v>
          </cell>
          <cell r="E93">
            <v>1</v>
          </cell>
          <cell r="F93" t="str">
            <v>a</v>
          </cell>
          <cell r="G93">
            <v>161122</v>
          </cell>
          <cell r="H93">
            <v>161122</v>
          </cell>
          <cell r="I93">
            <v>79253</v>
          </cell>
          <cell r="J93">
            <v>79253</v>
          </cell>
          <cell r="K93">
            <v>81857</v>
          </cell>
          <cell r="L93">
            <v>81857</v>
          </cell>
          <cell r="M93">
            <v>12</v>
          </cell>
          <cell r="N93">
            <v>12</v>
          </cell>
          <cell r="O93">
            <v>90</v>
          </cell>
        </row>
        <row r="94">
          <cell r="D94" t="str">
            <v>점토벽돌포설 및 다짐T=6cm</v>
          </cell>
          <cell r="E94">
            <v>1</v>
          </cell>
          <cell r="F94" t="str">
            <v>a</v>
          </cell>
          <cell r="G94">
            <v>490560</v>
          </cell>
          <cell r="H94">
            <v>490560</v>
          </cell>
          <cell r="I94">
            <v>24311</v>
          </cell>
          <cell r="J94">
            <v>24311</v>
          </cell>
          <cell r="K94">
            <v>465684</v>
          </cell>
          <cell r="L94">
            <v>465684</v>
          </cell>
          <cell r="M94">
            <v>565</v>
          </cell>
          <cell r="N94">
            <v>565</v>
          </cell>
          <cell r="O94">
            <v>91</v>
          </cell>
        </row>
        <row r="95">
          <cell r="D95" t="str">
            <v>아스콘운반#78</v>
          </cell>
          <cell r="E95">
            <v>1</v>
          </cell>
          <cell r="F95" t="str">
            <v>Ton</v>
          </cell>
          <cell r="G95">
            <v>4167</v>
          </cell>
          <cell r="H95">
            <v>4167</v>
          </cell>
          <cell r="I95">
            <v>0</v>
          </cell>
          <cell r="J95">
            <v>0</v>
          </cell>
          <cell r="K95">
            <v>0</v>
          </cell>
          <cell r="L95">
            <v>0</v>
          </cell>
          <cell r="M95">
            <v>4167</v>
          </cell>
          <cell r="N95">
            <v>4167</v>
          </cell>
          <cell r="O95">
            <v>92</v>
          </cell>
        </row>
        <row r="96">
          <cell r="D96" t="str">
            <v>터파기(배수로)기계,불량</v>
          </cell>
          <cell r="E96">
            <v>1</v>
          </cell>
          <cell r="F96" t="str">
            <v>m3</v>
          </cell>
          <cell r="G96">
            <v>4379</v>
          </cell>
          <cell r="H96">
            <v>4379</v>
          </cell>
          <cell r="I96">
            <v>396</v>
          </cell>
          <cell r="J96">
            <v>396</v>
          </cell>
          <cell r="K96">
            <v>2798</v>
          </cell>
          <cell r="L96">
            <v>2798</v>
          </cell>
          <cell r="M96">
            <v>1185</v>
          </cell>
          <cell r="N96">
            <v>1185</v>
          </cell>
          <cell r="O96">
            <v>93</v>
          </cell>
        </row>
        <row r="97">
          <cell r="D97" t="str">
            <v>살수</v>
          </cell>
          <cell r="E97">
            <v>1</v>
          </cell>
          <cell r="F97" t="str">
            <v>일</v>
          </cell>
          <cell r="G97">
            <v>31496</v>
          </cell>
          <cell r="H97">
            <v>31496</v>
          </cell>
          <cell r="I97">
            <v>10540</v>
          </cell>
          <cell r="J97">
            <v>10540</v>
          </cell>
          <cell r="K97">
            <v>15312</v>
          </cell>
          <cell r="L97">
            <v>15312</v>
          </cell>
          <cell r="M97">
            <v>5644</v>
          </cell>
          <cell r="N97">
            <v>5644</v>
          </cell>
          <cell r="O97">
            <v>94</v>
          </cell>
        </row>
        <row r="98">
          <cell r="D98" t="str">
            <v>석축헐기</v>
          </cell>
          <cell r="E98">
            <v>1</v>
          </cell>
          <cell r="F98" t="str">
            <v>m3</v>
          </cell>
          <cell r="G98">
            <v>14086</v>
          </cell>
          <cell r="H98">
            <v>14086</v>
          </cell>
          <cell r="I98">
            <v>1727</v>
          </cell>
          <cell r="J98">
            <v>1727</v>
          </cell>
          <cell r="K98">
            <v>7873</v>
          </cell>
          <cell r="L98">
            <v>7873</v>
          </cell>
          <cell r="M98">
            <v>4486</v>
          </cell>
          <cell r="N98">
            <v>4486</v>
          </cell>
          <cell r="O98">
            <v>95</v>
          </cell>
        </row>
        <row r="99">
          <cell r="D99" t="str">
            <v>시험비</v>
          </cell>
          <cell r="E99">
            <v>1</v>
          </cell>
          <cell r="F99" t="str">
            <v>식</v>
          </cell>
          <cell r="G99">
            <v>50288950</v>
          </cell>
          <cell r="H99">
            <v>50288950</v>
          </cell>
          <cell r="I99">
            <v>0</v>
          </cell>
          <cell r="J99">
            <v>0</v>
          </cell>
          <cell r="K99">
            <v>0</v>
          </cell>
          <cell r="L99">
            <v>0</v>
          </cell>
          <cell r="M99">
            <v>50288950</v>
          </cell>
          <cell r="N99">
            <v>50288950</v>
          </cell>
          <cell r="O99">
            <v>96</v>
          </cell>
        </row>
        <row r="100">
          <cell r="D100" t="str">
            <v>적사로더 1.72m3</v>
          </cell>
          <cell r="E100">
            <v>1</v>
          </cell>
          <cell r="F100" t="str">
            <v>m3</v>
          </cell>
          <cell r="G100">
            <v>1002</v>
          </cell>
          <cell r="H100">
            <v>1002</v>
          </cell>
          <cell r="I100">
            <v>249</v>
          </cell>
          <cell r="J100">
            <v>249</v>
          </cell>
          <cell r="K100">
            <v>399</v>
          </cell>
          <cell r="L100">
            <v>399</v>
          </cell>
          <cell r="M100">
            <v>354</v>
          </cell>
          <cell r="N100">
            <v>354</v>
          </cell>
          <cell r="O100">
            <v>97</v>
          </cell>
        </row>
        <row r="101">
          <cell r="D101" t="str">
            <v>강널말뚝운반포항-현장</v>
          </cell>
          <cell r="E101">
            <v>1</v>
          </cell>
          <cell r="F101" t="str">
            <v>Ton</v>
          </cell>
          <cell r="G101">
            <v>34993</v>
          </cell>
          <cell r="H101">
            <v>34993</v>
          </cell>
          <cell r="I101">
            <v>0</v>
          </cell>
          <cell r="J101">
            <v>0</v>
          </cell>
          <cell r="K101">
            <v>0</v>
          </cell>
          <cell r="L101">
            <v>0</v>
          </cell>
          <cell r="M101">
            <v>34993</v>
          </cell>
          <cell r="N101">
            <v>34993</v>
          </cell>
          <cell r="O101">
            <v>98</v>
          </cell>
        </row>
        <row r="102">
          <cell r="D102" t="str">
            <v>VR관운반</v>
          </cell>
          <cell r="E102">
            <v>1</v>
          </cell>
          <cell r="F102" t="str">
            <v>Ton</v>
          </cell>
          <cell r="G102">
            <v>21763</v>
          </cell>
          <cell r="H102">
            <v>21763</v>
          </cell>
          <cell r="I102">
            <v>0</v>
          </cell>
          <cell r="J102">
            <v>0</v>
          </cell>
          <cell r="K102">
            <v>0</v>
          </cell>
          <cell r="L102">
            <v>0</v>
          </cell>
          <cell r="M102">
            <v>21763</v>
          </cell>
          <cell r="N102">
            <v>21763</v>
          </cell>
          <cell r="O102">
            <v>99</v>
          </cell>
        </row>
        <row r="103">
          <cell r="D103" t="str">
            <v>VR관운반D = 300mm</v>
          </cell>
          <cell r="E103">
            <v>1</v>
          </cell>
          <cell r="F103" t="str">
            <v>본</v>
          </cell>
          <cell r="G103">
            <v>8117</v>
          </cell>
          <cell r="H103">
            <v>8117</v>
          </cell>
          <cell r="I103">
            <v>0</v>
          </cell>
          <cell r="J103">
            <v>0</v>
          </cell>
          <cell r="K103">
            <v>0</v>
          </cell>
          <cell r="L103">
            <v>0</v>
          </cell>
          <cell r="M103">
            <v>8117</v>
          </cell>
          <cell r="N103">
            <v>8117</v>
          </cell>
          <cell r="O103">
            <v>100</v>
          </cell>
        </row>
        <row r="104">
          <cell r="D104" t="str">
            <v>VR관운반D = 450mm</v>
          </cell>
          <cell r="E104">
            <v>1</v>
          </cell>
          <cell r="F104" t="str">
            <v>본</v>
          </cell>
          <cell r="G104">
            <v>15081</v>
          </cell>
          <cell r="H104">
            <v>15081</v>
          </cell>
          <cell r="I104">
            <v>0</v>
          </cell>
          <cell r="J104">
            <v>0</v>
          </cell>
          <cell r="K104">
            <v>0</v>
          </cell>
          <cell r="L104">
            <v>0</v>
          </cell>
          <cell r="M104">
            <v>15081</v>
          </cell>
          <cell r="N104">
            <v>15081</v>
          </cell>
          <cell r="O104">
            <v>101</v>
          </cell>
        </row>
        <row r="105">
          <cell r="D105" t="str">
            <v>VR관운반D = 500mm</v>
          </cell>
          <cell r="E105">
            <v>1</v>
          </cell>
          <cell r="F105" t="str">
            <v>본</v>
          </cell>
          <cell r="G105">
            <v>18346</v>
          </cell>
          <cell r="H105">
            <v>18346</v>
          </cell>
          <cell r="I105">
            <v>0</v>
          </cell>
          <cell r="J105">
            <v>0</v>
          </cell>
          <cell r="K105">
            <v>0</v>
          </cell>
          <cell r="L105">
            <v>0</v>
          </cell>
          <cell r="M105">
            <v>18346</v>
          </cell>
          <cell r="N105">
            <v>18346</v>
          </cell>
          <cell r="O105">
            <v>102</v>
          </cell>
        </row>
        <row r="106">
          <cell r="D106" t="str">
            <v>VR관운반D = 600mm</v>
          </cell>
          <cell r="E106">
            <v>1</v>
          </cell>
          <cell r="F106" t="str">
            <v>본</v>
          </cell>
          <cell r="G106">
            <v>23656</v>
          </cell>
          <cell r="H106">
            <v>23656</v>
          </cell>
          <cell r="I106">
            <v>0</v>
          </cell>
          <cell r="J106">
            <v>0</v>
          </cell>
          <cell r="K106">
            <v>0</v>
          </cell>
          <cell r="L106">
            <v>0</v>
          </cell>
          <cell r="M106">
            <v>23656</v>
          </cell>
          <cell r="N106">
            <v>23656</v>
          </cell>
          <cell r="O106">
            <v>103</v>
          </cell>
        </row>
        <row r="107">
          <cell r="D107" t="str">
            <v>VR관운반D = 700mm</v>
          </cell>
          <cell r="E107">
            <v>1</v>
          </cell>
          <cell r="F107" t="str">
            <v>본</v>
          </cell>
          <cell r="G107">
            <v>30751</v>
          </cell>
          <cell r="H107">
            <v>30751</v>
          </cell>
          <cell r="I107">
            <v>0</v>
          </cell>
          <cell r="J107">
            <v>0</v>
          </cell>
          <cell r="K107">
            <v>0</v>
          </cell>
          <cell r="L107">
            <v>0</v>
          </cell>
          <cell r="M107">
            <v>30751</v>
          </cell>
          <cell r="N107">
            <v>30751</v>
          </cell>
          <cell r="O107">
            <v>104</v>
          </cell>
        </row>
        <row r="108">
          <cell r="D108" t="str">
            <v>VR관운반D = 800mm</v>
          </cell>
          <cell r="E108">
            <v>1</v>
          </cell>
          <cell r="F108" t="str">
            <v>본</v>
          </cell>
          <cell r="G108">
            <v>39391</v>
          </cell>
          <cell r="H108">
            <v>39391</v>
          </cell>
          <cell r="I108">
            <v>0</v>
          </cell>
          <cell r="J108">
            <v>0</v>
          </cell>
          <cell r="K108">
            <v>0</v>
          </cell>
          <cell r="L108">
            <v>0</v>
          </cell>
          <cell r="M108">
            <v>39391</v>
          </cell>
          <cell r="N108">
            <v>39391</v>
          </cell>
          <cell r="O108">
            <v>105</v>
          </cell>
        </row>
        <row r="109">
          <cell r="D109" t="str">
            <v>VR관운반D = 900mm</v>
          </cell>
          <cell r="E109">
            <v>1</v>
          </cell>
          <cell r="F109" t="str">
            <v>본</v>
          </cell>
          <cell r="G109">
            <v>43895</v>
          </cell>
          <cell r="H109">
            <v>43895</v>
          </cell>
          <cell r="I109">
            <v>0</v>
          </cell>
          <cell r="J109">
            <v>0</v>
          </cell>
          <cell r="K109">
            <v>0</v>
          </cell>
          <cell r="L109">
            <v>0</v>
          </cell>
          <cell r="M109">
            <v>43895</v>
          </cell>
          <cell r="N109">
            <v>43895</v>
          </cell>
          <cell r="O109">
            <v>106</v>
          </cell>
        </row>
        <row r="110">
          <cell r="D110" t="str">
            <v>VR관운반D = 1000mm</v>
          </cell>
          <cell r="E110">
            <v>1</v>
          </cell>
          <cell r="F110" t="str">
            <v>본</v>
          </cell>
          <cell r="G110">
            <v>55778</v>
          </cell>
          <cell r="H110">
            <v>55778</v>
          </cell>
          <cell r="I110">
            <v>0</v>
          </cell>
          <cell r="J110">
            <v>0</v>
          </cell>
          <cell r="K110">
            <v>0</v>
          </cell>
          <cell r="L110">
            <v>0</v>
          </cell>
          <cell r="M110">
            <v>55778</v>
          </cell>
          <cell r="N110">
            <v>55778</v>
          </cell>
          <cell r="O110">
            <v>107</v>
          </cell>
        </row>
        <row r="111">
          <cell r="D111" t="str">
            <v>VR관운반D = 1200mm</v>
          </cell>
          <cell r="E111">
            <v>1</v>
          </cell>
          <cell r="F111" t="str">
            <v>본</v>
          </cell>
          <cell r="G111">
            <v>76388</v>
          </cell>
          <cell r="H111">
            <v>76388</v>
          </cell>
          <cell r="I111">
            <v>0</v>
          </cell>
          <cell r="J111">
            <v>0</v>
          </cell>
          <cell r="K111">
            <v>0</v>
          </cell>
          <cell r="L111">
            <v>0</v>
          </cell>
          <cell r="M111">
            <v>76388</v>
          </cell>
          <cell r="N111">
            <v>76388</v>
          </cell>
          <cell r="O111">
            <v>108</v>
          </cell>
        </row>
        <row r="112">
          <cell r="D112" t="str">
            <v>상,하차/운반비R 8</v>
          </cell>
          <cell r="E112">
            <v>1</v>
          </cell>
          <cell r="F112" t="str">
            <v>주</v>
          </cell>
          <cell r="G112">
            <v>3215</v>
          </cell>
          <cell r="H112">
            <v>3215</v>
          </cell>
          <cell r="J112">
            <v>0</v>
          </cell>
          <cell r="L112">
            <v>0</v>
          </cell>
          <cell r="M112">
            <v>3215</v>
          </cell>
          <cell r="N112">
            <v>3215</v>
          </cell>
          <cell r="O112">
            <v>109</v>
          </cell>
        </row>
        <row r="113">
          <cell r="D113" t="str">
            <v>상,하차/운반비R 10-12</v>
          </cell>
          <cell r="E113">
            <v>1</v>
          </cell>
          <cell r="F113" t="str">
            <v>주</v>
          </cell>
          <cell r="G113">
            <v>3876</v>
          </cell>
          <cell r="H113">
            <v>3876</v>
          </cell>
          <cell r="J113">
            <v>0</v>
          </cell>
          <cell r="L113">
            <v>0</v>
          </cell>
          <cell r="M113">
            <v>3876</v>
          </cell>
          <cell r="N113">
            <v>3876</v>
          </cell>
          <cell r="O113">
            <v>110</v>
          </cell>
        </row>
        <row r="114">
          <cell r="D114" t="str">
            <v>상,하차/운반비R 15</v>
          </cell>
          <cell r="E114">
            <v>1</v>
          </cell>
          <cell r="F114" t="str">
            <v>주</v>
          </cell>
          <cell r="G114">
            <v>6474</v>
          </cell>
          <cell r="H114">
            <v>6474</v>
          </cell>
          <cell r="J114">
            <v>0</v>
          </cell>
          <cell r="L114">
            <v>0</v>
          </cell>
          <cell r="M114">
            <v>6474</v>
          </cell>
          <cell r="N114">
            <v>6474</v>
          </cell>
          <cell r="O114">
            <v>111</v>
          </cell>
        </row>
        <row r="115">
          <cell r="D115" t="str">
            <v>상,하차/운반비R 20</v>
          </cell>
          <cell r="E115">
            <v>1</v>
          </cell>
          <cell r="F115" t="str">
            <v>주</v>
          </cell>
          <cell r="G115">
            <v>12933</v>
          </cell>
          <cell r="H115">
            <v>12933</v>
          </cell>
          <cell r="J115">
            <v>0</v>
          </cell>
          <cell r="L115">
            <v>0</v>
          </cell>
          <cell r="M115">
            <v>12933</v>
          </cell>
          <cell r="N115">
            <v>12933</v>
          </cell>
          <cell r="O115">
            <v>112</v>
          </cell>
        </row>
        <row r="116">
          <cell r="D116" t="str">
            <v>상,하차/운반비R 25</v>
          </cell>
          <cell r="E116">
            <v>1</v>
          </cell>
          <cell r="F116" t="str">
            <v>주</v>
          </cell>
          <cell r="G116">
            <v>16320</v>
          </cell>
          <cell r="H116">
            <v>16320</v>
          </cell>
          <cell r="J116">
            <v>0</v>
          </cell>
          <cell r="L116">
            <v>0</v>
          </cell>
          <cell r="M116">
            <v>16320</v>
          </cell>
          <cell r="N116">
            <v>16320</v>
          </cell>
          <cell r="O116">
            <v>113</v>
          </cell>
        </row>
        <row r="117">
          <cell r="D117" t="str">
            <v>상,하차/운반비R 30</v>
          </cell>
          <cell r="E117">
            <v>1</v>
          </cell>
          <cell r="F117" t="str">
            <v>주</v>
          </cell>
          <cell r="G117">
            <v>22781</v>
          </cell>
          <cell r="H117">
            <v>22781</v>
          </cell>
          <cell r="J117">
            <v>0</v>
          </cell>
          <cell r="L117">
            <v>0</v>
          </cell>
          <cell r="M117">
            <v>22781</v>
          </cell>
          <cell r="N117">
            <v>22781</v>
          </cell>
          <cell r="O117">
            <v>114</v>
          </cell>
        </row>
        <row r="118">
          <cell r="D118" t="str">
            <v>상,하차/운반비R 35</v>
          </cell>
          <cell r="E118">
            <v>1</v>
          </cell>
          <cell r="F118" t="str">
            <v>주</v>
          </cell>
          <cell r="G118">
            <v>25140</v>
          </cell>
          <cell r="H118">
            <v>25140</v>
          </cell>
          <cell r="J118">
            <v>0</v>
          </cell>
          <cell r="L118">
            <v>0</v>
          </cell>
          <cell r="M118">
            <v>25140</v>
          </cell>
          <cell r="N118">
            <v>25140</v>
          </cell>
          <cell r="O118">
            <v>115</v>
          </cell>
        </row>
        <row r="119">
          <cell r="D119" t="str">
            <v>상,하차/운반비R 40</v>
          </cell>
          <cell r="E119">
            <v>1</v>
          </cell>
          <cell r="F119" t="str">
            <v>주</v>
          </cell>
          <cell r="G119">
            <v>28322</v>
          </cell>
          <cell r="H119">
            <v>28322</v>
          </cell>
          <cell r="J119">
            <v>0</v>
          </cell>
          <cell r="L119">
            <v>0</v>
          </cell>
          <cell r="M119">
            <v>28322</v>
          </cell>
          <cell r="N119">
            <v>28322</v>
          </cell>
          <cell r="O119">
            <v>116</v>
          </cell>
        </row>
        <row r="120">
          <cell r="D120" t="str">
            <v>상,하차/운반비R 45</v>
          </cell>
          <cell r="E120">
            <v>1</v>
          </cell>
          <cell r="F120" t="str">
            <v>주</v>
          </cell>
          <cell r="G120">
            <v>229313</v>
          </cell>
          <cell r="H120">
            <v>229313</v>
          </cell>
          <cell r="J120">
            <v>0</v>
          </cell>
          <cell r="L120">
            <v>0</v>
          </cell>
          <cell r="M120">
            <v>229313</v>
          </cell>
          <cell r="N120">
            <v>229313</v>
          </cell>
          <cell r="O120">
            <v>117</v>
          </cell>
        </row>
        <row r="121">
          <cell r="D121" t="str">
            <v>상,하차/운반비R 50</v>
          </cell>
          <cell r="E121">
            <v>1</v>
          </cell>
          <cell r="F121" t="str">
            <v>주</v>
          </cell>
          <cell r="G121">
            <v>252476</v>
          </cell>
          <cell r="H121">
            <v>252476</v>
          </cell>
          <cell r="J121">
            <v>0</v>
          </cell>
          <cell r="L121">
            <v>0</v>
          </cell>
          <cell r="M121">
            <v>252476</v>
          </cell>
          <cell r="N121">
            <v>252476</v>
          </cell>
          <cell r="O121">
            <v>118</v>
          </cell>
        </row>
        <row r="122">
          <cell r="D122" t="str">
            <v>상,하차/운반비R 55</v>
          </cell>
          <cell r="E122">
            <v>1</v>
          </cell>
          <cell r="F122" t="str">
            <v>주</v>
          </cell>
          <cell r="G122">
            <v>275639</v>
          </cell>
          <cell r="H122">
            <v>275639</v>
          </cell>
          <cell r="J122">
            <v>0</v>
          </cell>
          <cell r="L122">
            <v>0</v>
          </cell>
          <cell r="M122">
            <v>275639</v>
          </cell>
          <cell r="N122">
            <v>275639</v>
          </cell>
          <cell r="O122">
            <v>119</v>
          </cell>
        </row>
        <row r="123">
          <cell r="D123" t="str">
            <v>상,하차/운반비R 60</v>
          </cell>
          <cell r="E123">
            <v>1</v>
          </cell>
          <cell r="F123" t="str">
            <v>주</v>
          </cell>
          <cell r="G123">
            <v>298802</v>
          </cell>
          <cell r="H123">
            <v>298802</v>
          </cell>
          <cell r="J123">
            <v>0</v>
          </cell>
          <cell r="L123">
            <v>0</v>
          </cell>
          <cell r="M123">
            <v>298802</v>
          </cell>
          <cell r="N123">
            <v>298802</v>
          </cell>
          <cell r="O123">
            <v>120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S&amp;R"/>
      <sheetName val="퇴직급여충당금12.31"/>
      <sheetName val="회사정보"/>
      <sheetName val="빌딩코드"/>
      <sheetName val="본관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목록"/>
      <sheetName val="중기"/>
      <sheetName val="급여대장"/>
      <sheetName val="인원계획-미화"/>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物件概要"/>
      <sheetName val="入居状況"/>
      <sheetName val="賃料等一覧"/>
      <sheetName val="損益計算書"/>
      <sheetName val="実績･予算（年間予算表）"/>
      <sheetName val="市場概要"/>
      <sheetName val="新規契約"/>
      <sheetName val="類似比較"/>
      <sheetName val="契約改定"/>
      <sheetName val="解約"/>
      <sheetName val="管理概要"/>
      <sheetName val="修繕"/>
      <sheetName val="工事･改修"/>
      <sheetName val="委託業者"/>
      <sheetName val="管理作業"/>
      <sheetName val="委託手数料"/>
      <sheetName val="手数料明細"/>
      <sheetName val="未払・滞納"/>
      <sheetName val="敷金"/>
      <sheetName val="領収明細"/>
      <sheetName val="費用明細"/>
      <sheetName val="相場賃料算出"/>
      <sheetName val="상가매매0115"/>
      <sheetName val="상가임대0115"/>
      <sheetName val="S&amp;R"/>
      <sheetName val="TB"/>
      <sheetName val="マスタ"/>
      <sheetName val="2. Summary-cash"/>
      <sheetName val="회사정보"/>
      <sheetName val="업무용유지비실적"/>
      <sheetName val="기준시가"/>
      <sheetName val="인원계획-미화"/>
      <sheetName val="1Month+Sheet2!"/>
      <sheetName val="도면출력"/>
      <sheetName val="상여"/>
      <sheetName val="Valuation"/>
      <sheetName val="목록"/>
      <sheetName val="중기"/>
      <sheetName val="수정시산표"/>
      <sheetName val="빌딩코드"/>
      <sheetName val="부속동"/>
    </sheetNames>
    <sheetDataSet>
      <sheetData sheetId="0" refreshError="1"/>
      <sheetData sheetId="1" refreshError="1"/>
      <sheetData sheetId="2" refreshError="1"/>
      <sheetData sheetId="3" refreshError="1"/>
      <sheetData sheetId="4" refreshError="1">
        <row r="5">
          <cell r="A5">
            <v>201</v>
          </cell>
          <cell r="B5" t="str">
            <v>3LDK</v>
          </cell>
          <cell r="C5">
            <v>95.53</v>
          </cell>
          <cell r="D5">
            <v>28.89</v>
          </cell>
          <cell r="E5" t="str">
            <v>医療法人社団 野口クリニック</v>
          </cell>
          <cell r="F5">
            <v>37003</v>
          </cell>
          <cell r="G5">
            <v>37003</v>
          </cell>
          <cell r="H5">
            <v>37003</v>
          </cell>
          <cell r="I5">
            <v>37732</v>
          </cell>
          <cell r="J5">
            <v>2</v>
          </cell>
          <cell r="K5" t="str">
            <v>新1</v>
          </cell>
          <cell r="L5">
            <v>325000</v>
          </cell>
          <cell r="M5">
            <v>11249</v>
          </cell>
          <cell r="N5">
            <v>22000</v>
          </cell>
          <cell r="O5">
            <v>761</v>
          </cell>
          <cell r="P5">
            <v>347000</v>
          </cell>
          <cell r="Q5">
            <v>12011</v>
          </cell>
          <cell r="R5">
            <v>650000</v>
          </cell>
          <cell r="S5">
            <v>2</v>
          </cell>
        </row>
        <row r="6">
          <cell r="A6">
            <v>202</v>
          </cell>
          <cell r="B6" t="str">
            <v>3LDK</v>
          </cell>
          <cell r="C6">
            <v>94.56</v>
          </cell>
          <cell r="D6">
            <v>28.6</v>
          </cell>
          <cell r="E6" t="str">
            <v>伊東 律子</v>
          </cell>
          <cell r="F6">
            <v>37565</v>
          </cell>
          <cell r="G6">
            <v>37583</v>
          </cell>
          <cell r="H6">
            <v>37583</v>
          </cell>
          <cell r="I6">
            <v>38321</v>
          </cell>
          <cell r="J6">
            <v>2</v>
          </cell>
          <cell r="K6" t="str">
            <v>新1</v>
          </cell>
          <cell r="L6">
            <v>355000</v>
          </cell>
          <cell r="M6">
            <v>12412</v>
          </cell>
          <cell r="N6">
            <v>0</v>
          </cell>
          <cell r="O6">
            <v>0</v>
          </cell>
          <cell r="P6">
            <v>355000</v>
          </cell>
          <cell r="Q6">
            <v>12412</v>
          </cell>
          <cell r="R6">
            <v>710000</v>
          </cell>
          <cell r="S6">
            <v>2</v>
          </cell>
        </row>
        <row r="7">
          <cell r="A7">
            <v>203</v>
          </cell>
          <cell r="B7" t="str">
            <v>2LDK</v>
          </cell>
          <cell r="C7">
            <v>62.27</v>
          </cell>
          <cell r="D7">
            <v>18.829999999999998</v>
          </cell>
          <cell r="E7" t="str">
            <v>白石 哲也</v>
          </cell>
          <cell r="F7">
            <v>36885</v>
          </cell>
          <cell r="G7">
            <v>37631</v>
          </cell>
          <cell r="H7">
            <v>37631</v>
          </cell>
          <cell r="I7">
            <v>38383</v>
          </cell>
          <cell r="J7">
            <v>2</v>
          </cell>
          <cell r="K7" t="str">
            <v>新1</v>
          </cell>
          <cell r="L7">
            <v>220000</v>
          </cell>
          <cell r="M7">
            <v>11683</v>
          </cell>
          <cell r="N7">
            <v>17000</v>
          </cell>
          <cell r="O7">
            <v>902</v>
          </cell>
          <cell r="P7">
            <v>237000</v>
          </cell>
          <cell r="Q7">
            <v>12586</v>
          </cell>
          <cell r="R7">
            <v>440000</v>
          </cell>
          <cell r="S7">
            <v>2</v>
          </cell>
        </row>
        <row r="8">
          <cell r="A8">
            <v>301</v>
          </cell>
          <cell r="B8" t="str">
            <v>3LDK</v>
          </cell>
          <cell r="C8">
            <v>95.53</v>
          </cell>
          <cell r="D8">
            <v>28.89</v>
          </cell>
          <cell r="E8" t="str">
            <v>片山 進平</v>
          </cell>
          <cell r="F8">
            <v>36250</v>
          </cell>
          <cell r="G8">
            <v>36251</v>
          </cell>
          <cell r="H8">
            <v>36982</v>
          </cell>
          <cell r="I8">
            <v>37711</v>
          </cell>
          <cell r="J8">
            <v>2</v>
          </cell>
          <cell r="K8" t="str">
            <v>新1</v>
          </cell>
          <cell r="L8">
            <v>335000</v>
          </cell>
          <cell r="M8">
            <v>11595</v>
          </cell>
          <cell r="N8">
            <v>22000</v>
          </cell>
          <cell r="O8">
            <v>761</v>
          </cell>
          <cell r="P8">
            <v>357000</v>
          </cell>
          <cell r="Q8">
            <v>12357</v>
          </cell>
          <cell r="R8">
            <v>670000</v>
          </cell>
          <cell r="S8">
            <v>2</v>
          </cell>
        </row>
        <row r="9">
          <cell r="A9">
            <v>302</v>
          </cell>
          <cell r="B9" t="str">
            <v>3LDK</v>
          </cell>
          <cell r="C9">
            <v>94.56</v>
          </cell>
          <cell r="D9">
            <v>28.6</v>
          </cell>
          <cell r="E9" t="str">
            <v>森田 雅之</v>
          </cell>
          <cell r="F9">
            <v>37369</v>
          </cell>
          <cell r="G9">
            <v>37371</v>
          </cell>
          <cell r="H9">
            <v>37371</v>
          </cell>
          <cell r="I9">
            <v>38101</v>
          </cell>
          <cell r="J9">
            <v>2</v>
          </cell>
          <cell r="K9" t="str">
            <v>新1</v>
          </cell>
          <cell r="L9">
            <v>332000</v>
          </cell>
          <cell r="M9">
            <v>11608</v>
          </cell>
          <cell r="N9">
            <v>22000</v>
          </cell>
          <cell r="O9">
            <v>769</v>
          </cell>
          <cell r="P9">
            <v>354000</v>
          </cell>
          <cell r="Q9">
            <v>12377</v>
          </cell>
          <cell r="R9">
            <v>664000</v>
          </cell>
          <cell r="S9">
            <v>2</v>
          </cell>
        </row>
        <row r="10">
          <cell r="A10">
            <v>303</v>
          </cell>
          <cell r="B10" t="str">
            <v>2LDK</v>
          </cell>
          <cell r="C10">
            <v>62.27</v>
          </cell>
          <cell r="D10">
            <v>18.829999999999998</v>
          </cell>
          <cell r="E10" t="str">
            <v>大野 恒昭</v>
          </cell>
          <cell r="F10">
            <v>37099</v>
          </cell>
          <cell r="G10">
            <v>37102</v>
          </cell>
          <cell r="H10">
            <v>37102</v>
          </cell>
          <cell r="I10">
            <v>37831</v>
          </cell>
          <cell r="J10">
            <v>2</v>
          </cell>
          <cell r="K10" t="str">
            <v>新1</v>
          </cell>
          <cell r="L10">
            <v>230000</v>
          </cell>
          <cell r="M10">
            <v>12214</v>
          </cell>
          <cell r="N10">
            <v>17000</v>
          </cell>
          <cell r="O10">
            <v>902</v>
          </cell>
          <cell r="P10">
            <v>247000</v>
          </cell>
          <cell r="Q10">
            <v>13117</v>
          </cell>
          <cell r="R10">
            <v>460000</v>
          </cell>
          <cell r="S10">
            <v>2</v>
          </cell>
        </row>
        <row r="11">
          <cell r="A11">
            <v>401</v>
          </cell>
          <cell r="B11" t="str">
            <v>3LDK</v>
          </cell>
          <cell r="C11">
            <v>95.53</v>
          </cell>
          <cell r="D11">
            <v>28.89</v>
          </cell>
          <cell r="E11" t="str">
            <v>メリルリンチ日本証券株式会社</v>
          </cell>
          <cell r="F11">
            <v>36843</v>
          </cell>
          <cell r="G11">
            <v>36855</v>
          </cell>
          <cell r="H11">
            <v>37585</v>
          </cell>
          <cell r="I11">
            <v>38321</v>
          </cell>
          <cell r="J11">
            <v>2</v>
          </cell>
          <cell r="K11" t="str">
            <v>新1</v>
          </cell>
          <cell r="L11">
            <v>339000</v>
          </cell>
          <cell r="M11">
            <v>11734</v>
          </cell>
          <cell r="N11">
            <v>22000</v>
          </cell>
          <cell r="O11">
            <v>761</v>
          </cell>
          <cell r="P11">
            <v>361000</v>
          </cell>
          <cell r="Q11">
            <v>12495</v>
          </cell>
          <cell r="R11">
            <v>678000</v>
          </cell>
          <cell r="S11">
            <v>2</v>
          </cell>
        </row>
        <row r="12">
          <cell r="A12">
            <v>402</v>
          </cell>
          <cell r="B12" t="str">
            <v>3LDK</v>
          </cell>
          <cell r="C12">
            <v>94.56</v>
          </cell>
          <cell r="D12">
            <v>28.6</v>
          </cell>
          <cell r="E12" t="str">
            <v>メリルリンチ日本証券株式会社</v>
          </cell>
          <cell r="F12">
            <v>36229</v>
          </cell>
          <cell r="G12">
            <v>36229</v>
          </cell>
          <cell r="H12">
            <v>36982</v>
          </cell>
          <cell r="I12">
            <v>37711</v>
          </cell>
          <cell r="J12">
            <v>2</v>
          </cell>
          <cell r="K12" t="str">
            <v>新1</v>
          </cell>
          <cell r="L12">
            <v>336000</v>
          </cell>
          <cell r="M12">
            <v>11748</v>
          </cell>
          <cell r="N12">
            <v>22000</v>
          </cell>
          <cell r="O12">
            <v>769</v>
          </cell>
          <cell r="P12">
            <v>358000</v>
          </cell>
          <cell r="Q12">
            <v>12517</v>
          </cell>
          <cell r="R12">
            <v>672000</v>
          </cell>
          <cell r="S12">
            <v>2</v>
          </cell>
        </row>
        <row r="13">
          <cell r="A13">
            <v>403</v>
          </cell>
          <cell r="B13" t="str">
            <v>2LDK</v>
          </cell>
          <cell r="C13">
            <v>62.27</v>
          </cell>
          <cell r="D13">
            <v>18.829999999999998</v>
          </cell>
          <cell r="E13" t="str">
            <v>浅川太</v>
          </cell>
          <cell r="F13">
            <v>37533</v>
          </cell>
          <cell r="G13">
            <v>37533</v>
          </cell>
          <cell r="H13">
            <v>37533</v>
          </cell>
          <cell r="I13">
            <v>38291</v>
          </cell>
          <cell r="J13">
            <v>2</v>
          </cell>
          <cell r="K13" t="str">
            <v>新1</v>
          </cell>
          <cell r="L13">
            <v>267000</v>
          </cell>
          <cell r="M13">
            <v>14179</v>
          </cell>
          <cell r="N13">
            <v>0</v>
          </cell>
          <cell r="O13">
            <v>0</v>
          </cell>
          <cell r="P13">
            <v>267000</v>
          </cell>
          <cell r="Q13">
            <v>14179</v>
          </cell>
          <cell r="R13">
            <v>534000</v>
          </cell>
          <cell r="S13">
            <v>2</v>
          </cell>
        </row>
        <row r="14">
          <cell r="A14">
            <v>501</v>
          </cell>
          <cell r="B14" t="str">
            <v>3LDK</v>
          </cell>
          <cell r="C14">
            <v>95.53</v>
          </cell>
          <cell r="D14">
            <v>28.89</v>
          </cell>
          <cell r="E14" t="str">
            <v>クレディ・リヨネ銀行 東京支店</v>
          </cell>
          <cell r="F14">
            <v>36231</v>
          </cell>
          <cell r="G14">
            <v>36232</v>
          </cell>
          <cell r="H14">
            <v>36982</v>
          </cell>
          <cell r="I14">
            <v>37711</v>
          </cell>
          <cell r="J14">
            <v>2</v>
          </cell>
          <cell r="K14" t="str">
            <v>なし</v>
          </cell>
          <cell r="L14">
            <v>392500</v>
          </cell>
          <cell r="M14">
            <v>13586</v>
          </cell>
          <cell r="O14">
            <v>0</v>
          </cell>
          <cell r="P14">
            <v>392500</v>
          </cell>
          <cell r="Q14">
            <v>13586</v>
          </cell>
          <cell r="R14">
            <v>785000</v>
          </cell>
          <cell r="S14">
            <v>2</v>
          </cell>
        </row>
        <row r="15">
          <cell r="A15">
            <v>502</v>
          </cell>
          <cell r="B15" t="str">
            <v>3LDK</v>
          </cell>
          <cell r="C15">
            <v>94.56</v>
          </cell>
          <cell r="D15">
            <v>28.6</v>
          </cell>
          <cell r="E15" t="str">
            <v>辻 秀一</v>
          </cell>
          <cell r="F15">
            <v>36217</v>
          </cell>
          <cell r="G15">
            <v>36982</v>
          </cell>
          <cell r="H15">
            <v>36982</v>
          </cell>
          <cell r="I15">
            <v>37711</v>
          </cell>
          <cell r="J15">
            <v>2</v>
          </cell>
          <cell r="K15" t="str">
            <v>新1</v>
          </cell>
          <cell r="L15">
            <v>340000</v>
          </cell>
          <cell r="M15">
            <v>11888</v>
          </cell>
          <cell r="N15">
            <v>22000</v>
          </cell>
          <cell r="O15">
            <v>769</v>
          </cell>
          <cell r="P15">
            <v>362000</v>
          </cell>
          <cell r="Q15">
            <v>12657</v>
          </cell>
          <cell r="R15">
            <v>680000</v>
          </cell>
          <cell r="S15">
            <v>2</v>
          </cell>
        </row>
        <row r="16">
          <cell r="A16">
            <v>503</v>
          </cell>
          <cell r="B16" t="str">
            <v>2LDK</v>
          </cell>
          <cell r="C16">
            <v>62.27</v>
          </cell>
          <cell r="D16">
            <v>18.829999999999998</v>
          </cell>
          <cell r="E16" t="str">
            <v>栗原 美里</v>
          </cell>
          <cell r="F16">
            <v>37007</v>
          </cell>
          <cell r="G16">
            <v>36229</v>
          </cell>
          <cell r="H16">
            <v>37019</v>
          </cell>
          <cell r="I16">
            <v>37748</v>
          </cell>
          <cell r="J16">
            <v>2</v>
          </cell>
          <cell r="K16" t="str">
            <v>新1</v>
          </cell>
          <cell r="L16">
            <v>234000</v>
          </cell>
          <cell r="M16">
            <v>12426</v>
          </cell>
          <cell r="N16">
            <v>17000</v>
          </cell>
          <cell r="O16">
            <v>902</v>
          </cell>
          <cell r="P16">
            <v>251000</v>
          </cell>
          <cell r="Q16">
            <v>13329</v>
          </cell>
          <cell r="R16">
            <v>468000</v>
          </cell>
          <cell r="S16">
            <v>2</v>
          </cell>
        </row>
        <row r="17">
          <cell r="A17">
            <v>601</v>
          </cell>
          <cell r="B17" t="str">
            <v>3LDK</v>
          </cell>
          <cell r="C17">
            <v>95.53</v>
          </cell>
          <cell r="D17">
            <v>28.89</v>
          </cell>
          <cell r="E17" t="str">
            <v>㈱ｴﾑ･ｴｽ･ﾄｰｷｮｰ･ﾌﾟﾛﾊﾟﾃｨｰｽﾞ</v>
          </cell>
          <cell r="F17">
            <v>36210</v>
          </cell>
          <cell r="G17">
            <v>36229</v>
          </cell>
          <cell r="H17">
            <v>36982</v>
          </cell>
          <cell r="I17">
            <v>37711</v>
          </cell>
          <cell r="J17">
            <v>2</v>
          </cell>
          <cell r="K17" t="str">
            <v>新1</v>
          </cell>
          <cell r="L17">
            <v>346000</v>
          </cell>
          <cell r="M17">
            <v>11976</v>
          </cell>
          <cell r="N17">
            <v>22000</v>
          </cell>
          <cell r="O17">
            <v>761</v>
          </cell>
          <cell r="P17">
            <v>368000</v>
          </cell>
          <cell r="Q17">
            <v>12737</v>
          </cell>
          <cell r="R17">
            <v>692000</v>
          </cell>
          <cell r="S17">
            <v>2</v>
          </cell>
        </row>
        <row r="18">
          <cell r="A18">
            <v>602</v>
          </cell>
          <cell r="B18" t="str">
            <v>3LDK</v>
          </cell>
          <cell r="C18">
            <v>94.56</v>
          </cell>
          <cell r="D18">
            <v>28.6</v>
          </cell>
          <cell r="E18" t="str">
            <v>石井 弘寿</v>
          </cell>
          <cell r="F18">
            <v>37617</v>
          </cell>
          <cell r="G18">
            <v>37617</v>
          </cell>
          <cell r="H18">
            <v>37617</v>
          </cell>
          <cell r="I18">
            <v>38352</v>
          </cell>
          <cell r="J18">
            <v>2</v>
          </cell>
          <cell r="K18" t="str">
            <v>新1</v>
          </cell>
          <cell r="L18">
            <v>380000</v>
          </cell>
          <cell r="M18">
            <v>13286</v>
          </cell>
          <cell r="N18">
            <v>0</v>
          </cell>
          <cell r="O18">
            <v>0</v>
          </cell>
          <cell r="P18">
            <v>380000</v>
          </cell>
          <cell r="Q18">
            <v>13286</v>
          </cell>
          <cell r="R18">
            <v>760000</v>
          </cell>
          <cell r="S18">
            <v>2</v>
          </cell>
        </row>
        <row r="19">
          <cell r="A19">
            <v>603</v>
          </cell>
          <cell r="B19" t="str">
            <v>2LDK</v>
          </cell>
          <cell r="C19">
            <v>62.27</v>
          </cell>
          <cell r="D19">
            <v>18.829999999999998</v>
          </cell>
          <cell r="E19" t="str">
            <v>㈱新宿丸正 梁瀬</v>
          </cell>
          <cell r="F19">
            <v>36208</v>
          </cell>
          <cell r="G19">
            <v>36229</v>
          </cell>
          <cell r="H19">
            <v>36982</v>
          </cell>
          <cell r="I19">
            <v>37711</v>
          </cell>
          <cell r="J19">
            <v>2</v>
          </cell>
          <cell r="K19" t="str">
            <v>新1</v>
          </cell>
          <cell r="L19">
            <v>236000</v>
          </cell>
          <cell r="M19">
            <v>12533</v>
          </cell>
          <cell r="N19">
            <v>17000</v>
          </cell>
          <cell r="O19">
            <v>902</v>
          </cell>
          <cell r="P19">
            <v>253000</v>
          </cell>
          <cell r="Q19">
            <v>13436</v>
          </cell>
          <cell r="R19">
            <v>472000</v>
          </cell>
          <cell r="S19">
            <v>2</v>
          </cell>
        </row>
        <row r="20">
          <cell r="A20">
            <v>701</v>
          </cell>
          <cell r="B20" t="str">
            <v>3LDK</v>
          </cell>
          <cell r="C20">
            <v>95.53</v>
          </cell>
          <cell r="D20">
            <v>28.89</v>
          </cell>
          <cell r="E20" t="str">
            <v>コミーインターナショナル㈱</v>
          </cell>
          <cell r="F20">
            <v>36238</v>
          </cell>
          <cell r="G20">
            <v>36239</v>
          </cell>
          <cell r="H20">
            <v>36982</v>
          </cell>
          <cell r="I20">
            <v>37711</v>
          </cell>
          <cell r="J20">
            <v>2</v>
          </cell>
          <cell r="K20" t="str">
            <v>新1</v>
          </cell>
          <cell r="L20">
            <v>350000</v>
          </cell>
          <cell r="M20">
            <v>12114</v>
          </cell>
          <cell r="N20">
            <v>22000</v>
          </cell>
          <cell r="O20">
            <v>761</v>
          </cell>
          <cell r="P20">
            <v>372000</v>
          </cell>
          <cell r="Q20">
            <v>12876</v>
          </cell>
          <cell r="R20">
            <v>700000</v>
          </cell>
          <cell r="S20">
            <v>2</v>
          </cell>
        </row>
        <row r="21">
          <cell r="A21">
            <v>702</v>
          </cell>
          <cell r="B21" t="str">
            <v>3LDK</v>
          </cell>
          <cell r="C21">
            <v>94.56</v>
          </cell>
          <cell r="D21">
            <v>28.6</v>
          </cell>
          <cell r="E21" t="str">
            <v>日興ｿﾛﾓﾝ･ｽﾐｽ･ﾊﾞｰﾆｰ証券会社</v>
          </cell>
          <cell r="F21">
            <v>36228</v>
          </cell>
          <cell r="G21">
            <v>36229</v>
          </cell>
          <cell r="H21">
            <v>36982</v>
          </cell>
          <cell r="I21">
            <v>37711</v>
          </cell>
          <cell r="J21">
            <v>2</v>
          </cell>
          <cell r="K21" t="str">
            <v>新1</v>
          </cell>
          <cell r="L21">
            <v>370250</v>
          </cell>
          <cell r="M21">
            <v>12945</v>
          </cell>
          <cell r="O21">
            <v>0</v>
          </cell>
          <cell r="P21">
            <v>370250</v>
          </cell>
          <cell r="Q21">
            <v>12945</v>
          </cell>
          <cell r="R21">
            <v>740500</v>
          </cell>
          <cell r="S21">
            <v>2</v>
          </cell>
        </row>
        <row r="22">
          <cell r="A22">
            <v>703</v>
          </cell>
          <cell r="B22" t="str">
            <v>2LDK</v>
          </cell>
          <cell r="C22">
            <v>62.27</v>
          </cell>
          <cell r="D22">
            <v>18.829999999999998</v>
          </cell>
          <cell r="E22" t="str">
            <v>㈱カーギルジャパン</v>
          </cell>
          <cell r="F22">
            <v>37242</v>
          </cell>
          <cell r="G22">
            <v>36229</v>
          </cell>
          <cell r="H22">
            <v>37257</v>
          </cell>
          <cell r="I22">
            <v>37986</v>
          </cell>
          <cell r="J22">
            <v>2</v>
          </cell>
          <cell r="K22" t="str">
            <v>新1</v>
          </cell>
          <cell r="L22">
            <v>238000</v>
          </cell>
          <cell r="M22">
            <v>12639</v>
          </cell>
          <cell r="N22">
            <v>17000</v>
          </cell>
          <cell r="O22">
            <v>902</v>
          </cell>
          <cell r="P22">
            <v>255000</v>
          </cell>
          <cell r="Q22">
            <v>13542</v>
          </cell>
          <cell r="R22">
            <v>476000</v>
          </cell>
          <cell r="S22">
            <v>2</v>
          </cell>
        </row>
        <row r="23">
          <cell r="A23">
            <v>801</v>
          </cell>
          <cell r="B23" t="str">
            <v>3LDK</v>
          </cell>
          <cell r="C23">
            <v>89.96</v>
          </cell>
          <cell r="D23">
            <v>27.21</v>
          </cell>
          <cell r="E23" t="str">
            <v>冨田 芳正</v>
          </cell>
          <cell r="F23">
            <v>36210</v>
          </cell>
          <cell r="G23">
            <v>36229</v>
          </cell>
          <cell r="H23">
            <v>36982</v>
          </cell>
          <cell r="I23">
            <v>37711</v>
          </cell>
          <cell r="J23">
            <v>2</v>
          </cell>
          <cell r="K23" t="str">
            <v>新1</v>
          </cell>
          <cell r="L23">
            <v>340000</v>
          </cell>
          <cell r="M23">
            <v>12495</v>
          </cell>
          <cell r="N23">
            <v>22000</v>
          </cell>
          <cell r="O23">
            <v>808</v>
          </cell>
          <cell r="P23">
            <v>362000</v>
          </cell>
          <cell r="Q23">
            <v>13303</v>
          </cell>
          <cell r="R23">
            <v>680000</v>
          </cell>
          <cell r="S23">
            <v>2</v>
          </cell>
        </row>
        <row r="24">
          <cell r="A24">
            <v>802</v>
          </cell>
          <cell r="B24" t="str">
            <v>3LDK</v>
          </cell>
          <cell r="C24">
            <v>94.56</v>
          </cell>
          <cell r="D24">
            <v>28.6</v>
          </cell>
          <cell r="E24" t="str">
            <v>日興ｿﾛﾓﾝ･ｽﾐｽ･ﾊﾞｰﾆｰ･ｻｰﾋﾞｽ･ﾘﾐﾃｯﾄﾞ</v>
          </cell>
          <cell r="F24">
            <v>36207</v>
          </cell>
          <cell r="G24">
            <v>36229</v>
          </cell>
          <cell r="H24">
            <v>36982</v>
          </cell>
          <cell r="I24">
            <v>37711</v>
          </cell>
          <cell r="J24">
            <v>2</v>
          </cell>
          <cell r="K24" t="str">
            <v>新1</v>
          </cell>
          <cell r="L24">
            <v>353250</v>
          </cell>
          <cell r="M24">
            <v>12351</v>
          </cell>
          <cell r="N24">
            <v>22000</v>
          </cell>
          <cell r="O24">
            <v>769</v>
          </cell>
          <cell r="P24">
            <v>375250</v>
          </cell>
          <cell r="Q24">
            <v>13120</v>
          </cell>
          <cell r="R24">
            <v>706500</v>
          </cell>
          <cell r="S24">
            <v>2</v>
          </cell>
        </row>
        <row r="25">
          <cell r="A25">
            <v>803</v>
          </cell>
          <cell r="B25" t="str">
            <v>2LDK</v>
          </cell>
          <cell r="C25">
            <v>62.27</v>
          </cell>
          <cell r="D25">
            <v>18.829999999999998</v>
          </cell>
          <cell r="E25" t="str">
            <v>鶴 ひろみ</v>
          </cell>
          <cell r="F25">
            <v>36215</v>
          </cell>
          <cell r="G25">
            <v>36229</v>
          </cell>
          <cell r="H25">
            <v>36982</v>
          </cell>
          <cell r="I25">
            <v>37711</v>
          </cell>
          <cell r="J25">
            <v>2</v>
          </cell>
          <cell r="K25" t="str">
            <v>新1</v>
          </cell>
          <cell r="L25">
            <v>240000</v>
          </cell>
          <cell r="M25">
            <v>12745</v>
          </cell>
          <cell r="N25">
            <v>17000</v>
          </cell>
          <cell r="O25">
            <v>902</v>
          </cell>
          <cell r="P25">
            <v>257000</v>
          </cell>
          <cell r="Q25">
            <v>13648</v>
          </cell>
          <cell r="R25">
            <v>480000</v>
          </cell>
          <cell r="S25">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賃料等一覧"/>
      <sheetName val="상가매매0115"/>
      <sheetName val="상가임대0115"/>
      <sheetName val="받을어음"/>
      <sheetName val="인원계획-미화"/>
      <sheetName val="빌딩코드"/>
      <sheetName val="본관내역서"/>
      <sheetName val="1월"/>
      <sheetName val="Data Sheet"/>
      <sheetName val="업무용유지비실적"/>
      <sheetName val="회사정보"/>
      <sheetName val="리츠"/>
      <sheetName val="S&amp;R"/>
      <sheetName val="재무가정"/>
      <sheetName val="DB구축"/>
      <sheetName val="Training"/>
      <sheetName val="Template"/>
      <sheetName val="등록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붙임2-1  지급조서명세서(2001년분)"/>
      <sheetName val="목록"/>
      <sheetName val="중기"/>
      <sheetName val="賃料等一覧"/>
      <sheetName val="인원계획-미화"/>
      <sheetName val="업무용유지비실적"/>
      <sheetName val="상가매매0115"/>
      <sheetName val="상가임대0115"/>
      <sheetName val="회사정보"/>
      <sheetName val="1ST"/>
      <sheetName val="재무가정"/>
      <sheetName val="Template"/>
      <sheetName val="붙임2-1__지급조서명세서(2001년분)"/>
      <sheetName val="한국중공업시설"/>
      <sheetName val="익월작업계힉"/>
      <sheetName val="Sheet1 (2)"/>
      <sheetName val="10월 급여"/>
      <sheetName val="주요가정"/>
      <sheetName val="민감도"/>
      <sheetName val="건재양식"/>
      <sheetName val="조건"/>
      <sheetName val="01AC"/>
      <sheetName val="Frame"/>
      <sheetName val="평당가_매매_유형별"/>
      <sheetName val="OPREV(대한)"/>
      <sheetName val="일위대가"/>
      <sheetName val="S&amp;R"/>
      <sheetName val="빌딩코드"/>
      <sheetName val="내역"/>
      <sheetName val="공사별5"/>
      <sheetName val="설-원가"/>
      <sheetName val="설치자재"/>
      <sheetName val="단중"/>
      <sheetName val="Valuation"/>
      <sheetName val="Initial Input Variable"/>
      <sheetName val="Sheet1"/>
      <sheetName val="총무팀"/>
      <sheetName val="마포-임현"/>
      <sheetName val="받을어음"/>
      <sheetName val="K-4A"/>
      <sheetName val="K-4C"/>
      <sheetName val="K-4K"/>
      <sheetName val="K-4L"/>
      <sheetName val="K-4F"/>
      <sheetName val="K-4I"/>
      <sheetName val="K-4H"/>
      <sheetName val="K-4D"/>
      <sheetName val="K-4E"/>
      <sheetName val="K-4B"/>
      <sheetName val="K-4J"/>
      <sheetName val="1월"/>
      <sheetName val="BSD (2)"/>
      <sheetName val="리츠"/>
      <sheetName val="인트라넷시스템근거"/>
      <sheetName val="상세내역"/>
      <sheetName val="시설장비"/>
      <sheetName val="BID"/>
      <sheetName val="실행철강하도"/>
      <sheetName val="ADJ - RATE"/>
      <sheetName val="기타코드"/>
      <sheetName val="&lt;양식23_CF&gt;"/>
      <sheetName val="산출내역서집계표"/>
      <sheetName val="I. Assumptions"/>
      <sheetName val="상환계획(선순위)(Q)"/>
      <sheetName val="요약&amp;결과"/>
      <sheetName val="Dental City 가정"/>
      <sheetName val="MEM수율입고"/>
      <sheetName val="해외세목"/>
      <sheetName val="10월 (2)"/>
      <sheetName val="종합-임현"/>
      <sheetName val="단기차입금(200006)"/>
      <sheetName val="본관내역서"/>
      <sheetName val="이우(hd)"/>
      <sheetName val="붙임2-1__지급조서명세서(2001년분)1"/>
      <sheetName val="Sheet1_(2)"/>
      <sheetName val="10월_급여"/>
      <sheetName val="Initial_Input_Variable"/>
      <sheetName val="예산(한화)"/>
      <sheetName val="2공구산출내역"/>
      <sheetName val="차액보증"/>
      <sheetName val="Data(인원)"/>
      <sheetName val="0.1keyAssumption"/>
      <sheetName val="0.0ControlSheet"/>
      <sheetName val="등록자료"/>
      <sheetName val="BSD_(2)"/>
      <sheetName val="ADJ_-_RATE"/>
      <sheetName val="I__Assumptions"/>
      <sheetName val="Dental_City_가정"/>
      <sheetName val="사업예산내역"/>
      <sheetName val="사업예산품의서"/>
      <sheetName val="총괄표"/>
      <sheetName val="CABLE SIZE-1"/>
      <sheetName val="총사업비"/>
      <sheetName val="Sens&amp;Anal"/>
      <sheetName val="Baby일위대가"/>
      <sheetName val="Assumptions"/>
      <sheetName val="Cash Flow "/>
      <sheetName val="Cash Flow"/>
      <sheetName val="Source"/>
      <sheetName val="Intro2"/>
      <sheetName val="Id"/>
      <sheetName val="지장물"/>
      <sheetName val="점별(추정)"/>
      <sheetName val="노임이"/>
      <sheetName val="점수계산1-2"/>
      <sheetName val="지급어음(일별)"/>
      <sheetName val="Main"/>
      <sheetName val="Instructions"/>
      <sheetName val="자재(원원+원대)"/>
      <sheetName val="N賃率-職"/>
      <sheetName val="DATA_Garak"/>
      <sheetName val="DATA_Total"/>
      <sheetName val="DATA_Kwangju"/>
      <sheetName val="DATA_Daejeon"/>
      <sheetName val="DATA_Sadang"/>
      <sheetName val="DATA_Yangjae"/>
      <sheetName val="DATA_Yoido"/>
      <sheetName val="DATA_Ulsan"/>
      <sheetName val="DATA_Incheon"/>
      <sheetName val="DATA_Jeonju"/>
      <sheetName val="수지차(년)"/>
      <sheetName val="일위_파일"/>
      <sheetName val="Project Brief"/>
      <sheetName val="1Month+Sheet2!"/>
      <sheetName val="入力用(家賃)"/>
      <sheetName val="入力用(駐車)"/>
      <sheetName val="9-1차이내역"/>
      <sheetName val="Carepaq"/>
      <sheetName val="OPT"/>
      <sheetName val="1_當期시산표"/>
      <sheetName val="Sheet5"/>
      <sheetName val="BS(기초자료)"/>
      <sheetName val="PL(기초자료)"/>
      <sheetName val="TBT(PR+수정분개)"/>
      <sheetName val="DATE"/>
      <sheetName val="주관사업"/>
      <sheetName val="기준자료"/>
      <sheetName val="Situation"/>
      <sheetName val="붙임2-1__지급조서명세서(2001년분)2"/>
      <sheetName val="Sheet1_(2)1"/>
      <sheetName val="10월_급여1"/>
      <sheetName val="Initial_Input_Variable1"/>
      <sheetName val="BSD_(2)1"/>
      <sheetName val="ADJ_-_RATE1"/>
      <sheetName val="I__Assumptions1"/>
      <sheetName val="Dental_City_가정1"/>
      <sheetName val="10월_(2)"/>
      <sheetName val="0_1keyAssumption"/>
      <sheetName val="0_0ControlSheet"/>
      <sheetName val="Ⅰ-3.1"/>
      <sheetName val="Rent Roll_py"/>
      <sheetName val="anaysis_sheet"/>
      <sheetName val="comparables"/>
      <sheetName val="Deduction"/>
      <sheetName val="other"/>
      <sheetName val="conclusion"/>
      <sheetName val="결정단가"/>
      <sheetName val="PROJECT BRIEF(EX.NEW)"/>
      <sheetName val="ASP"/>
      <sheetName val="위스키3"/>
      <sheetName val="주류전체2"/>
      <sheetName val="부서실적"/>
      <sheetName val="예총"/>
      <sheetName val="식음료"/>
      <sheetName val="Utility Usage 한솔엠닷컴"/>
      <sheetName val="Code"/>
      <sheetName val="#5"/>
      <sheetName val="#3"/>
      <sheetName val="98지급계획"/>
      <sheetName val="내역서(갑지)"/>
      <sheetName val="연결임시"/>
      <sheetName val="명세참조"/>
      <sheetName val="부문손익"/>
      <sheetName val="Data Sheet"/>
      <sheetName val="XXXXXXXX"/>
      <sheetName val="이자율"/>
      <sheetName val="3본사"/>
      <sheetName val="Parameter"/>
      <sheetName val="품셈TABLE"/>
      <sheetName val="Area"/>
      <sheetName val="Budget 2005(DW)"/>
      <sheetName val="경율산정.XLS"/>
      <sheetName val="산업은행 경영지표"/>
      <sheetName val="경율산정_XLS"/>
      <sheetName val="Budget_2005(DW)"/>
      <sheetName val="산업은행_경영지표"/>
      <sheetName val="국내"/>
      <sheetName val="주요기준"/>
      <sheetName val="2004SS"/>
      <sheetName val="2004CJ"/>
      <sheetName val="실행내역"/>
      <sheetName val="1.표지"/>
      <sheetName val="설 계"/>
      <sheetName val="tsuga"/>
      <sheetName val="단가"/>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실행대비"/>
      <sheetName val="10월"/>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Cash_Flow"/>
      <sheetName val="15_Op__Activities"/>
      <sheetName val="직접비"/>
      <sheetName val="삼성전기"/>
      <sheetName val="Ext. Stone-P"/>
      <sheetName val="Balance"/>
      <sheetName val="P &amp;L"/>
      <sheetName val="2. Summary-cash"/>
      <sheetName val="Sales Proceeds"/>
      <sheetName val="マスタ"/>
      <sheetName val="품목"/>
      <sheetName val="Pricing"/>
      <sheetName val="Debt Service Schedule"/>
      <sheetName val="Fin_Assumption"/>
      <sheetName val="건축내역"/>
      <sheetName val="Sheet2"/>
      <sheetName val="2.주요계수총괄"/>
      <sheetName val="Assumption"/>
      <sheetName val="BSLA"/>
      <sheetName val="Reversion Calcs"/>
      <sheetName val="Setup"/>
      <sheetName val="Sensitivity Analysis"/>
      <sheetName val="yakumo"/>
      <sheetName val="내역서"/>
      <sheetName val="Quality"/>
      <sheetName val="People"/>
      <sheetName val="Risk"/>
      <sheetName val="Training"/>
      <sheetName val="General"/>
      <sheetName val="I. Assumption"/>
      <sheetName val="Ⅲ.CF_5yr_Qtr"/>
      <sheetName val="별제권_정리담보권1"/>
      <sheetName val="בית השקעות"/>
      <sheetName val="I. Assump"/>
      <sheetName val="CostData"/>
      <sheetName val="IncomeData"/>
      <sheetName val="Summary"/>
      <sheetName val="PropertyData"/>
      <sheetName val="data"/>
      <sheetName val="지분법(지분수정전)"/>
      <sheetName val="Building 1"/>
      <sheetName val="Acquisition Costs- Base Case"/>
      <sheetName val="CASHFLOW"/>
      <sheetName val="2000.05"/>
      <sheetName val="지출일정(4)"/>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15_Op__Activities1"/>
      <sheetName val="Cash_Flow1"/>
      <sheetName val="P_&amp;L"/>
      <sheetName val="2__Summary-cash"/>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Data&amp;Result"/>
      <sheetName val="차수"/>
      <sheetName val="일위대가(가설)"/>
      <sheetName val="철탑공사"/>
      <sheetName val="명단"/>
      <sheetName val="energy 8.18"/>
      <sheetName val="ROE(FI)"/>
      <sheetName val="총투자비산정"/>
      <sheetName val="기본가정"/>
      <sheetName val="총투자비"/>
      <sheetName val="@RISK Correlations"/>
      <sheetName val="Rent Roll"/>
      <sheetName val="손익"/>
      <sheetName val="Master List and Strats"/>
      <sheetName val="INPUT"/>
      <sheetName val="주차"/>
      <sheetName val="Building_1"/>
      <sheetName val="Acquisition_Costs-_Base_Case"/>
      <sheetName val="Tenants"/>
      <sheetName val="급여대장(관리)"/>
      <sheetName val="COVERSHEET"/>
      <sheetName val="MGT OFFICE"/>
      <sheetName val="g. Rent Roll"/>
      <sheetName val="데이타"/>
      <sheetName val="식재인부"/>
      <sheetName val="(Monthly)"/>
      <sheetName val="結果（２年後１億円振り替え）"/>
      <sheetName val="Summary-P"/>
      <sheetName val="BASE P.L OWNER"/>
      <sheetName val="INVEST CALC"/>
      <sheetName val="CHECK LIST"/>
      <sheetName val="YTD"/>
      <sheetName val="2.대외공문"/>
      <sheetName val="효용적수"/>
      <sheetName val="2.Summary-cash"/>
      <sheetName val="Facility Information"/>
      <sheetName val="원본"/>
      <sheetName val="인테리어견적(내역서)"/>
      <sheetName val="하자 Check"/>
      <sheetName val="산출내역서"/>
      <sheetName val="공사기성"/>
      <sheetName val="Cover Sheet"/>
      <sheetName val="Property Information Summary"/>
      <sheetName val="Sys Config"/>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완성차 미수금"/>
      <sheetName val="I__Assump"/>
      <sheetName val="Rent_Roll"/>
      <sheetName val="급여표"/>
      <sheetName val="ｸﾚｰﾑﾘｽﾄ"/>
      <sheetName val="Daily Banking"/>
      <sheetName val="청구및회입"/>
      <sheetName val="수정시산표"/>
      <sheetName val="단체(2)"/>
      <sheetName val="도급자재"/>
      <sheetName val="Leasing"/>
      <sheetName val="D01"/>
      <sheetName val="リスト"/>
      <sheetName val="설치공사비"/>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현장"/>
      <sheetName val="설계"/>
      <sheetName val="임대료산정(자동계산)"/>
      <sheetName val="업무분장 "/>
      <sheetName val="호텔부담분 산정식"/>
      <sheetName val="요율"/>
      <sheetName val="2001년12월"/>
      <sheetName val="base"/>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설직재-1"/>
      <sheetName val="인건비"/>
      <sheetName val=" 견적서"/>
      <sheetName val="공사현황"/>
      <sheetName val="경율산정_XLS1"/>
      <sheetName val="Budget_2005(DW)1"/>
      <sheetName val="산업은행_경영지표1"/>
      <sheetName val="1_표지"/>
      <sheetName val="설_계"/>
      <sheetName val="g__Rent_Roll"/>
      <sheetName val="GAAP Pru"/>
      <sheetName val="2016년07월"/>
      <sheetName val="CodeTable"/>
      <sheetName val="위치조서"/>
      <sheetName val="2000전체분"/>
      <sheetName val="2000년1차"/>
      <sheetName val="월별손익"/>
      <sheetName val="完了通知"/>
      <sheetName val="공제"/>
      <sheetName val="사업자현황"/>
      <sheetName val="5-1.본관동건축(전체집계표포함)"/>
      <sheetName val="5-3.음수대"/>
      <sheetName val="Disclosure"/>
      <sheetName val="Int-Invst"/>
      <sheetName val="util"/>
      <sheetName val="수익률검증"/>
      <sheetName val="자재단가"/>
      <sheetName val="터파기및재료"/>
      <sheetName val="운용지시서"/>
      <sheetName val="BP Summary"/>
      <sheetName val="Summery"/>
      <sheetName val="XL4Poppy"/>
      <sheetName val="选择报表"/>
      <sheetName val="12月二级试算表"/>
      <sheetName val="본부별매출"/>
      <sheetName val="97년추정손익계산서"/>
      <sheetName val="납부서"/>
      <sheetName val="기본입력사항"/>
      <sheetName val="TEMP2"/>
      <sheetName val="TEMP"/>
      <sheetName val="JA"/>
      <sheetName val="금융"/>
      <sheetName val="은행"/>
      <sheetName val="리스"/>
      <sheetName val="보험"/>
      <sheetName val="입력항목"/>
      <sheetName val="TB"/>
      <sheetName val="감가상각"/>
      <sheetName val="Basic_Information"/>
      <sheetName val="관계회사거래내역및 채권채무잔액 99"/>
      <sheetName val="US Codes"/>
      <sheetName val="FS"/>
      <sheetName val="Cases"/>
      <sheetName val="Control Page"/>
      <sheetName val="DCF Input"/>
      <sheetName val="Earnings"/>
      <sheetName val="경상비내역"/>
      <sheetName val="대외공문"/>
      <sheetName val="인건-측정"/>
      <sheetName val="분전함신설"/>
      <sheetName val="접지1종"/>
      <sheetName val="자재사용내역"/>
      <sheetName val="갑지(추정)"/>
      <sheetName val="1.物件概要"/>
      <sheetName val="퇴직금추계ot"/>
      <sheetName val="집계표"/>
      <sheetName val="Ex_-_FRFsp"/>
      <sheetName val="Price_Level"/>
      <sheetName val="2_Summary-cash"/>
      <sheetName val="Menu"/>
      <sheetName val="Cover"/>
      <sheetName val="CAPEX(3yrs)"/>
      <sheetName val="유동자산"/>
      <sheetName val="12.수도광열비"/>
      <sheetName val="Operational Activities"/>
      <sheetName val="RECIEPT&amp;PAYMENT"/>
      <sheetName val="WREK자산임대현황-1(2월06일) "/>
      <sheetName val="도급FORM"/>
      <sheetName val="전선 및 전선관"/>
      <sheetName val="RM목표&amp;실적"/>
      <sheetName val="물량"/>
      <sheetName val="2015년11월"/>
      <sheetName val="Budget"/>
      <sheetName val="디앤엠3월+연말"/>
      <sheetName val="pivot"/>
      <sheetName val="NM-LEVMODEL"/>
      <sheetName val="LevModel"/>
      <sheetName val="NM-Financial"/>
      <sheetName val="Financial"/>
      <sheetName val="Rent Roll Summary"/>
      <sheetName val="Tax"/>
      <sheetName val="자료"/>
      <sheetName val="인사현황"/>
      <sheetName val="급여대장(입력)"/>
      <sheetName val="P.M 별"/>
      <sheetName val="건축개요"/>
      <sheetName val="기본정보입력"/>
      <sheetName val="선   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회사정보"/>
      <sheetName val="노무비"/>
      <sheetName val="賃料等一覧"/>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요약BS"/>
      <sheetName val="재무가정"/>
      <sheetName val="교통대책내역"/>
      <sheetName val="건재양식"/>
      <sheetName val="1)기본서식"/>
      <sheetName val="금강투자2000"/>
      <sheetName val="노무비"/>
      <sheetName val="tsuga"/>
      <sheetName val="상가매매0115"/>
      <sheetName val="상가임대0115"/>
      <sheetName val="일위_파일"/>
      <sheetName val="인원계획-미화"/>
      <sheetName val="6-3(2)호_"/>
      <sheetName val="코드"/>
      <sheetName val="감가상각"/>
      <sheetName val="이름표"/>
      <sheetName val="수주현황2월"/>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재무가정"/>
      <sheetName val="로담코총괄제안견적3"/>
      <sheetName val="회사정보"/>
      <sheetName val="노무비"/>
      <sheetName val="상품입고집계"/>
      <sheetName val="データ"/>
      <sheetName val="시나리오"/>
      <sheetName val="상가매매0115"/>
      <sheetName val="상가임대0115"/>
      <sheetName val="Data Sheet"/>
      <sheetName val="Valuation"/>
      <sheetName val="토지가격산출기초"/>
      <sheetName val="공시지가"/>
      <sheetName val="현장관리비"/>
      <sheetName val="설-원가"/>
      <sheetName val="설치자재"/>
      <sheetName val="단중"/>
      <sheetName val="기타수익"/>
      <sheetName val="Assumption"/>
      <sheetName val="Occupancy Scenario"/>
      <sheetName val="賃料等一覧"/>
      <sheetName val="품명"/>
      <sheetName val="업무용유지비실적"/>
      <sheetName val="Work"/>
      <sheetName val="수목단가"/>
      <sheetName val="자재단가"/>
      <sheetName val="노임단가"/>
      <sheetName val="CostApp."/>
      <sheetName val="Lookup"/>
      <sheetName val="FOOD&amp;BEVERAGE"/>
      <sheetName val="Dental City 가정"/>
      <sheetName val="사업예산내역"/>
      <sheetName val="사업예산품의서"/>
      <sheetName val="tsuga"/>
      <sheetName val="조직및_인원계획"/>
      <sheetName val="견적내역-미화_(2)"/>
      <sheetName val="견적내역-보안_(2)"/>
      <sheetName val="Data_Sheet"/>
      <sheetName val="Occupancy_Scenario"/>
      <sheetName val="빌딩코드"/>
      <sheetName val="95WBS"/>
      <sheetName val="Sheet1"/>
      <sheetName val="목록"/>
      <sheetName val="중기"/>
      <sheetName val="단가산출"/>
      <sheetName val="Assumptions"/>
      <sheetName val="일반수량총괄집계"/>
      <sheetName val="조직및_인원계획1"/>
      <sheetName val="견적내역-미화_(2)1"/>
      <sheetName val="견적내역-보안_(2)1"/>
      <sheetName val="Data_Sheet1"/>
      <sheetName val="Occupancy_Scenario1"/>
      <sheetName val="CostApp_"/>
      <sheetName val="Dental_City_가정"/>
      <sheetName val="이름표"/>
      <sheetName val="수량계산"/>
      <sheetName val="일위산출"/>
      <sheetName val="이우(hd)"/>
      <sheetName val="CF Case1(메인)"/>
      <sheetName val="Collateral"/>
      <sheetName val="받을어음"/>
      <sheetName val="공통"/>
      <sheetName val="현금"/>
      <sheetName val="대차대조표"/>
      <sheetName val="순수통장"/>
      <sheetName val="적립수신"/>
      <sheetName val="지급어음(일별)"/>
      <sheetName val="조사번호"/>
      <sheetName val="98지급계획"/>
      <sheetName val="현장"/>
      <sheetName val="Initial Input Variable"/>
      <sheetName val="Journal"/>
      <sheetName val="1.0"/>
      <sheetName val="Summary"/>
      <sheetName val="1 Cash Flow Analysis"/>
      <sheetName val="2004SS"/>
      <sheetName val="2004CJ"/>
      <sheetName val="인원계획_미화"/>
      <sheetName val="001"/>
      <sheetName val="Customer Databas"/>
      <sheetName val="공사개요"/>
      <sheetName val="일위대가목차"/>
      <sheetName val="MOTOR"/>
      <sheetName val="익월작업계힉"/>
      <sheetName val="Template"/>
      <sheetName val="S&amp;R"/>
      <sheetName val="Instructions"/>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2공구산출내역"/>
      <sheetName val="Data&amp;Result"/>
      <sheetName val="リスト"/>
      <sheetName val="현금흐름Ⅰ"/>
      <sheetName val="총무팀"/>
      <sheetName val="마포-임현"/>
      <sheetName val="전체손익"/>
      <sheetName val="LIST"/>
      <sheetName val="管理見積(ｶﾅｻﾞﾜ)"/>
      <sheetName val="요율"/>
      <sheetName val="기준정보"/>
      <sheetName val="1ST"/>
      <sheetName val="controll"/>
      <sheetName val="가격표"/>
      <sheetName val="VA요약(가정 및 배당)"/>
      <sheetName val="건물대사"/>
      <sheetName val="품셈TABLE"/>
      <sheetName val="Parameter"/>
      <sheetName val="1Month+Sheet2!"/>
      <sheetName val="Macro1"/>
      <sheetName val="OPREV(대한)"/>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소비자가"/>
      <sheetName val="99판매상세"/>
      <sheetName val="nr030112"/>
      <sheetName val="제품수불"/>
      <sheetName val="0103"/>
      <sheetName val="외화금융(97-03)"/>
      <sheetName val="산업은행 경영지표"/>
      <sheetName val="Expense Schedule (4)"/>
      <sheetName val="SCH03"/>
      <sheetName val="내역서 제출"/>
      <sheetName val="入力用(家賃)"/>
      <sheetName val="入力用(駐車)"/>
      <sheetName val="실행철강하도"/>
      <sheetName val="argl(1)"/>
      <sheetName val="F"/>
      <sheetName val="Table"/>
      <sheetName val="개요"/>
      <sheetName val="BS"/>
      <sheetName val="***********************00"/>
      <sheetName val="UW_A"/>
      <sheetName val="Data(인원)"/>
      <sheetName val="구분"/>
      <sheetName val="2월"/>
      <sheetName val="Development"/>
      <sheetName val="Income"/>
      <sheetName val="Total"/>
      <sheetName val="CASHFLOW"/>
      <sheetName val="ARDEBT"/>
      <sheetName val="anaysis_sheet"/>
      <sheetName val="SALE"/>
      <sheetName val="소유임차부동산(원본)"/>
      <sheetName val="업무분장 "/>
      <sheetName val="영업.일1"/>
      <sheetName val="Cash Flow"/>
      <sheetName val="Source"/>
      <sheetName val="임대료산정(자동계산)"/>
      <sheetName val="단가"/>
      <sheetName val="2 Harajuku Jimusho"/>
      <sheetName val="종합"/>
      <sheetName val="점코드"/>
      <sheetName val="산수(hd-0)"/>
      <sheetName val="산수(hd-1)"/>
      <sheetName val="수지차(년)"/>
      <sheetName val="Ⅰ-3"/>
      <sheetName val="인건비"/>
      <sheetName val="FX Rates"/>
      <sheetName val=" 견적서"/>
      <sheetName val="Training"/>
      <sheetName val="Facility Information"/>
      <sheetName val="General"/>
      <sheetName val="People"/>
      <sheetName val="Quality"/>
      <sheetName val="Risk"/>
      <sheetName val="10월 (2)"/>
      <sheetName val="종합-임현"/>
      <sheetName val="내역1"/>
      <sheetName val="분양금할인"/>
      <sheetName val="주요기준"/>
      <sheetName val="간접경상비"/>
      <sheetName val="D1300 자삽"/>
      <sheetName val="Input Screen"/>
      <sheetName val="Baby일위대가"/>
      <sheetName val="입력변수"/>
      <sheetName val="원가계산서"/>
      <sheetName val="101동"/>
      <sheetName val="손익"/>
      <sheetName val="Office only Letup"/>
      <sheetName val="Tenants"/>
      <sheetName val="Customer_Databas1"/>
      <sheetName val="Initial_Input_Variable1"/>
      <sheetName val="1_Cash_Flow_Analysis"/>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전선 및 전선관"/>
      <sheetName val="조회총괄"/>
      <sheetName val="6월실적"/>
      <sheetName val="2F 회의실견적(5_14 일대)"/>
      <sheetName val="불법주정차"/>
      <sheetName val="시화점실행"/>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전기내역서(총계)"/>
      <sheetName val="VA요약(가정_및_배당)"/>
      <sheetName val="내역서_제출"/>
      <sheetName val="정산표"/>
      <sheetName val="반포2차"/>
      <sheetName val="데이타"/>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CT"/>
      <sheetName val="주요가정"/>
      <sheetName val="SETUP"/>
      <sheetName val="소방사항"/>
      <sheetName val="시멘트"/>
      <sheetName val="A"/>
      <sheetName val="분전함신설"/>
      <sheetName val="접지1종"/>
      <sheetName val="세목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민감도"/>
      <sheetName val="간접재료비산출표-27-30"/>
      <sheetName val="조직도 빽업"/>
      <sheetName val="일반경비"/>
      <sheetName val="도기류"/>
      <sheetName val="영업.일"/>
      <sheetName val="을지"/>
      <sheetName val="D01"/>
      <sheetName val="비용자료"/>
      <sheetName val="비용예산자료"/>
      <sheetName val="수익자료"/>
      <sheetName val="수익예산자료"/>
      <sheetName val="20관리비율"/>
      <sheetName val="실행내역"/>
      <sheetName val="물량"/>
      <sheetName val="매출"/>
      <sheetName val="목차"/>
      <sheetName val="표지"/>
      <sheetName val="PROJECT BRIEF(EX.NEW)"/>
      <sheetName val="운동장 (2)"/>
      <sheetName val="17.채용자명단"/>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관리비계산서"/>
      <sheetName val="1.2"/>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Front_Cover2"/>
      <sheetName val="지분법(AK)_(2)1"/>
      <sheetName val="한일자야(감액손실)_(2)1"/>
      <sheetName val="DB"/>
      <sheetName val="VA요약(가정_및_배당)1"/>
      <sheetName val="내역서_제출1"/>
      <sheetName val="범용개발순소요비용"/>
      <sheetName val="산업은행_경영지표1"/>
      <sheetName val="_토목_처리장도급내역서_1"/>
      <sheetName val="7_(2)1"/>
      <sheetName val="2_Summary-cash1"/>
      <sheetName val="Cash_Flow1"/>
      <sheetName val="관리부동산_목록1"/>
      <sheetName val="2_대외공문"/>
      <sheetName val="3_총괄_Fund"/>
      <sheetName val="임대수익"/>
      <sheetName val="base"/>
      <sheetName val="3-4현"/>
      <sheetName val="3-3현"/>
      <sheetName val="Menu_Link"/>
      <sheetName val="MEMORY"/>
      <sheetName val="식재인부"/>
      <sheetName val="울산"/>
      <sheetName val="SRC-B3U2"/>
      <sheetName val="견적세부내역_보안미화_5%"/>
      <sheetName val="Current"/>
      <sheetName val="I一般比"/>
      <sheetName val="갑지(추정)"/>
      <sheetName val="분당임차변경"/>
      <sheetName val="Sheet11"/>
      <sheetName val="영업_일11"/>
      <sheetName val="10월_(2)1"/>
      <sheetName val="Facility_Information1"/>
      <sheetName val="일위"/>
      <sheetName val="JUCKEYK"/>
      <sheetName val="기본가정"/>
      <sheetName val="총투자비"/>
      <sheetName val="총투자비(총괄)"/>
      <sheetName val="EACT10"/>
      <sheetName val="일반관리비"/>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APT"/>
      <sheetName val="콘크리트타설집계표"/>
      <sheetName val="10.익월 업무 계획-전기,방재"/>
      <sheetName val="도급자재"/>
      <sheetName val="간접비계산"/>
      <sheetName val="익산"/>
      <sheetName val="その他ローン差額"/>
      <sheetName val="영업사양"/>
      <sheetName val="DATE"/>
      <sheetName val="조사자료"/>
      <sheetName val="스포회원매출"/>
      <sheetName val="Assumptions_"/>
      <sheetName val="Budget_2004(DW)"/>
      <sheetName val="돈암사업"/>
      <sheetName val="업무분장_"/>
      <sheetName val="Accrued Interest income"/>
      <sheetName val="ﾄﾞﾛｯﾌﾟﾀﾞｳﾝﾒﾆｭｰ"/>
      <sheetName val="외상매출금현황-수정분 A2"/>
      <sheetName val="3.빌딩손익_6년차"/>
      <sheetName val="3.4.수도광열비"/>
      <sheetName val="Inve. &amp; Income Assum."/>
      <sheetName val="COVER"/>
      <sheetName val="근린생활"/>
      <sheetName val="BOK차입"/>
      <sheetName val="이익영"/>
      <sheetName val="15"/>
      <sheetName val="Tier 1"/>
      <sheetName val="PLD"/>
      <sheetName val="손익분석"/>
      <sheetName val="설계조건"/>
      <sheetName val="조사시트"/>
      <sheetName val="Utility Usage엠닷컴 26"/>
      <sheetName val="현금흐름"/>
      <sheetName val="과"/>
      <sheetName val="제직재"/>
      <sheetName val="제-노임"/>
      <sheetName val="현금경비중역"/>
      <sheetName val="단가비교"/>
      <sheetName val="GAAP Pru"/>
      <sheetName val="부하계산서"/>
      <sheetName val="A1"/>
      <sheetName val="Utilities"/>
      <sheetName val="Utility Usage YTN TOWER"/>
      <sheetName val="비용산식"/>
      <sheetName val="신상자료"/>
      <sheetName val="Budget"/>
      <sheetName val="検針表"/>
      <sheetName val="가정&amp;결과"/>
      <sheetName val="TBUS"/>
      <sheetName val="요약BS"/>
      <sheetName val="일위_파일"/>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재무가정"/>
      <sheetName val="data"/>
      <sheetName val="인원계획-미화"/>
      <sheetName val="1)기본서식"/>
      <sheetName val="익월작업계힉"/>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인원계획-미화"/>
      <sheetName val="재무가정"/>
      <sheetName val="한일자야(감액손실) (2)"/>
      <sheetName val="산수(hd-0)"/>
      <sheetName val="산수(hd-1)"/>
      <sheetName val="회사정보"/>
      <sheetName val="급여대장"/>
      <sheetName val="이우(hd)"/>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미화"/>
      <sheetName val="건축개요"/>
      <sheetName val="층별개요"/>
      <sheetName val="전기설비"/>
      <sheetName val="기계설비"/>
      <sheetName val="건축물개요"/>
      <sheetName val="조직및 인원계획"/>
      <sheetName val="인원계획-시설"/>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회사정보"/>
      <sheetName val="익월작업계힉"/>
      <sheetName val="연구인원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노무비"/>
      <sheetName val="Calendar"/>
      <sheetName val="상가매매0115"/>
      <sheetName val="상가임대0115"/>
      <sheetName val="목록"/>
      <sheetName val="중기"/>
      <sheetName val="급여대장"/>
      <sheetName val="리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인원계획-미화"/>
      <sheetName val="공사개요"/>
      <sheetName val="내역서"/>
      <sheetName val="총상담"/>
      <sheetName val="1)기본서식"/>
      <sheetName val="지급어음(일별)"/>
      <sheetName val="재무가정"/>
      <sheetName val="Occupancy Scenario"/>
      <sheetName val="FOOD&amp;BEVERAGE"/>
      <sheetName val="노무비"/>
      <sheetName val="Sheet1"/>
      <sheetName val="***********************00"/>
      <sheetName val="6-3(2)호_"/>
      <sheetName val="개요"/>
      <sheetName val="익월작업계힉"/>
      <sheetName val="본사인상전"/>
      <sheetName val="연구인원내역"/>
      <sheetName val="등록정보(관리자용)"/>
      <sheetName val="_______________________00"/>
      <sheetName val="95WBS"/>
      <sheetName val="원가서"/>
      <sheetName val="완성차 미수금"/>
      <sheetName val="IntercompanyAROct2001"/>
      <sheetName val="TNC(1안)"/>
      <sheetName val="갑지1"/>
      <sheetName val="지점분석00"/>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공사개요"/>
      <sheetName val="인원계획-미화"/>
      <sheetName val="Purchase"/>
      <sheetName val="지급어음(일별)"/>
      <sheetName val="추가예산"/>
      <sheetName val="단체(2)"/>
      <sheetName val="공통산출근거"/>
      <sheetName val="익월작업계힉"/>
      <sheetName val="가격비"/>
      <sheetName val="6-3(2)호_"/>
      <sheetName val="시화점실행"/>
      <sheetName val="data"/>
      <sheetName val="제품수불내역"/>
      <sheetName val="첨"/>
      <sheetName val="포장재"/>
      <sheetName val="수액원료4"/>
      <sheetName val="BM_NEW2"/>
      <sheetName val="집계표결과"/>
      <sheetName val="개요"/>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인원계획-미화"/>
      <sheetName val="회사정보"/>
      <sheetName val="S&amp;R"/>
    </sheetNames>
    <sheetDataSet>
      <sheetData sheetId="0"/>
      <sheetData sheetId="1"/>
      <sheetData sheetId="2"/>
      <sheetData sheetId="3"/>
      <sheetData sheetId="4"/>
      <sheetData sheetId="5">
        <row r="4">
          <cell r="B4" t="str">
            <v>계정과목</v>
          </cell>
          <cell r="C4" t="str">
            <v>원주재개발조합</v>
          </cell>
          <cell r="D4" t="str">
            <v>의정부재건축</v>
          </cell>
          <cell r="E4" t="str">
            <v>덕천동조합</v>
          </cell>
          <cell r="F4" t="str">
            <v>동두천주공</v>
          </cell>
          <cell r="G4" t="str">
            <v>울산달동오피스</v>
          </cell>
          <cell r="H4" t="str">
            <v>CCK군산지붕벽체</v>
          </cell>
          <cell r="I4" t="str">
            <v>광양제철</v>
          </cell>
          <cell r="J4" t="str">
            <v>아남산업광주1차</v>
          </cell>
          <cell r="K4" t="str">
            <v>수서한전</v>
          </cell>
          <cell r="L4" t="str">
            <v>FED방벽설치</v>
          </cell>
          <cell r="M4" t="str">
            <v>아남산업새마을금고</v>
          </cell>
          <cell r="N4" t="str">
            <v>부천신용금고</v>
          </cell>
          <cell r="O4" t="str">
            <v>아남산업용인</v>
          </cell>
          <cell r="P4" t="str">
            <v>FED의정부사병숙소</v>
          </cell>
          <cell r="Q4" t="str">
            <v>아남산업부천</v>
          </cell>
          <cell r="R4" t="str">
            <v>제주3공구</v>
          </cell>
          <cell r="S4" t="str">
            <v>FED평택크럽보수</v>
          </cell>
          <cell r="T4" t="str">
            <v>중마공유수면매립</v>
          </cell>
          <cell r="U4" t="str">
            <v>광주제2순환도로</v>
          </cell>
          <cell r="V4" t="str">
            <v>아남산업광주2차</v>
          </cell>
          <cell r="W4" t="str">
            <v>제주6공구</v>
          </cell>
          <cell r="X4" t="str">
            <v>포항제7매립장</v>
          </cell>
          <cell r="Y4" t="str">
            <v>아남환경포항SHOT</v>
          </cell>
          <cell r="Z4" t="str">
            <v>포항제10매립장</v>
          </cell>
          <cell r="AA4" t="str">
            <v>서산전화국</v>
          </cell>
          <cell r="AB4" t="str">
            <v>광주제2순환도로접속</v>
          </cell>
          <cell r="AC4" t="str">
            <v>포항제11매립장</v>
          </cell>
          <cell r="AD4" t="str">
            <v>포항차단형매립</v>
          </cell>
          <cell r="AE4" t="str">
            <v>포항제11-1매립장</v>
          </cell>
          <cell r="AF4" t="str">
            <v>포항수고절개지복구</v>
          </cell>
          <cell r="AG4" t="str">
            <v>경원선2-1공구</v>
          </cell>
          <cell r="AH4" t="str">
            <v>베트남</v>
          </cell>
          <cell r="AI4" t="str">
            <v>FED평택혈액원창고</v>
          </cell>
          <cell r="AJ4" t="str">
            <v>FED평택병원창고보수</v>
          </cell>
          <cell r="AK4" t="str">
            <v>FED평택사회복지관</v>
          </cell>
          <cell r="AL4" t="str">
            <v>FED용산사병숙소</v>
          </cell>
          <cell r="AM4" t="str">
            <v>CCK평택건물보수</v>
          </cell>
          <cell r="AN4" t="str">
            <v>계</v>
          </cell>
        </row>
        <row r="5">
          <cell r="C5" t="str">
            <v>A9404</v>
          </cell>
          <cell r="D5" t="str">
            <v>A9405</v>
          </cell>
          <cell r="E5" t="str">
            <v>A9406</v>
          </cell>
          <cell r="F5" t="str">
            <v>A9414</v>
          </cell>
          <cell r="G5" t="str">
            <v>A9420</v>
          </cell>
          <cell r="H5" t="str">
            <v>A9505</v>
          </cell>
          <cell r="I5" t="str">
            <v>A9509</v>
          </cell>
          <cell r="J5" t="str">
            <v>A9510</v>
          </cell>
          <cell r="K5" t="str">
            <v>A9511</v>
          </cell>
          <cell r="L5" t="str">
            <v>A9514</v>
          </cell>
          <cell r="M5" t="str">
            <v>A9515</v>
          </cell>
          <cell r="N5" t="str">
            <v>A9601</v>
          </cell>
          <cell r="O5" t="str">
            <v>A9602</v>
          </cell>
          <cell r="P5" t="str">
            <v>A9603</v>
          </cell>
          <cell r="Q5" t="str">
            <v>A9604</v>
          </cell>
          <cell r="R5" t="str">
            <v>A9607</v>
          </cell>
          <cell r="S5" t="str">
            <v>A9609</v>
          </cell>
          <cell r="T5" t="str">
            <v>A9614</v>
          </cell>
          <cell r="U5" t="str">
            <v>A9615</v>
          </cell>
          <cell r="V5" t="str">
            <v>A9620</v>
          </cell>
          <cell r="W5" t="str">
            <v>A9621</v>
          </cell>
          <cell r="X5" t="str">
            <v>A9622</v>
          </cell>
          <cell r="Y5" t="str">
            <v>AA701</v>
          </cell>
          <cell r="Z5" t="str">
            <v>AA702</v>
          </cell>
          <cell r="AA5" t="str">
            <v>AA703</v>
          </cell>
          <cell r="AB5" t="str">
            <v>AA704</v>
          </cell>
          <cell r="AC5" t="str">
            <v>AA705</v>
          </cell>
          <cell r="AD5" t="str">
            <v>AA706</v>
          </cell>
          <cell r="AE5" t="str">
            <v>AA707</v>
          </cell>
          <cell r="AF5" t="str">
            <v>AA708</v>
          </cell>
          <cell r="AG5" t="str">
            <v>AA710</v>
          </cell>
          <cell r="AH5" t="str">
            <v>AC517</v>
          </cell>
          <cell r="AI5" t="str">
            <v>AF701</v>
          </cell>
          <cell r="AJ5" t="str">
            <v>AF702</v>
          </cell>
          <cell r="AK5" t="str">
            <v>AF703</v>
          </cell>
          <cell r="AL5" t="str">
            <v>AF704</v>
          </cell>
          <cell r="AM5" t="str">
            <v>AF705</v>
          </cell>
        </row>
        <row r="7">
          <cell r="B7" t="str">
            <v>재료비</v>
          </cell>
          <cell r="C7">
            <v>0</v>
          </cell>
          <cell r="D7">
            <v>1209367759</v>
          </cell>
          <cell r="E7">
            <v>2757414049</v>
          </cell>
          <cell r="F7">
            <v>559211</v>
          </cell>
          <cell r="G7">
            <v>63922</v>
          </cell>
          <cell r="H7">
            <v>23824000</v>
          </cell>
          <cell r="I7">
            <v>29249319</v>
          </cell>
          <cell r="J7">
            <v>0</v>
          </cell>
          <cell r="K7">
            <v>17458963</v>
          </cell>
          <cell r="L7">
            <v>8253560</v>
          </cell>
          <cell r="M7">
            <v>0</v>
          </cell>
          <cell r="N7">
            <v>711601779</v>
          </cell>
          <cell r="O7">
            <v>138827833</v>
          </cell>
          <cell r="P7">
            <v>1391890066</v>
          </cell>
          <cell r="Q7">
            <v>20860101061</v>
          </cell>
          <cell r="R7">
            <v>3775373239</v>
          </cell>
          <cell r="S7">
            <v>39414112</v>
          </cell>
          <cell r="T7">
            <v>56702230</v>
          </cell>
          <cell r="U7">
            <v>43766445</v>
          </cell>
          <cell r="V7">
            <v>3892590371</v>
          </cell>
          <cell r="W7">
            <v>3179591677</v>
          </cell>
          <cell r="X7">
            <v>329918</v>
          </cell>
          <cell r="Y7">
            <v>44924758</v>
          </cell>
          <cell r="Z7">
            <v>0</v>
          </cell>
          <cell r="AA7">
            <v>82086328</v>
          </cell>
          <cell r="AB7">
            <v>0</v>
          </cell>
          <cell r="AC7">
            <v>0</v>
          </cell>
          <cell r="AD7">
            <v>0</v>
          </cell>
          <cell r="AE7">
            <v>203105</v>
          </cell>
          <cell r="AF7">
            <v>0</v>
          </cell>
          <cell r="AG7">
            <v>0</v>
          </cell>
          <cell r="AH7">
            <v>0</v>
          </cell>
          <cell r="AI7">
            <v>21444675</v>
          </cell>
          <cell r="AJ7">
            <v>296485319</v>
          </cell>
          <cell r="AK7">
            <v>1129418085</v>
          </cell>
          <cell r="AL7">
            <v>440044858</v>
          </cell>
          <cell r="AM7">
            <v>3128361</v>
          </cell>
          <cell r="AN7">
            <v>40154115003</v>
          </cell>
        </row>
        <row r="8">
          <cell r="B8" t="str">
            <v>노무비</v>
          </cell>
          <cell r="C8">
            <v>430000</v>
          </cell>
          <cell r="D8">
            <v>215095000</v>
          </cell>
          <cell r="E8">
            <v>219110000</v>
          </cell>
          <cell r="F8">
            <v>5705000</v>
          </cell>
          <cell r="G8">
            <v>920000</v>
          </cell>
          <cell r="H8">
            <v>24377500</v>
          </cell>
          <cell r="I8">
            <v>437580000</v>
          </cell>
          <cell r="J8">
            <v>0</v>
          </cell>
          <cell r="K8">
            <v>0</v>
          </cell>
          <cell r="L8">
            <v>2995000</v>
          </cell>
          <cell r="M8">
            <v>0</v>
          </cell>
          <cell r="N8">
            <v>72390000</v>
          </cell>
          <cell r="O8">
            <v>55882000</v>
          </cell>
          <cell r="P8">
            <v>1252988930</v>
          </cell>
          <cell r="Q8">
            <v>1615725500</v>
          </cell>
          <cell r="R8">
            <v>745374461</v>
          </cell>
          <cell r="S8">
            <v>40480000</v>
          </cell>
          <cell r="T8">
            <v>73680118</v>
          </cell>
          <cell r="U8">
            <v>8692848</v>
          </cell>
          <cell r="V8">
            <v>338928000</v>
          </cell>
          <cell r="W8">
            <v>459387000</v>
          </cell>
          <cell r="X8">
            <v>9500000</v>
          </cell>
          <cell r="Y8">
            <v>20400000</v>
          </cell>
          <cell r="Z8">
            <v>0</v>
          </cell>
          <cell r="AA8">
            <v>39400000</v>
          </cell>
          <cell r="AB8">
            <v>0</v>
          </cell>
          <cell r="AC8">
            <v>0</v>
          </cell>
          <cell r="AD8">
            <v>0</v>
          </cell>
          <cell r="AE8">
            <v>2700000</v>
          </cell>
          <cell r="AF8">
            <v>0</v>
          </cell>
          <cell r="AG8">
            <v>0</v>
          </cell>
          <cell r="AH8">
            <v>0</v>
          </cell>
          <cell r="AI8">
            <v>73570000</v>
          </cell>
          <cell r="AJ8">
            <v>501979000</v>
          </cell>
          <cell r="AK8">
            <v>453573000</v>
          </cell>
          <cell r="AL8">
            <v>320255000</v>
          </cell>
          <cell r="AM8">
            <v>10050000</v>
          </cell>
          <cell r="AN8">
            <v>7001168357</v>
          </cell>
        </row>
        <row r="9">
          <cell r="B9" t="str">
            <v>급여</v>
          </cell>
          <cell r="C9">
            <v>7485010</v>
          </cell>
          <cell r="D9">
            <v>203930790</v>
          </cell>
          <cell r="E9">
            <v>288373080</v>
          </cell>
          <cell r="F9">
            <v>1986000</v>
          </cell>
          <cell r="G9">
            <v>14982040</v>
          </cell>
          <cell r="H9">
            <v>0</v>
          </cell>
          <cell r="I9">
            <v>123861890</v>
          </cell>
          <cell r="J9">
            <v>0</v>
          </cell>
          <cell r="K9">
            <v>0</v>
          </cell>
          <cell r="L9">
            <v>0</v>
          </cell>
          <cell r="M9">
            <v>0</v>
          </cell>
          <cell r="N9">
            <v>150721500</v>
          </cell>
          <cell r="O9">
            <v>34614100</v>
          </cell>
          <cell r="P9">
            <v>90360000</v>
          </cell>
          <cell r="Q9">
            <v>391128540</v>
          </cell>
          <cell r="R9">
            <v>243126015</v>
          </cell>
          <cell r="S9">
            <v>0</v>
          </cell>
          <cell r="T9">
            <v>42460333</v>
          </cell>
          <cell r="U9">
            <v>24977175</v>
          </cell>
          <cell r="V9">
            <v>311717880</v>
          </cell>
          <cell r="W9">
            <v>241706050</v>
          </cell>
          <cell r="X9">
            <v>8628660</v>
          </cell>
          <cell r="Y9">
            <v>19876000</v>
          </cell>
          <cell r="Z9">
            <v>12488000</v>
          </cell>
          <cell r="AA9">
            <v>54638540</v>
          </cell>
          <cell r="AB9">
            <v>0</v>
          </cell>
          <cell r="AC9">
            <v>0</v>
          </cell>
          <cell r="AD9">
            <v>0</v>
          </cell>
          <cell r="AE9">
            <v>4679100</v>
          </cell>
          <cell r="AF9">
            <v>0</v>
          </cell>
          <cell r="AG9">
            <v>0</v>
          </cell>
          <cell r="AH9">
            <v>96657400</v>
          </cell>
          <cell r="AI9">
            <v>0</v>
          </cell>
          <cell r="AJ9">
            <v>0</v>
          </cell>
          <cell r="AK9">
            <v>33873500</v>
          </cell>
          <cell r="AL9">
            <v>34800000</v>
          </cell>
          <cell r="AM9">
            <v>0</v>
          </cell>
          <cell r="AN9">
            <v>2437071603</v>
          </cell>
        </row>
        <row r="10">
          <cell r="B10" t="str">
            <v>상여금</v>
          </cell>
          <cell r="C10">
            <v>0</v>
          </cell>
          <cell r="D10">
            <v>51496200</v>
          </cell>
          <cell r="E10">
            <v>66460750</v>
          </cell>
          <cell r="F10">
            <v>970200</v>
          </cell>
          <cell r="G10">
            <v>828800</v>
          </cell>
          <cell r="H10">
            <v>0</v>
          </cell>
          <cell r="I10">
            <v>29751100</v>
          </cell>
          <cell r="J10">
            <v>0</v>
          </cell>
          <cell r="K10">
            <v>0</v>
          </cell>
          <cell r="L10">
            <v>0</v>
          </cell>
          <cell r="M10">
            <v>0</v>
          </cell>
          <cell r="N10">
            <v>39948100</v>
          </cell>
          <cell r="O10">
            <v>10242600</v>
          </cell>
          <cell r="P10">
            <v>0</v>
          </cell>
          <cell r="Q10">
            <v>114564600</v>
          </cell>
          <cell r="R10">
            <v>67392630</v>
          </cell>
          <cell r="S10">
            <v>0</v>
          </cell>
          <cell r="T10">
            <v>20888410</v>
          </cell>
          <cell r="U10">
            <v>6343803</v>
          </cell>
          <cell r="V10">
            <v>75286500</v>
          </cell>
          <cell r="W10">
            <v>65840310</v>
          </cell>
          <cell r="X10">
            <v>3304400</v>
          </cell>
          <cell r="Y10">
            <v>7821900</v>
          </cell>
          <cell r="Z10">
            <v>2062800</v>
          </cell>
          <cell r="AA10">
            <v>16096300</v>
          </cell>
          <cell r="AB10">
            <v>0</v>
          </cell>
          <cell r="AC10">
            <v>0</v>
          </cell>
          <cell r="AD10">
            <v>0</v>
          </cell>
          <cell r="AE10">
            <v>358400</v>
          </cell>
          <cell r="AF10">
            <v>0</v>
          </cell>
          <cell r="AG10">
            <v>0</v>
          </cell>
          <cell r="AH10">
            <v>18991800</v>
          </cell>
          <cell r="AI10">
            <v>0</v>
          </cell>
          <cell r="AJ10">
            <v>0</v>
          </cell>
          <cell r="AK10">
            <v>0</v>
          </cell>
          <cell r="AL10">
            <v>0</v>
          </cell>
          <cell r="AM10">
            <v>0</v>
          </cell>
          <cell r="AN10">
            <v>598649603</v>
          </cell>
        </row>
        <row r="11">
          <cell r="B11" t="str">
            <v>퇴직급여</v>
          </cell>
          <cell r="C11">
            <v>0</v>
          </cell>
          <cell r="D11">
            <v>35503643</v>
          </cell>
          <cell r="E11">
            <v>45820833</v>
          </cell>
          <cell r="F11">
            <v>668897</v>
          </cell>
          <cell r="G11">
            <v>571410</v>
          </cell>
          <cell r="H11">
            <v>0</v>
          </cell>
          <cell r="I11">
            <v>20511658</v>
          </cell>
          <cell r="J11">
            <v>0</v>
          </cell>
          <cell r="K11">
            <v>0</v>
          </cell>
          <cell r="L11">
            <v>0</v>
          </cell>
          <cell r="M11">
            <v>0</v>
          </cell>
          <cell r="N11">
            <v>27541898</v>
          </cell>
          <cell r="O11">
            <v>7061679</v>
          </cell>
          <cell r="P11">
            <v>0</v>
          </cell>
          <cell r="Q11">
            <v>78985647</v>
          </cell>
          <cell r="R11">
            <v>46463310</v>
          </cell>
          <cell r="S11">
            <v>0</v>
          </cell>
          <cell r="T11">
            <v>14401347</v>
          </cell>
          <cell r="U11">
            <v>4373684</v>
          </cell>
          <cell r="V11">
            <v>51905675</v>
          </cell>
          <cell r="W11">
            <v>45393075</v>
          </cell>
          <cell r="X11">
            <v>2278192</v>
          </cell>
          <cell r="Y11">
            <v>5392746</v>
          </cell>
          <cell r="Z11">
            <v>1422181</v>
          </cell>
          <cell r="AA11">
            <v>11097465</v>
          </cell>
          <cell r="AB11">
            <v>0</v>
          </cell>
          <cell r="AC11">
            <v>0</v>
          </cell>
          <cell r="AD11">
            <v>0</v>
          </cell>
          <cell r="AE11">
            <v>247096</v>
          </cell>
          <cell r="AF11">
            <v>0</v>
          </cell>
          <cell r="AG11">
            <v>0</v>
          </cell>
          <cell r="AH11">
            <v>13093745</v>
          </cell>
          <cell r="AI11">
            <v>0</v>
          </cell>
          <cell r="AJ11">
            <v>0</v>
          </cell>
          <cell r="AK11">
            <v>0</v>
          </cell>
          <cell r="AL11">
            <v>0</v>
          </cell>
          <cell r="AM11">
            <v>0</v>
          </cell>
          <cell r="AN11">
            <v>412734181</v>
          </cell>
        </row>
        <row r="12">
          <cell r="B12" t="str">
            <v>외주비</v>
          </cell>
          <cell r="C12">
            <v>0</v>
          </cell>
          <cell r="D12">
            <v>2178536567</v>
          </cell>
          <cell r="E12">
            <v>8750024064</v>
          </cell>
          <cell r="F12">
            <v>120000000</v>
          </cell>
          <cell r="G12">
            <v>0</v>
          </cell>
          <cell r="H12">
            <v>0</v>
          </cell>
          <cell r="I12">
            <v>2410140230</v>
          </cell>
          <cell r="J12">
            <v>0</v>
          </cell>
          <cell r="K12">
            <v>908400000</v>
          </cell>
          <cell r="L12">
            <v>0</v>
          </cell>
          <cell r="M12">
            <v>509333000</v>
          </cell>
          <cell r="N12">
            <v>2980719400</v>
          </cell>
          <cell r="O12">
            <v>2306134500</v>
          </cell>
          <cell r="P12">
            <v>355922500</v>
          </cell>
          <cell r="Q12">
            <v>97641017320</v>
          </cell>
          <cell r="R12">
            <v>9180219464</v>
          </cell>
          <cell r="S12">
            <v>0</v>
          </cell>
          <cell r="T12">
            <v>725303517</v>
          </cell>
          <cell r="U12">
            <v>103780000</v>
          </cell>
          <cell r="V12">
            <v>25525682923</v>
          </cell>
          <cell r="W12">
            <v>7872006647</v>
          </cell>
          <cell r="X12">
            <v>815200000</v>
          </cell>
          <cell r="Y12">
            <v>1886188000</v>
          </cell>
          <cell r="Z12">
            <v>0</v>
          </cell>
          <cell r="AA12">
            <v>413900000</v>
          </cell>
          <cell r="AB12">
            <v>0</v>
          </cell>
          <cell r="AC12">
            <v>0</v>
          </cell>
          <cell r="AD12">
            <v>125000000</v>
          </cell>
          <cell r="AE12">
            <v>460105860</v>
          </cell>
          <cell r="AF12">
            <v>52000000</v>
          </cell>
          <cell r="AG12">
            <v>0</v>
          </cell>
          <cell r="AH12">
            <v>7439533031</v>
          </cell>
          <cell r="AI12">
            <v>0</v>
          </cell>
          <cell r="AJ12">
            <v>0</v>
          </cell>
          <cell r="AK12">
            <v>71000000</v>
          </cell>
          <cell r="AL12">
            <v>144597500</v>
          </cell>
          <cell r="AM12">
            <v>0</v>
          </cell>
          <cell r="AN12">
            <v>172974744523</v>
          </cell>
        </row>
        <row r="14">
          <cell r="B14" t="str">
            <v>(경 비)</v>
          </cell>
          <cell r="C14">
            <v>356719094</v>
          </cell>
          <cell r="D14">
            <v>845000538</v>
          </cell>
          <cell r="E14">
            <v>1452594647</v>
          </cell>
          <cell r="F14">
            <v>6758296</v>
          </cell>
          <cell r="G14">
            <v>8175397</v>
          </cell>
          <cell r="H14">
            <v>1485080</v>
          </cell>
          <cell r="I14">
            <v>119766673</v>
          </cell>
          <cell r="J14">
            <v>0</v>
          </cell>
          <cell r="K14">
            <v>11240124</v>
          </cell>
          <cell r="L14">
            <v>345840</v>
          </cell>
          <cell r="M14">
            <v>5189597</v>
          </cell>
          <cell r="N14">
            <v>334237299</v>
          </cell>
          <cell r="O14">
            <v>86586684</v>
          </cell>
          <cell r="P14">
            <v>226195535</v>
          </cell>
          <cell r="Q14">
            <v>2205621234</v>
          </cell>
          <cell r="R14">
            <v>1022374628</v>
          </cell>
          <cell r="S14">
            <v>1366360</v>
          </cell>
          <cell r="T14">
            <v>194509056</v>
          </cell>
          <cell r="U14">
            <v>119341030</v>
          </cell>
          <cell r="V14">
            <v>861299187</v>
          </cell>
          <cell r="W14">
            <v>773815993</v>
          </cell>
          <cell r="X14">
            <v>19657700</v>
          </cell>
          <cell r="Y14">
            <v>49493918</v>
          </cell>
          <cell r="Z14">
            <v>149228554</v>
          </cell>
          <cell r="AA14">
            <v>69552784</v>
          </cell>
          <cell r="AB14">
            <v>2381130</v>
          </cell>
          <cell r="AC14">
            <v>79216000</v>
          </cell>
          <cell r="AD14">
            <v>1577087</v>
          </cell>
          <cell r="AE14">
            <v>10786301</v>
          </cell>
          <cell r="AF14">
            <v>596680</v>
          </cell>
          <cell r="AG14">
            <v>5921890</v>
          </cell>
          <cell r="AH14">
            <v>4586444</v>
          </cell>
          <cell r="AI14">
            <v>18052460</v>
          </cell>
          <cell r="AJ14">
            <v>78852541</v>
          </cell>
          <cell r="AK14">
            <v>199832334</v>
          </cell>
          <cell r="AL14">
            <v>170111837</v>
          </cell>
          <cell r="AM14">
            <v>321600</v>
          </cell>
          <cell r="AN14">
            <v>9492791552</v>
          </cell>
        </row>
        <row r="15">
          <cell r="B15" t="str">
            <v>복리후생비</v>
          </cell>
          <cell r="C15">
            <v>2048270</v>
          </cell>
          <cell r="D15">
            <v>43130380</v>
          </cell>
          <cell r="E15">
            <v>65811990</v>
          </cell>
          <cell r="F15">
            <v>1456450</v>
          </cell>
          <cell r="G15">
            <v>1119500</v>
          </cell>
          <cell r="H15">
            <v>297500</v>
          </cell>
          <cell r="I15">
            <v>32214710</v>
          </cell>
          <cell r="J15">
            <v>0</v>
          </cell>
          <cell r="K15">
            <v>0</v>
          </cell>
          <cell r="L15">
            <v>0</v>
          </cell>
          <cell r="M15">
            <v>0</v>
          </cell>
          <cell r="N15">
            <v>37481180</v>
          </cell>
          <cell r="O15">
            <v>11074420</v>
          </cell>
          <cell r="P15">
            <v>33513410</v>
          </cell>
          <cell r="Q15">
            <v>133763050</v>
          </cell>
          <cell r="R15">
            <v>77306448</v>
          </cell>
          <cell r="S15">
            <v>71000</v>
          </cell>
          <cell r="T15">
            <v>19339249</v>
          </cell>
          <cell r="U15">
            <v>16625487</v>
          </cell>
          <cell r="V15">
            <v>91342902</v>
          </cell>
          <cell r="W15">
            <v>65312733</v>
          </cell>
          <cell r="X15">
            <v>3014200</v>
          </cell>
          <cell r="Y15">
            <v>8437730</v>
          </cell>
          <cell r="Z15">
            <v>182100</v>
          </cell>
          <cell r="AA15">
            <v>12677140</v>
          </cell>
          <cell r="AB15">
            <v>0</v>
          </cell>
          <cell r="AC15">
            <v>0</v>
          </cell>
          <cell r="AD15">
            <v>0</v>
          </cell>
          <cell r="AE15">
            <v>1243370</v>
          </cell>
          <cell r="AF15">
            <v>0</v>
          </cell>
          <cell r="AG15">
            <v>0</v>
          </cell>
          <cell r="AH15">
            <v>909000</v>
          </cell>
          <cell r="AI15">
            <v>3592120</v>
          </cell>
          <cell r="AJ15">
            <v>8121580</v>
          </cell>
          <cell r="AK15">
            <v>11991250</v>
          </cell>
          <cell r="AL15">
            <v>2852590</v>
          </cell>
          <cell r="AM15">
            <v>0</v>
          </cell>
          <cell r="AN15">
            <v>684929759</v>
          </cell>
        </row>
        <row r="16">
          <cell r="B16" t="str">
            <v>여비교통비</v>
          </cell>
          <cell r="C16">
            <v>458710</v>
          </cell>
          <cell r="D16">
            <v>1303900</v>
          </cell>
          <cell r="E16">
            <v>2763600</v>
          </cell>
          <cell r="F16">
            <v>0</v>
          </cell>
          <cell r="G16">
            <v>0</v>
          </cell>
          <cell r="H16">
            <v>0</v>
          </cell>
          <cell r="I16">
            <v>1930600</v>
          </cell>
          <cell r="J16">
            <v>0</v>
          </cell>
          <cell r="K16">
            <v>0</v>
          </cell>
          <cell r="L16">
            <v>0</v>
          </cell>
          <cell r="M16">
            <v>0</v>
          </cell>
          <cell r="N16">
            <v>999000</v>
          </cell>
          <cell r="O16">
            <v>322300</v>
          </cell>
          <cell r="P16">
            <v>0</v>
          </cell>
          <cell r="Q16">
            <v>4862300</v>
          </cell>
          <cell r="R16">
            <v>26492863</v>
          </cell>
          <cell r="S16">
            <v>0</v>
          </cell>
          <cell r="T16">
            <v>4112003</v>
          </cell>
          <cell r="U16">
            <v>1717264</v>
          </cell>
          <cell r="V16">
            <v>3373780</v>
          </cell>
          <cell r="W16">
            <v>26570160</v>
          </cell>
          <cell r="X16">
            <v>684800</v>
          </cell>
          <cell r="Y16">
            <v>1083100</v>
          </cell>
          <cell r="Z16">
            <v>0</v>
          </cell>
          <cell r="AA16">
            <v>315000</v>
          </cell>
          <cell r="AB16">
            <v>0</v>
          </cell>
          <cell r="AC16">
            <v>0</v>
          </cell>
          <cell r="AD16">
            <v>0</v>
          </cell>
          <cell r="AE16">
            <v>270800</v>
          </cell>
          <cell r="AF16">
            <v>0</v>
          </cell>
          <cell r="AG16">
            <v>0</v>
          </cell>
          <cell r="AH16">
            <v>0</v>
          </cell>
          <cell r="AI16">
            <v>0</v>
          </cell>
          <cell r="AJ16">
            <v>191200</v>
          </cell>
          <cell r="AK16">
            <v>249400</v>
          </cell>
          <cell r="AL16">
            <v>0</v>
          </cell>
          <cell r="AM16">
            <v>0</v>
          </cell>
          <cell r="AN16">
            <v>77700780</v>
          </cell>
        </row>
        <row r="17">
          <cell r="B17" t="str">
            <v>통신비</v>
          </cell>
          <cell r="C17">
            <v>1262700</v>
          </cell>
          <cell r="D17">
            <v>4036990</v>
          </cell>
          <cell r="E17">
            <v>4130920</v>
          </cell>
          <cell r="F17">
            <v>88440</v>
          </cell>
          <cell r="G17">
            <v>56270</v>
          </cell>
          <cell r="H17">
            <v>0</v>
          </cell>
          <cell r="I17">
            <v>3614570</v>
          </cell>
          <cell r="J17">
            <v>0</v>
          </cell>
          <cell r="K17">
            <v>0</v>
          </cell>
          <cell r="L17">
            <v>0</v>
          </cell>
          <cell r="M17">
            <v>0</v>
          </cell>
          <cell r="N17">
            <v>3314230</v>
          </cell>
          <cell r="O17">
            <v>1510520</v>
          </cell>
          <cell r="P17">
            <v>0</v>
          </cell>
          <cell r="Q17">
            <v>13097400</v>
          </cell>
          <cell r="R17">
            <v>8640102</v>
          </cell>
          <cell r="S17">
            <v>0</v>
          </cell>
          <cell r="T17">
            <v>3467587</v>
          </cell>
          <cell r="U17">
            <v>1198007</v>
          </cell>
          <cell r="V17">
            <v>12362110</v>
          </cell>
          <cell r="W17">
            <v>7571010</v>
          </cell>
          <cell r="X17">
            <v>214480</v>
          </cell>
          <cell r="Y17">
            <v>2266370</v>
          </cell>
          <cell r="Z17">
            <v>0</v>
          </cell>
          <cell r="AA17">
            <v>1159760</v>
          </cell>
          <cell r="AB17">
            <v>0</v>
          </cell>
          <cell r="AC17">
            <v>0</v>
          </cell>
          <cell r="AD17">
            <v>0</v>
          </cell>
          <cell r="AE17">
            <v>382020</v>
          </cell>
          <cell r="AF17">
            <v>0</v>
          </cell>
          <cell r="AG17">
            <v>0</v>
          </cell>
          <cell r="AH17">
            <v>0</v>
          </cell>
          <cell r="AI17">
            <v>0</v>
          </cell>
          <cell r="AJ17">
            <v>21750</v>
          </cell>
          <cell r="AK17">
            <v>39350</v>
          </cell>
          <cell r="AL17">
            <v>378170</v>
          </cell>
          <cell r="AM17">
            <v>0</v>
          </cell>
          <cell r="AN17">
            <v>68812756</v>
          </cell>
        </row>
        <row r="18">
          <cell r="B18" t="str">
            <v>수도광열비</v>
          </cell>
          <cell r="C18">
            <v>529672</v>
          </cell>
          <cell r="D18">
            <v>96413879</v>
          </cell>
          <cell r="E18">
            <v>71588074</v>
          </cell>
          <cell r="F18">
            <v>3336576</v>
          </cell>
          <cell r="G18">
            <v>564760</v>
          </cell>
          <cell r="H18">
            <v>0</v>
          </cell>
          <cell r="I18">
            <v>1763518</v>
          </cell>
          <cell r="J18">
            <v>0</v>
          </cell>
          <cell r="K18">
            <v>0</v>
          </cell>
          <cell r="L18">
            <v>0</v>
          </cell>
          <cell r="M18">
            <v>0</v>
          </cell>
          <cell r="N18">
            <v>18820270</v>
          </cell>
          <cell r="O18">
            <v>5939727</v>
          </cell>
          <cell r="P18">
            <v>0</v>
          </cell>
          <cell r="Q18">
            <v>257721184</v>
          </cell>
          <cell r="R18">
            <v>24652620</v>
          </cell>
          <cell r="S18">
            <v>0</v>
          </cell>
          <cell r="T18">
            <v>5458419</v>
          </cell>
          <cell r="U18">
            <v>1467078</v>
          </cell>
          <cell r="V18">
            <v>74477395</v>
          </cell>
          <cell r="W18">
            <v>13568657</v>
          </cell>
          <cell r="X18">
            <v>390909</v>
          </cell>
          <cell r="Y18">
            <v>0</v>
          </cell>
          <cell r="Z18">
            <v>0</v>
          </cell>
          <cell r="AA18">
            <v>5720034</v>
          </cell>
          <cell r="AB18">
            <v>0</v>
          </cell>
          <cell r="AC18">
            <v>0</v>
          </cell>
          <cell r="AD18">
            <v>0</v>
          </cell>
          <cell r="AE18">
            <v>700000</v>
          </cell>
          <cell r="AF18">
            <v>0</v>
          </cell>
          <cell r="AG18">
            <v>0</v>
          </cell>
          <cell r="AH18">
            <v>0</v>
          </cell>
          <cell r="AI18">
            <v>0</v>
          </cell>
          <cell r="AJ18">
            <v>0</v>
          </cell>
          <cell r="AK18">
            <v>0</v>
          </cell>
          <cell r="AL18">
            <v>2347889</v>
          </cell>
          <cell r="AM18">
            <v>0</v>
          </cell>
          <cell r="AN18">
            <v>585460661</v>
          </cell>
        </row>
        <row r="19">
          <cell r="B19" t="str">
            <v>세금과공과</v>
          </cell>
          <cell r="C19">
            <v>8693210</v>
          </cell>
          <cell r="D19">
            <v>125562280</v>
          </cell>
          <cell r="E19">
            <v>218332500</v>
          </cell>
          <cell r="F19">
            <v>132854</v>
          </cell>
          <cell r="G19">
            <v>1478830</v>
          </cell>
          <cell r="H19">
            <v>0</v>
          </cell>
          <cell r="I19">
            <v>7302230</v>
          </cell>
          <cell r="J19">
            <v>0</v>
          </cell>
          <cell r="K19">
            <v>830000</v>
          </cell>
          <cell r="L19">
            <v>0</v>
          </cell>
          <cell r="M19">
            <v>300000</v>
          </cell>
          <cell r="N19">
            <v>5469200</v>
          </cell>
          <cell r="O19">
            <v>2649900</v>
          </cell>
          <cell r="P19">
            <v>2093400</v>
          </cell>
          <cell r="Q19">
            <v>31131350</v>
          </cell>
          <cell r="R19">
            <v>438777006</v>
          </cell>
          <cell r="S19">
            <v>0</v>
          </cell>
          <cell r="T19">
            <v>2654094</v>
          </cell>
          <cell r="U19">
            <v>1137672</v>
          </cell>
          <cell r="V19">
            <v>16117790</v>
          </cell>
          <cell r="W19">
            <v>335655315</v>
          </cell>
          <cell r="X19">
            <v>141200</v>
          </cell>
          <cell r="Y19">
            <v>2194200</v>
          </cell>
          <cell r="Z19">
            <v>190800</v>
          </cell>
          <cell r="AA19">
            <v>1316400</v>
          </cell>
          <cell r="AB19">
            <v>75000</v>
          </cell>
          <cell r="AC19">
            <v>0</v>
          </cell>
          <cell r="AD19">
            <v>150000</v>
          </cell>
          <cell r="AE19">
            <v>400000</v>
          </cell>
          <cell r="AF19">
            <v>0</v>
          </cell>
          <cell r="AG19">
            <v>0</v>
          </cell>
          <cell r="AH19">
            <v>1458400</v>
          </cell>
          <cell r="AI19">
            <v>0</v>
          </cell>
          <cell r="AJ19">
            <v>0</v>
          </cell>
          <cell r="AK19">
            <v>466000</v>
          </cell>
          <cell r="AL19">
            <v>482800</v>
          </cell>
          <cell r="AM19">
            <v>0</v>
          </cell>
          <cell r="AN19">
            <v>1205192431</v>
          </cell>
        </row>
        <row r="20">
          <cell r="B20" t="str">
            <v>지급임차료</v>
          </cell>
          <cell r="C20">
            <v>0</v>
          </cell>
          <cell r="D20">
            <v>82630000</v>
          </cell>
          <cell r="E20">
            <v>150280000</v>
          </cell>
          <cell r="F20">
            <v>0</v>
          </cell>
          <cell r="G20">
            <v>1200000</v>
          </cell>
          <cell r="H20">
            <v>250000</v>
          </cell>
          <cell r="I20">
            <v>19560000</v>
          </cell>
          <cell r="J20">
            <v>0</v>
          </cell>
          <cell r="K20">
            <v>0</v>
          </cell>
          <cell r="L20">
            <v>0</v>
          </cell>
          <cell r="M20">
            <v>0</v>
          </cell>
          <cell r="N20">
            <v>156869398</v>
          </cell>
          <cell r="O20">
            <v>3510000</v>
          </cell>
          <cell r="P20">
            <v>98959153</v>
          </cell>
          <cell r="Q20">
            <v>168639108</v>
          </cell>
          <cell r="R20">
            <v>96812765</v>
          </cell>
          <cell r="S20">
            <v>0</v>
          </cell>
          <cell r="T20">
            <v>22254132</v>
          </cell>
          <cell r="U20">
            <v>53328309</v>
          </cell>
          <cell r="V20">
            <v>43203000</v>
          </cell>
          <cell r="W20">
            <v>85891500</v>
          </cell>
          <cell r="X20">
            <v>490000</v>
          </cell>
          <cell r="Y20">
            <v>50000</v>
          </cell>
          <cell r="Z20">
            <v>0</v>
          </cell>
          <cell r="AA20">
            <v>6900000</v>
          </cell>
          <cell r="AB20">
            <v>0</v>
          </cell>
          <cell r="AC20">
            <v>0</v>
          </cell>
          <cell r="AD20">
            <v>0</v>
          </cell>
          <cell r="AE20">
            <v>0</v>
          </cell>
          <cell r="AF20">
            <v>0</v>
          </cell>
          <cell r="AG20">
            <v>0</v>
          </cell>
          <cell r="AH20">
            <v>0</v>
          </cell>
          <cell r="AI20">
            <v>11490000</v>
          </cell>
          <cell r="AJ20">
            <v>27180000</v>
          </cell>
          <cell r="AK20">
            <v>133195000</v>
          </cell>
          <cell r="AL20">
            <v>97706900</v>
          </cell>
          <cell r="AM20">
            <v>0</v>
          </cell>
          <cell r="AN20">
            <v>1260399265</v>
          </cell>
        </row>
        <row r="21">
          <cell r="B21" t="str">
            <v>감가상각비</v>
          </cell>
          <cell r="C21">
            <v>0</v>
          </cell>
          <cell r="D21">
            <v>8381493</v>
          </cell>
          <cell r="E21">
            <v>24161138</v>
          </cell>
          <cell r="F21">
            <v>243686</v>
          </cell>
          <cell r="G21">
            <v>44092</v>
          </cell>
          <cell r="H21">
            <v>0</v>
          </cell>
          <cell r="I21">
            <v>7860881</v>
          </cell>
          <cell r="J21">
            <v>0</v>
          </cell>
          <cell r="K21">
            <v>1680554</v>
          </cell>
          <cell r="L21">
            <v>0</v>
          </cell>
          <cell r="M21">
            <v>0</v>
          </cell>
          <cell r="N21">
            <v>7657374</v>
          </cell>
          <cell r="O21">
            <v>4714417</v>
          </cell>
          <cell r="P21">
            <v>0</v>
          </cell>
          <cell r="Q21">
            <v>231371139</v>
          </cell>
          <cell r="R21">
            <v>44643417</v>
          </cell>
          <cell r="S21">
            <v>0</v>
          </cell>
          <cell r="T21">
            <v>0</v>
          </cell>
          <cell r="U21">
            <v>0</v>
          </cell>
          <cell r="V21">
            <v>59640247</v>
          </cell>
          <cell r="W21">
            <v>29225777</v>
          </cell>
          <cell r="X21">
            <v>1535981</v>
          </cell>
          <cell r="Y21">
            <v>3636138</v>
          </cell>
          <cell r="Z21">
            <v>0</v>
          </cell>
          <cell r="AA21">
            <v>1204304</v>
          </cell>
          <cell r="AB21">
            <v>0</v>
          </cell>
          <cell r="AC21">
            <v>0</v>
          </cell>
          <cell r="AD21">
            <v>227087</v>
          </cell>
          <cell r="AE21">
            <v>858765</v>
          </cell>
          <cell r="AF21">
            <v>94360</v>
          </cell>
          <cell r="AG21">
            <v>0</v>
          </cell>
          <cell r="AH21">
            <v>0</v>
          </cell>
          <cell r="AI21">
            <v>0</v>
          </cell>
          <cell r="AJ21">
            <v>0</v>
          </cell>
          <cell r="AK21">
            <v>0</v>
          </cell>
          <cell r="AL21">
            <v>0</v>
          </cell>
          <cell r="AM21">
            <v>0</v>
          </cell>
          <cell r="AN21">
            <v>427180850</v>
          </cell>
        </row>
        <row r="22">
          <cell r="B22" t="str">
            <v>수선비</v>
          </cell>
          <cell r="C22">
            <v>0</v>
          </cell>
          <cell r="D22">
            <v>9272500</v>
          </cell>
          <cell r="E22">
            <v>904560</v>
          </cell>
          <cell r="F22">
            <v>0</v>
          </cell>
          <cell r="G22">
            <v>0</v>
          </cell>
          <cell r="H22">
            <v>0</v>
          </cell>
          <cell r="I22">
            <v>419000</v>
          </cell>
          <cell r="J22">
            <v>0</v>
          </cell>
          <cell r="K22">
            <v>0</v>
          </cell>
          <cell r="L22">
            <v>0</v>
          </cell>
          <cell r="M22">
            <v>0</v>
          </cell>
          <cell r="N22">
            <v>2170696</v>
          </cell>
          <cell r="O22">
            <v>86000</v>
          </cell>
          <cell r="P22">
            <v>790000</v>
          </cell>
          <cell r="Q22">
            <v>16619350</v>
          </cell>
          <cell r="R22">
            <v>590713</v>
          </cell>
          <cell r="S22">
            <v>0</v>
          </cell>
          <cell r="T22">
            <v>8000</v>
          </cell>
          <cell r="U22">
            <v>100316</v>
          </cell>
          <cell r="V22">
            <v>17410323</v>
          </cell>
          <cell r="W22">
            <v>6334650</v>
          </cell>
          <cell r="X22">
            <v>203630</v>
          </cell>
          <cell r="Y22">
            <v>5000</v>
          </cell>
          <cell r="Z22">
            <v>0</v>
          </cell>
          <cell r="AA22">
            <v>410000</v>
          </cell>
          <cell r="AB22">
            <v>0</v>
          </cell>
          <cell r="AC22">
            <v>0</v>
          </cell>
          <cell r="AD22">
            <v>0</v>
          </cell>
          <cell r="AE22">
            <v>150000</v>
          </cell>
          <cell r="AF22">
            <v>0</v>
          </cell>
          <cell r="AG22">
            <v>0</v>
          </cell>
          <cell r="AH22">
            <v>0</v>
          </cell>
          <cell r="AI22">
            <v>0</v>
          </cell>
          <cell r="AJ22">
            <v>1250000</v>
          </cell>
          <cell r="AK22">
            <v>110000</v>
          </cell>
          <cell r="AL22">
            <v>0</v>
          </cell>
          <cell r="AM22">
            <v>0</v>
          </cell>
          <cell r="AN22">
            <v>56834738</v>
          </cell>
        </row>
        <row r="23">
          <cell r="B23" t="str">
            <v>보험료</v>
          </cell>
          <cell r="C23">
            <v>295522</v>
          </cell>
          <cell r="D23">
            <v>39594263</v>
          </cell>
          <cell r="E23">
            <v>111428312</v>
          </cell>
          <cell r="F23">
            <v>1420290</v>
          </cell>
          <cell r="G23">
            <v>624645</v>
          </cell>
          <cell r="H23">
            <v>780080</v>
          </cell>
          <cell r="I23">
            <v>3420367</v>
          </cell>
          <cell r="J23">
            <v>0</v>
          </cell>
          <cell r="K23">
            <v>8720640</v>
          </cell>
          <cell r="L23">
            <v>95840</v>
          </cell>
          <cell r="M23">
            <v>4889597</v>
          </cell>
          <cell r="N23">
            <v>40498008</v>
          </cell>
          <cell r="O23">
            <v>27041700</v>
          </cell>
          <cell r="P23">
            <v>46901002</v>
          </cell>
          <cell r="Q23">
            <v>850935028</v>
          </cell>
          <cell r="R23">
            <v>154259491</v>
          </cell>
          <cell r="S23">
            <v>1295360</v>
          </cell>
          <cell r="T23">
            <v>12860989</v>
          </cell>
          <cell r="U23">
            <v>4462933</v>
          </cell>
          <cell r="V23">
            <v>296151642</v>
          </cell>
          <cell r="W23">
            <v>109677467</v>
          </cell>
          <cell r="X23">
            <v>8577409</v>
          </cell>
          <cell r="Y23">
            <v>19798874</v>
          </cell>
          <cell r="Z23">
            <v>545654</v>
          </cell>
          <cell r="AA23">
            <v>8295720</v>
          </cell>
          <cell r="AB23">
            <v>0</v>
          </cell>
          <cell r="AC23">
            <v>0</v>
          </cell>
          <cell r="AD23">
            <v>1200000</v>
          </cell>
          <cell r="AE23">
            <v>4692321</v>
          </cell>
          <cell r="AF23">
            <v>499200</v>
          </cell>
          <cell r="AG23">
            <v>0</v>
          </cell>
          <cell r="AH23">
            <v>636069</v>
          </cell>
          <cell r="AI23">
            <v>2354240</v>
          </cell>
          <cell r="AJ23">
            <v>16063328</v>
          </cell>
          <cell r="AK23">
            <v>17653374</v>
          </cell>
          <cell r="AL23">
            <v>13850381</v>
          </cell>
          <cell r="AM23">
            <v>321600</v>
          </cell>
          <cell r="AN23">
            <v>1809841346</v>
          </cell>
        </row>
        <row r="24">
          <cell r="B24" t="str">
            <v>접대비</v>
          </cell>
          <cell r="C24">
            <v>1360000</v>
          </cell>
          <cell r="D24">
            <v>8474800</v>
          </cell>
          <cell r="E24">
            <v>13564002</v>
          </cell>
          <cell r="F24">
            <v>0</v>
          </cell>
          <cell r="G24">
            <v>0</v>
          </cell>
          <cell r="H24">
            <v>0</v>
          </cell>
          <cell r="I24">
            <v>9198000</v>
          </cell>
          <cell r="J24">
            <v>0</v>
          </cell>
          <cell r="K24">
            <v>0</v>
          </cell>
          <cell r="L24">
            <v>0</v>
          </cell>
          <cell r="M24">
            <v>0</v>
          </cell>
          <cell r="N24">
            <v>7497300</v>
          </cell>
          <cell r="O24">
            <v>1961000</v>
          </cell>
          <cell r="P24">
            <v>261000</v>
          </cell>
          <cell r="Q24">
            <v>12873600</v>
          </cell>
          <cell r="R24">
            <v>5970775</v>
          </cell>
          <cell r="S24">
            <v>0</v>
          </cell>
          <cell r="T24">
            <v>0</v>
          </cell>
          <cell r="U24">
            <v>0</v>
          </cell>
          <cell r="V24">
            <v>2919700</v>
          </cell>
          <cell r="W24">
            <v>8482539</v>
          </cell>
          <cell r="X24">
            <v>1178600</v>
          </cell>
          <cell r="Y24">
            <v>2744000</v>
          </cell>
          <cell r="Z24">
            <v>0</v>
          </cell>
          <cell r="AA24">
            <v>2393910</v>
          </cell>
          <cell r="AB24">
            <v>0</v>
          </cell>
          <cell r="AC24">
            <v>0</v>
          </cell>
          <cell r="AD24">
            <v>0</v>
          </cell>
          <cell r="AE24">
            <v>410000</v>
          </cell>
          <cell r="AF24">
            <v>0</v>
          </cell>
          <cell r="AG24">
            <v>0</v>
          </cell>
          <cell r="AH24">
            <v>1582975</v>
          </cell>
          <cell r="AI24">
            <v>0</v>
          </cell>
          <cell r="AJ24">
            <v>0</v>
          </cell>
          <cell r="AK24">
            <v>382000</v>
          </cell>
          <cell r="AL24">
            <v>94000</v>
          </cell>
          <cell r="AM24">
            <v>0</v>
          </cell>
          <cell r="AN24">
            <v>81348201</v>
          </cell>
        </row>
        <row r="25">
          <cell r="B25" t="str">
            <v>광고선전비</v>
          </cell>
          <cell r="C25">
            <v>0</v>
          </cell>
          <cell r="D25">
            <v>132035636</v>
          </cell>
          <cell r="E25">
            <v>93876980</v>
          </cell>
          <cell r="F25">
            <v>0</v>
          </cell>
          <cell r="G25">
            <v>0</v>
          </cell>
          <cell r="H25">
            <v>0</v>
          </cell>
          <cell r="I25">
            <v>0</v>
          </cell>
          <cell r="J25">
            <v>0</v>
          </cell>
          <cell r="K25">
            <v>0</v>
          </cell>
          <cell r="L25">
            <v>0</v>
          </cell>
          <cell r="M25">
            <v>0</v>
          </cell>
          <cell r="N25">
            <v>1008400</v>
          </cell>
          <cell r="O25">
            <v>0</v>
          </cell>
          <cell r="P25">
            <v>0</v>
          </cell>
          <cell r="Q25">
            <v>410000</v>
          </cell>
          <cell r="R25">
            <v>0</v>
          </cell>
          <cell r="S25">
            <v>0</v>
          </cell>
          <cell r="T25">
            <v>0</v>
          </cell>
          <cell r="U25">
            <v>1006000</v>
          </cell>
          <cell r="V25">
            <v>1770000</v>
          </cell>
          <cell r="W25">
            <v>1611000</v>
          </cell>
          <cell r="X25">
            <v>0</v>
          </cell>
          <cell r="Y25">
            <v>0</v>
          </cell>
          <cell r="Z25">
            <v>0</v>
          </cell>
          <cell r="AA25">
            <v>500000</v>
          </cell>
          <cell r="AB25">
            <v>0</v>
          </cell>
          <cell r="AC25">
            <v>0</v>
          </cell>
          <cell r="AD25">
            <v>0</v>
          </cell>
          <cell r="AE25">
            <v>0</v>
          </cell>
          <cell r="AF25">
            <v>0</v>
          </cell>
          <cell r="AG25">
            <v>0</v>
          </cell>
          <cell r="AH25">
            <v>0</v>
          </cell>
          <cell r="AI25">
            <v>0</v>
          </cell>
          <cell r="AJ25">
            <v>0</v>
          </cell>
          <cell r="AK25">
            <v>0</v>
          </cell>
          <cell r="AL25">
            <v>0</v>
          </cell>
          <cell r="AM25">
            <v>0</v>
          </cell>
          <cell r="AN25">
            <v>232218016</v>
          </cell>
        </row>
        <row r="26">
          <cell r="B26" t="str">
            <v>운반비</v>
          </cell>
          <cell r="C26">
            <v>90000</v>
          </cell>
          <cell r="D26">
            <v>9777500</v>
          </cell>
          <cell r="E26">
            <v>23750100</v>
          </cell>
          <cell r="F26">
            <v>0</v>
          </cell>
          <cell r="G26">
            <v>0</v>
          </cell>
          <cell r="H26">
            <v>0</v>
          </cell>
          <cell r="I26">
            <v>10380000</v>
          </cell>
          <cell r="J26">
            <v>0</v>
          </cell>
          <cell r="K26">
            <v>0</v>
          </cell>
          <cell r="L26">
            <v>250000</v>
          </cell>
          <cell r="M26">
            <v>0</v>
          </cell>
          <cell r="N26">
            <v>3687500</v>
          </cell>
          <cell r="O26">
            <v>4974500</v>
          </cell>
          <cell r="P26">
            <v>5978000</v>
          </cell>
          <cell r="Q26">
            <v>80827660</v>
          </cell>
          <cell r="R26">
            <v>23260498</v>
          </cell>
          <cell r="S26">
            <v>0</v>
          </cell>
          <cell r="T26">
            <v>15163955</v>
          </cell>
          <cell r="U26">
            <v>193965</v>
          </cell>
          <cell r="V26">
            <v>20253500</v>
          </cell>
          <cell r="W26">
            <v>12268272</v>
          </cell>
          <cell r="X26">
            <v>493000</v>
          </cell>
          <cell r="Y26">
            <v>1692000</v>
          </cell>
          <cell r="Z26">
            <v>0</v>
          </cell>
          <cell r="AA26">
            <v>5753610</v>
          </cell>
          <cell r="AB26">
            <v>0</v>
          </cell>
          <cell r="AC26">
            <v>0</v>
          </cell>
          <cell r="AD26">
            <v>0</v>
          </cell>
          <cell r="AE26">
            <v>248000</v>
          </cell>
          <cell r="AF26">
            <v>0</v>
          </cell>
          <cell r="AG26">
            <v>0</v>
          </cell>
          <cell r="AH26">
            <v>0</v>
          </cell>
          <cell r="AI26">
            <v>272300</v>
          </cell>
          <cell r="AJ26">
            <v>2961400</v>
          </cell>
          <cell r="AK26">
            <v>3281000</v>
          </cell>
          <cell r="AL26">
            <v>2199100</v>
          </cell>
          <cell r="AM26">
            <v>0</v>
          </cell>
          <cell r="AN26">
            <v>227755860</v>
          </cell>
        </row>
        <row r="27">
          <cell r="B27" t="str">
            <v>장비유지비</v>
          </cell>
          <cell r="C27">
            <v>33300</v>
          </cell>
          <cell r="D27">
            <v>13863215</v>
          </cell>
          <cell r="E27">
            <v>1500000</v>
          </cell>
          <cell r="F27">
            <v>0</v>
          </cell>
          <cell r="G27">
            <v>0</v>
          </cell>
          <cell r="H27">
            <v>0</v>
          </cell>
          <cell r="I27">
            <v>2283000</v>
          </cell>
          <cell r="J27">
            <v>0</v>
          </cell>
          <cell r="K27">
            <v>0</v>
          </cell>
          <cell r="L27">
            <v>0</v>
          </cell>
          <cell r="M27">
            <v>0</v>
          </cell>
          <cell r="N27">
            <v>1149599</v>
          </cell>
          <cell r="O27">
            <v>0</v>
          </cell>
          <cell r="P27">
            <v>0</v>
          </cell>
          <cell r="Q27">
            <v>5020660</v>
          </cell>
          <cell r="R27">
            <v>51189</v>
          </cell>
          <cell r="S27">
            <v>0</v>
          </cell>
          <cell r="T27">
            <v>2641951</v>
          </cell>
          <cell r="U27">
            <v>0</v>
          </cell>
          <cell r="V27">
            <v>2404889</v>
          </cell>
          <cell r="W27">
            <v>1644300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30592103</v>
          </cell>
        </row>
        <row r="28">
          <cell r="B28" t="str">
            <v>차량유지비</v>
          </cell>
          <cell r="C28">
            <v>1552310</v>
          </cell>
          <cell r="D28">
            <v>3083632</v>
          </cell>
          <cell r="E28">
            <v>4866200</v>
          </cell>
          <cell r="F28">
            <v>0</v>
          </cell>
          <cell r="G28">
            <v>0</v>
          </cell>
          <cell r="H28">
            <v>113000</v>
          </cell>
          <cell r="I28">
            <v>3326217</v>
          </cell>
          <cell r="J28">
            <v>0</v>
          </cell>
          <cell r="K28">
            <v>0</v>
          </cell>
          <cell r="L28">
            <v>0</v>
          </cell>
          <cell r="M28">
            <v>0</v>
          </cell>
          <cell r="N28">
            <v>3426944</v>
          </cell>
          <cell r="O28">
            <v>1728200</v>
          </cell>
          <cell r="P28">
            <v>17322920</v>
          </cell>
          <cell r="Q28">
            <v>8925995</v>
          </cell>
          <cell r="R28">
            <v>9731073</v>
          </cell>
          <cell r="S28">
            <v>0</v>
          </cell>
          <cell r="T28">
            <v>4542039</v>
          </cell>
          <cell r="U28">
            <v>2164081</v>
          </cell>
          <cell r="V28">
            <v>5277288</v>
          </cell>
          <cell r="W28">
            <v>5921637</v>
          </cell>
          <cell r="X28">
            <v>656611</v>
          </cell>
          <cell r="Y28">
            <v>1590046</v>
          </cell>
          <cell r="Z28">
            <v>0</v>
          </cell>
          <cell r="AA28">
            <v>1230136</v>
          </cell>
          <cell r="AB28">
            <v>0</v>
          </cell>
          <cell r="AC28">
            <v>0</v>
          </cell>
          <cell r="AD28">
            <v>0</v>
          </cell>
          <cell r="AE28">
            <v>188205</v>
          </cell>
          <cell r="AF28">
            <v>0</v>
          </cell>
          <cell r="AG28">
            <v>0</v>
          </cell>
          <cell r="AH28">
            <v>0</v>
          </cell>
          <cell r="AI28">
            <v>0</v>
          </cell>
          <cell r="AJ28">
            <v>3806070</v>
          </cell>
          <cell r="AK28">
            <v>12604093</v>
          </cell>
          <cell r="AL28">
            <v>138747</v>
          </cell>
          <cell r="AM28">
            <v>0</v>
          </cell>
          <cell r="AN28">
            <v>92195444</v>
          </cell>
        </row>
        <row r="29">
          <cell r="B29" t="str">
            <v>소모품비</v>
          </cell>
          <cell r="C29">
            <v>530380</v>
          </cell>
          <cell r="D29">
            <v>2080200</v>
          </cell>
          <cell r="E29">
            <v>3545518</v>
          </cell>
          <cell r="F29">
            <v>0</v>
          </cell>
          <cell r="G29">
            <v>8000</v>
          </cell>
          <cell r="H29">
            <v>44500</v>
          </cell>
          <cell r="I29">
            <v>2216650</v>
          </cell>
          <cell r="J29">
            <v>0</v>
          </cell>
          <cell r="K29">
            <v>0</v>
          </cell>
          <cell r="L29">
            <v>0</v>
          </cell>
          <cell r="M29">
            <v>0</v>
          </cell>
          <cell r="N29">
            <v>2817310</v>
          </cell>
          <cell r="O29">
            <v>966900</v>
          </cell>
          <cell r="P29">
            <v>638800</v>
          </cell>
          <cell r="Q29">
            <v>16260940</v>
          </cell>
          <cell r="R29">
            <v>3956531</v>
          </cell>
          <cell r="S29">
            <v>0</v>
          </cell>
          <cell r="T29">
            <v>26171614</v>
          </cell>
          <cell r="U29">
            <v>5247647</v>
          </cell>
          <cell r="V29">
            <v>4948420</v>
          </cell>
          <cell r="W29">
            <v>7676595</v>
          </cell>
          <cell r="X29">
            <v>623800</v>
          </cell>
          <cell r="Y29">
            <v>2402300</v>
          </cell>
          <cell r="Z29">
            <v>0</v>
          </cell>
          <cell r="AA29">
            <v>1376250</v>
          </cell>
          <cell r="AB29">
            <v>0</v>
          </cell>
          <cell r="AC29">
            <v>0</v>
          </cell>
          <cell r="AD29">
            <v>0</v>
          </cell>
          <cell r="AE29">
            <v>841500</v>
          </cell>
          <cell r="AF29">
            <v>0</v>
          </cell>
          <cell r="AG29">
            <v>0</v>
          </cell>
          <cell r="AH29">
            <v>0</v>
          </cell>
          <cell r="AI29">
            <v>136100</v>
          </cell>
          <cell r="AJ29">
            <v>487300</v>
          </cell>
          <cell r="AK29">
            <v>2930910</v>
          </cell>
          <cell r="AL29">
            <v>2064520</v>
          </cell>
          <cell r="AM29">
            <v>0</v>
          </cell>
          <cell r="AN29">
            <v>87972685</v>
          </cell>
        </row>
        <row r="30">
          <cell r="B30" t="str">
            <v>지급수수료</v>
          </cell>
          <cell r="C30">
            <v>339270220</v>
          </cell>
          <cell r="D30">
            <v>256046670</v>
          </cell>
          <cell r="E30">
            <v>594730673</v>
          </cell>
          <cell r="F30">
            <v>80000</v>
          </cell>
          <cell r="G30">
            <v>0</v>
          </cell>
          <cell r="H30">
            <v>0</v>
          </cell>
          <cell r="I30">
            <v>7527980</v>
          </cell>
          <cell r="J30">
            <v>0</v>
          </cell>
          <cell r="K30">
            <v>8930</v>
          </cell>
          <cell r="L30">
            <v>0</v>
          </cell>
          <cell r="M30">
            <v>0</v>
          </cell>
          <cell r="N30">
            <v>24034700</v>
          </cell>
          <cell r="O30">
            <v>17574480</v>
          </cell>
          <cell r="P30">
            <v>18930000</v>
          </cell>
          <cell r="Q30">
            <v>212785440</v>
          </cell>
          <cell r="R30">
            <v>66539445</v>
          </cell>
          <cell r="S30">
            <v>0</v>
          </cell>
          <cell r="T30">
            <v>50424506</v>
          </cell>
          <cell r="U30">
            <v>26626201</v>
          </cell>
          <cell r="V30">
            <v>163175200</v>
          </cell>
          <cell r="W30">
            <v>34702680</v>
          </cell>
          <cell r="X30">
            <v>541600</v>
          </cell>
          <cell r="Y30">
            <v>1758100</v>
          </cell>
          <cell r="Z30">
            <v>148310000</v>
          </cell>
          <cell r="AA30">
            <v>5648110</v>
          </cell>
          <cell r="AB30">
            <v>2306130</v>
          </cell>
          <cell r="AC30">
            <v>79216000</v>
          </cell>
          <cell r="AD30">
            <v>0</v>
          </cell>
          <cell r="AE30">
            <v>15000</v>
          </cell>
          <cell r="AF30">
            <v>3120</v>
          </cell>
          <cell r="AG30">
            <v>5921890</v>
          </cell>
          <cell r="AH30">
            <v>0</v>
          </cell>
          <cell r="AI30">
            <v>0</v>
          </cell>
          <cell r="AJ30">
            <v>17553450</v>
          </cell>
          <cell r="AK30">
            <v>11783000</v>
          </cell>
          <cell r="AL30">
            <v>45556500</v>
          </cell>
          <cell r="AM30">
            <v>0</v>
          </cell>
          <cell r="AN30">
            <v>2131070025</v>
          </cell>
        </row>
        <row r="31">
          <cell r="B31" t="str">
            <v>도서인쇄비</v>
          </cell>
          <cell r="C31">
            <v>594800</v>
          </cell>
          <cell r="D31">
            <v>1591500</v>
          </cell>
          <cell r="E31">
            <v>3572460</v>
          </cell>
          <cell r="F31">
            <v>0</v>
          </cell>
          <cell r="G31">
            <v>0</v>
          </cell>
          <cell r="H31">
            <v>0</v>
          </cell>
          <cell r="I31">
            <v>1470050</v>
          </cell>
          <cell r="J31">
            <v>0</v>
          </cell>
          <cell r="K31">
            <v>0</v>
          </cell>
          <cell r="L31">
            <v>0</v>
          </cell>
          <cell r="M31">
            <v>0</v>
          </cell>
          <cell r="N31">
            <v>1887550</v>
          </cell>
          <cell r="O31">
            <v>2364620</v>
          </cell>
          <cell r="P31">
            <v>807850</v>
          </cell>
          <cell r="Q31">
            <v>14213430</v>
          </cell>
          <cell r="R31">
            <v>4605562</v>
          </cell>
          <cell r="S31">
            <v>0</v>
          </cell>
          <cell r="T31">
            <v>1511459</v>
          </cell>
          <cell r="U31">
            <v>1369922</v>
          </cell>
          <cell r="V31">
            <v>22926950</v>
          </cell>
          <cell r="W31">
            <v>7334123</v>
          </cell>
          <cell r="X31">
            <v>911480</v>
          </cell>
          <cell r="Y31">
            <v>1836060</v>
          </cell>
          <cell r="Z31">
            <v>0</v>
          </cell>
          <cell r="AA31">
            <v>1266910</v>
          </cell>
          <cell r="AB31">
            <v>0</v>
          </cell>
          <cell r="AC31">
            <v>0</v>
          </cell>
          <cell r="AD31">
            <v>0</v>
          </cell>
          <cell r="AE31">
            <v>386320</v>
          </cell>
          <cell r="AF31">
            <v>0</v>
          </cell>
          <cell r="AG31">
            <v>0</v>
          </cell>
          <cell r="AH31">
            <v>0</v>
          </cell>
          <cell r="AI31">
            <v>207700</v>
          </cell>
          <cell r="AJ31">
            <v>1216463</v>
          </cell>
          <cell r="AK31">
            <v>5146957</v>
          </cell>
          <cell r="AL31">
            <v>2440240</v>
          </cell>
          <cell r="AM31">
            <v>0</v>
          </cell>
          <cell r="AN31">
            <v>77662406</v>
          </cell>
        </row>
        <row r="32">
          <cell r="B32" t="str">
            <v>보상비</v>
          </cell>
          <cell r="C32">
            <v>0</v>
          </cell>
          <cell r="D32">
            <v>0</v>
          </cell>
          <cell r="E32">
            <v>2270000</v>
          </cell>
          <cell r="F32">
            <v>0</v>
          </cell>
          <cell r="G32">
            <v>3000000</v>
          </cell>
          <cell r="H32">
            <v>0</v>
          </cell>
          <cell r="I32">
            <v>0</v>
          </cell>
          <cell r="J32">
            <v>0</v>
          </cell>
          <cell r="K32">
            <v>0</v>
          </cell>
          <cell r="L32">
            <v>0</v>
          </cell>
          <cell r="M32">
            <v>0</v>
          </cell>
          <cell r="N32">
            <v>0</v>
          </cell>
          <cell r="O32">
            <v>0</v>
          </cell>
          <cell r="P32">
            <v>0</v>
          </cell>
          <cell r="Q32">
            <v>115000000</v>
          </cell>
          <cell r="R32">
            <v>338800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120608800</v>
          </cell>
        </row>
        <row r="33">
          <cell r="B33" t="str">
            <v>안전관리비</v>
          </cell>
          <cell r="C33">
            <v>0</v>
          </cell>
          <cell r="D33">
            <v>7721700</v>
          </cell>
          <cell r="E33">
            <v>61517620</v>
          </cell>
          <cell r="F33">
            <v>0</v>
          </cell>
          <cell r="G33">
            <v>79300</v>
          </cell>
          <cell r="H33">
            <v>0</v>
          </cell>
          <cell r="I33">
            <v>5278900</v>
          </cell>
          <cell r="J33">
            <v>0</v>
          </cell>
          <cell r="K33">
            <v>0</v>
          </cell>
          <cell r="L33">
            <v>0</v>
          </cell>
          <cell r="M33">
            <v>0</v>
          </cell>
          <cell r="N33">
            <v>15448640</v>
          </cell>
          <cell r="O33">
            <v>168000</v>
          </cell>
          <cell r="P33">
            <v>0</v>
          </cell>
          <cell r="Q33">
            <v>31163600</v>
          </cell>
          <cell r="R33">
            <v>35745330</v>
          </cell>
          <cell r="S33">
            <v>0</v>
          </cell>
          <cell r="T33">
            <v>23899059</v>
          </cell>
          <cell r="U33">
            <v>2469470</v>
          </cell>
          <cell r="V33">
            <v>23544051</v>
          </cell>
          <cell r="W33">
            <v>14367578</v>
          </cell>
          <cell r="X33">
            <v>0</v>
          </cell>
          <cell r="Y33">
            <v>0</v>
          </cell>
          <cell r="Z33">
            <v>0</v>
          </cell>
          <cell r="AA33">
            <v>13385500</v>
          </cell>
          <cell r="AB33">
            <v>0</v>
          </cell>
          <cell r="AC33">
            <v>0</v>
          </cell>
          <cell r="AD33">
            <v>0</v>
          </cell>
          <cell r="AE33">
            <v>0</v>
          </cell>
          <cell r="AF33">
            <v>0</v>
          </cell>
          <cell r="AG33">
            <v>0</v>
          </cell>
          <cell r="AH33">
            <v>0</v>
          </cell>
          <cell r="AI33">
            <v>0</v>
          </cell>
          <cell r="AJ33">
            <v>0</v>
          </cell>
          <cell r="AK33">
            <v>0</v>
          </cell>
          <cell r="AL33">
            <v>0</v>
          </cell>
          <cell r="AM33">
            <v>0</v>
          </cell>
          <cell r="AN33">
            <v>234788748</v>
          </cell>
        </row>
        <row r="34">
          <cell r="B34" t="str">
            <v>잡비</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226678</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226678</v>
          </cell>
        </row>
        <row r="35">
          <cell r="C35">
            <v>364634104</v>
          </cell>
          <cell r="D35">
            <v>4738930497</v>
          </cell>
          <cell r="E35">
            <v>13579797423</v>
          </cell>
          <cell r="F35">
            <v>136647604</v>
          </cell>
          <cell r="G35">
            <v>25541569</v>
          </cell>
          <cell r="H35">
            <v>49686580</v>
          </cell>
          <cell r="I35">
            <v>3170860870</v>
          </cell>
          <cell r="J35">
            <v>0</v>
          </cell>
          <cell r="K35">
            <v>937099087</v>
          </cell>
          <cell r="L35">
            <v>11594400</v>
          </cell>
          <cell r="M35">
            <v>514522597</v>
          </cell>
          <cell r="N35">
            <v>4317159976</v>
          </cell>
          <cell r="O35">
            <v>2639349396</v>
          </cell>
          <cell r="P35">
            <v>3317357031</v>
          </cell>
          <cell r="Q35">
            <v>122907143902</v>
          </cell>
          <cell r="R35">
            <v>15080323747</v>
          </cell>
          <cell r="S35">
            <v>81260472</v>
          </cell>
          <cell r="T35">
            <v>1127945011</v>
          </cell>
          <cell r="U35">
            <v>311274985</v>
          </cell>
          <cell r="V35">
            <v>31057410536</v>
          </cell>
          <cell r="W35">
            <v>12637740752</v>
          </cell>
          <cell r="X35">
            <v>858898870</v>
          </cell>
          <cell r="Y35">
            <v>2034097322</v>
          </cell>
          <cell r="Z35">
            <v>165201535</v>
          </cell>
          <cell r="AA35">
            <v>686771417</v>
          </cell>
          <cell r="AB35">
            <v>2381130</v>
          </cell>
          <cell r="AC35">
            <v>79216000</v>
          </cell>
          <cell r="AD35">
            <v>126577087</v>
          </cell>
          <cell r="AE35">
            <v>479079862</v>
          </cell>
          <cell r="AF35">
            <v>52596680</v>
          </cell>
          <cell r="AG35">
            <v>5921890</v>
          </cell>
          <cell r="AH35">
            <v>7572862420</v>
          </cell>
          <cell r="AI35">
            <v>113067135</v>
          </cell>
          <cell r="AJ35">
            <v>877316860</v>
          </cell>
          <cell r="AK35">
            <v>1887696919</v>
          </cell>
          <cell r="AL35">
            <v>1109809195</v>
          </cell>
          <cell r="AM35">
            <v>13499961</v>
          </cell>
          <cell r="AN35">
            <v>233071274822</v>
          </cell>
        </row>
        <row r="36">
          <cell r="B36" t="str">
            <v>하자보수충당금전입액</v>
          </cell>
          <cell r="C36">
            <v>0</v>
          </cell>
          <cell r="D36">
            <v>0</v>
          </cell>
          <cell r="E36">
            <v>0</v>
          </cell>
          <cell r="F36">
            <v>27768000</v>
          </cell>
          <cell r="G36">
            <v>0</v>
          </cell>
          <cell r="H36">
            <v>0</v>
          </cell>
          <cell r="I36">
            <v>32080900</v>
          </cell>
          <cell r="J36">
            <v>617980900</v>
          </cell>
          <cell r="K36">
            <v>4446200</v>
          </cell>
          <cell r="L36">
            <v>0</v>
          </cell>
          <cell r="M36">
            <v>7298000</v>
          </cell>
          <cell r="N36">
            <v>0</v>
          </cell>
          <cell r="O36">
            <v>11410600</v>
          </cell>
          <cell r="P36">
            <v>10842000</v>
          </cell>
          <cell r="Q36">
            <v>805450300</v>
          </cell>
          <cell r="R36">
            <v>47942500</v>
          </cell>
          <cell r="S36">
            <v>1068200</v>
          </cell>
          <cell r="T36">
            <v>0</v>
          </cell>
          <cell r="U36">
            <v>0</v>
          </cell>
          <cell r="V36">
            <v>0</v>
          </cell>
          <cell r="W36">
            <v>0</v>
          </cell>
          <cell r="X36">
            <v>4737200</v>
          </cell>
          <cell r="Y36">
            <v>6849500</v>
          </cell>
          <cell r="Z36">
            <v>475700</v>
          </cell>
          <cell r="AA36">
            <v>0</v>
          </cell>
          <cell r="AB36">
            <v>0</v>
          </cell>
          <cell r="AC36">
            <v>254100</v>
          </cell>
          <cell r="AD36">
            <v>425300</v>
          </cell>
          <cell r="AE36">
            <v>0</v>
          </cell>
          <cell r="AF36">
            <v>142100</v>
          </cell>
          <cell r="AG36">
            <v>0</v>
          </cell>
          <cell r="AH36">
            <v>0</v>
          </cell>
          <cell r="AI36">
            <v>498900</v>
          </cell>
          <cell r="AJ36">
            <v>2431000</v>
          </cell>
          <cell r="AK36">
            <v>0</v>
          </cell>
          <cell r="AL36">
            <v>0</v>
          </cell>
          <cell r="AM36">
            <v>0</v>
          </cell>
          <cell r="AN36">
            <v>1582101400</v>
          </cell>
        </row>
        <row r="37">
          <cell r="B37" t="str">
            <v>이자비용</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row>
        <row r="38">
          <cell r="C38">
            <v>364634104</v>
          </cell>
          <cell r="D38">
            <v>4738930497</v>
          </cell>
          <cell r="E38">
            <v>13579797423</v>
          </cell>
          <cell r="F38">
            <v>164415604</v>
          </cell>
          <cell r="G38">
            <v>25541569</v>
          </cell>
          <cell r="H38">
            <v>49686580</v>
          </cell>
          <cell r="I38">
            <v>3202941770</v>
          </cell>
          <cell r="J38">
            <v>617980900</v>
          </cell>
          <cell r="K38">
            <v>941545287</v>
          </cell>
          <cell r="L38">
            <v>11594400</v>
          </cell>
          <cell r="M38">
            <v>521820597</v>
          </cell>
          <cell r="N38">
            <v>4317159976</v>
          </cell>
          <cell r="O38">
            <v>2650759996</v>
          </cell>
          <cell r="P38">
            <v>3328199031</v>
          </cell>
          <cell r="Q38">
            <v>123712594202</v>
          </cell>
          <cell r="R38">
            <v>15128266247</v>
          </cell>
          <cell r="S38">
            <v>82328672</v>
          </cell>
          <cell r="T38">
            <v>1127945011</v>
          </cell>
          <cell r="U38">
            <v>311274985</v>
          </cell>
          <cell r="V38">
            <v>31057410536</v>
          </cell>
          <cell r="W38">
            <v>12637740752</v>
          </cell>
          <cell r="X38">
            <v>863636070</v>
          </cell>
          <cell r="Y38">
            <v>2040946822</v>
          </cell>
          <cell r="Z38">
            <v>165677235</v>
          </cell>
          <cell r="AA38">
            <v>686771417</v>
          </cell>
          <cell r="AB38">
            <v>2381130</v>
          </cell>
          <cell r="AC38">
            <v>79470100</v>
          </cell>
          <cell r="AD38">
            <v>127002387</v>
          </cell>
          <cell r="AE38">
            <v>479079862</v>
          </cell>
          <cell r="AF38">
            <v>52738780</v>
          </cell>
          <cell r="AG38">
            <v>5921890</v>
          </cell>
          <cell r="AH38">
            <v>7572862420</v>
          </cell>
          <cell r="AI38">
            <v>113566035</v>
          </cell>
          <cell r="AJ38">
            <v>879747860</v>
          </cell>
          <cell r="AK38">
            <v>1887696919</v>
          </cell>
          <cell r="AL38">
            <v>1109809195</v>
          </cell>
          <cell r="AM38">
            <v>13499961</v>
          </cell>
          <cell r="AN38">
            <v>234653376222</v>
          </cell>
        </row>
        <row r="39">
          <cell r="B39" t="str">
            <v>공사손실충당금전입액</v>
          </cell>
          <cell r="C39">
            <v>0</v>
          </cell>
          <cell r="D39">
            <v>59448916</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59448916</v>
          </cell>
        </row>
      </sheetData>
      <sheetData sheetId="6">
        <row r="4">
          <cell r="B4" t="str">
            <v>계정과목</v>
          </cell>
          <cell r="C4" t="str">
            <v>연희동</v>
          </cell>
          <cell r="D4" t="str">
            <v>명륜동주상복합</v>
          </cell>
          <cell r="E4" t="str">
            <v>역삼동</v>
          </cell>
          <cell r="F4" t="str">
            <v>대전중리동</v>
          </cell>
          <cell r="G4" t="str">
            <v>진월동</v>
          </cell>
          <cell r="H4" t="str">
            <v>동해</v>
          </cell>
          <cell r="I4" t="str">
            <v>전주아중지구</v>
          </cell>
          <cell r="J4" t="str">
            <v>울산APT</v>
          </cell>
          <cell r="K4" t="str">
            <v>가평현장</v>
          </cell>
          <cell r="L4" t="str">
            <v>양평</v>
          </cell>
          <cell r="M4" t="str">
            <v>계</v>
          </cell>
        </row>
        <row r="5">
          <cell r="C5" t="str">
            <v>A1127</v>
          </cell>
          <cell r="D5" t="str">
            <v>A9309</v>
          </cell>
          <cell r="E5" t="str">
            <v>A9415</v>
          </cell>
          <cell r="F5" t="str">
            <v>A9427</v>
          </cell>
          <cell r="G5" t="str">
            <v>A9428</v>
          </cell>
          <cell r="H5" t="str">
            <v>A9508</v>
          </cell>
          <cell r="I5" t="str">
            <v>A9608</v>
          </cell>
          <cell r="J5" t="str">
            <v>A9311</v>
          </cell>
          <cell r="K5" t="str">
            <v>A9623</v>
          </cell>
          <cell r="L5" t="str">
            <v>AB701</v>
          </cell>
        </row>
        <row r="7">
          <cell r="B7" t="str">
            <v>재료비</v>
          </cell>
          <cell r="C7">
            <v>1174118082</v>
          </cell>
          <cell r="D7">
            <v>1113856577</v>
          </cell>
          <cell r="E7">
            <v>0</v>
          </cell>
          <cell r="F7">
            <v>377590229</v>
          </cell>
          <cell r="G7">
            <v>3798182446</v>
          </cell>
          <cell r="H7">
            <v>436368988</v>
          </cell>
          <cell r="I7">
            <v>2247449826</v>
          </cell>
          <cell r="J7">
            <v>111887760</v>
          </cell>
          <cell r="K7">
            <v>29267664</v>
          </cell>
          <cell r="L7">
            <v>0</v>
          </cell>
          <cell r="M7">
            <v>9288721572</v>
          </cell>
        </row>
        <row r="8">
          <cell r="B8" t="str">
            <v>노무비</v>
          </cell>
          <cell r="C8">
            <v>376725000</v>
          </cell>
          <cell r="D8">
            <v>105540000</v>
          </cell>
          <cell r="E8">
            <v>0</v>
          </cell>
          <cell r="F8">
            <v>30138000</v>
          </cell>
          <cell r="G8">
            <v>673488400</v>
          </cell>
          <cell r="H8">
            <v>36800000</v>
          </cell>
          <cell r="I8">
            <v>109825000</v>
          </cell>
          <cell r="J8">
            <v>0</v>
          </cell>
          <cell r="K8">
            <v>0</v>
          </cell>
          <cell r="L8">
            <v>0</v>
          </cell>
          <cell r="M8">
            <v>1332516400</v>
          </cell>
        </row>
        <row r="9">
          <cell r="B9" t="str">
            <v>급여</v>
          </cell>
          <cell r="C9">
            <v>28616000</v>
          </cell>
          <cell r="D9">
            <v>176339590</v>
          </cell>
          <cell r="E9">
            <v>43409140</v>
          </cell>
          <cell r="F9">
            <v>111702970</v>
          </cell>
          <cell r="G9">
            <v>255527650</v>
          </cell>
          <cell r="H9">
            <v>70868050</v>
          </cell>
          <cell r="I9">
            <v>196941840</v>
          </cell>
          <cell r="J9">
            <v>0</v>
          </cell>
          <cell r="K9">
            <v>0</v>
          </cell>
          <cell r="L9">
            <v>0</v>
          </cell>
          <cell r="M9">
            <v>883405240</v>
          </cell>
        </row>
        <row r="10">
          <cell r="B10" t="str">
            <v>상여금</v>
          </cell>
          <cell r="C10">
            <v>9054500</v>
          </cell>
          <cell r="D10">
            <v>42138700</v>
          </cell>
          <cell r="E10">
            <v>15246500</v>
          </cell>
          <cell r="F10">
            <v>31169000</v>
          </cell>
          <cell r="G10">
            <v>71161700</v>
          </cell>
          <cell r="H10">
            <v>16679400</v>
          </cell>
          <cell r="I10">
            <v>51289100</v>
          </cell>
          <cell r="J10">
            <v>0</v>
          </cell>
          <cell r="K10">
            <v>0</v>
          </cell>
          <cell r="L10">
            <v>0</v>
          </cell>
          <cell r="M10">
            <v>236738900</v>
          </cell>
        </row>
        <row r="11">
          <cell r="B11" t="str">
            <v>퇴직급여</v>
          </cell>
          <cell r="C11">
            <v>6242553</v>
          </cell>
          <cell r="D11">
            <v>29052190</v>
          </cell>
          <cell r="E11">
            <v>10511578</v>
          </cell>
          <cell r="F11">
            <v>21489218</v>
          </cell>
          <cell r="G11">
            <v>49061865</v>
          </cell>
          <cell r="H11">
            <v>11499479</v>
          </cell>
          <cell r="I11">
            <v>35360860</v>
          </cell>
          <cell r="J11">
            <v>0</v>
          </cell>
          <cell r="K11">
            <v>0</v>
          </cell>
          <cell r="L11">
            <v>0</v>
          </cell>
          <cell r="M11">
            <v>163217743</v>
          </cell>
        </row>
        <row r="12">
          <cell r="B12" t="str">
            <v>외주비</v>
          </cell>
          <cell r="C12">
            <v>654924000</v>
          </cell>
          <cell r="D12">
            <v>4234466706</v>
          </cell>
          <cell r="E12">
            <v>9906627866</v>
          </cell>
          <cell r="F12">
            <v>2187895350</v>
          </cell>
          <cell r="G12">
            <v>3560322110</v>
          </cell>
          <cell r="H12">
            <v>736520506</v>
          </cell>
          <cell r="I12">
            <v>5620556940</v>
          </cell>
          <cell r="J12">
            <v>91660000</v>
          </cell>
          <cell r="K12">
            <v>815760000</v>
          </cell>
          <cell r="L12">
            <v>0</v>
          </cell>
          <cell r="M12">
            <v>27808733478</v>
          </cell>
        </row>
        <row r="14">
          <cell r="B14" t="str">
            <v>(경 비)</v>
          </cell>
          <cell r="C14">
            <v>264009667</v>
          </cell>
          <cell r="D14">
            <v>1766580197</v>
          </cell>
          <cell r="E14">
            <v>395840473</v>
          </cell>
          <cell r="F14">
            <v>160927670</v>
          </cell>
          <cell r="G14">
            <v>2020917994</v>
          </cell>
          <cell r="H14">
            <v>593134533</v>
          </cell>
          <cell r="I14">
            <v>914369546</v>
          </cell>
          <cell r="J14">
            <v>879936</v>
          </cell>
          <cell r="K14">
            <v>44740789</v>
          </cell>
          <cell r="L14">
            <v>70000000</v>
          </cell>
          <cell r="M14">
            <v>6231400805</v>
          </cell>
        </row>
        <row r="15">
          <cell r="B15" t="str">
            <v>복리후생비</v>
          </cell>
          <cell r="C15">
            <v>7839680</v>
          </cell>
          <cell r="D15">
            <v>38990800</v>
          </cell>
          <cell r="E15">
            <v>5865900</v>
          </cell>
          <cell r="F15">
            <v>21525150</v>
          </cell>
          <cell r="G15">
            <v>60334300</v>
          </cell>
          <cell r="H15">
            <v>16074210</v>
          </cell>
          <cell r="I15">
            <v>47695820</v>
          </cell>
          <cell r="J15">
            <v>0</v>
          </cell>
          <cell r="K15">
            <v>0</v>
          </cell>
          <cell r="L15">
            <v>0</v>
          </cell>
          <cell r="M15">
            <v>198325860</v>
          </cell>
        </row>
        <row r="16">
          <cell r="B16" t="str">
            <v>여비교통비</v>
          </cell>
          <cell r="C16">
            <v>0</v>
          </cell>
          <cell r="D16">
            <v>285000</v>
          </cell>
          <cell r="E16">
            <v>84500</v>
          </cell>
          <cell r="F16">
            <v>1071500</v>
          </cell>
          <cell r="G16">
            <v>3970820</v>
          </cell>
          <cell r="H16">
            <v>1051400</v>
          </cell>
          <cell r="I16">
            <v>2647330</v>
          </cell>
          <cell r="J16">
            <v>0</v>
          </cell>
          <cell r="K16">
            <v>0</v>
          </cell>
          <cell r="L16">
            <v>0</v>
          </cell>
          <cell r="M16">
            <v>9110550</v>
          </cell>
        </row>
        <row r="17">
          <cell r="B17" t="str">
            <v>통신비</v>
          </cell>
          <cell r="C17">
            <v>699870</v>
          </cell>
          <cell r="D17">
            <v>2449940</v>
          </cell>
          <cell r="E17">
            <v>317680</v>
          </cell>
          <cell r="F17">
            <v>2659500</v>
          </cell>
          <cell r="G17">
            <v>7593070</v>
          </cell>
          <cell r="H17">
            <v>1540890</v>
          </cell>
          <cell r="I17">
            <v>5136340</v>
          </cell>
          <cell r="J17">
            <v>0</v>
          </cell>
          <cell r="K17">
            <v>0</v>
          </cell>
          <cell r="L17">
            <v>0</v>
          </cell>
          <cell r="M17">
            <v>20397290</v>
          </cell>
        </row>
        <row r="18">
          <cell r="B18" t="str">
            <v>수도광열비</v>
          </cell>
          <cell r="C18">
            <v>23592298</v>
          </cell>
          <cell r="D18">
            <v>19221168</v>
          </cell>
          <cell r="E18">
            <v>0</v>
          </cell>
          <cell r="F18">
            <v>8626532</v>
          </cell>
          <cell r="G18">
            <v>360100744</v>
          </cell>
          <cell r="H18">
            <v>5877821</v>
          </cell>
          <cell r="I18">
            <v>16456006</v>
          </cell>
          <cell r="J18">
            <v>0</v>
          </cell>
          <cell r="K18">
            <v>0</v>
          </cell>
          <cell r="L18">
            <v>0</v>
          </cell>
          <cell r="M18">
            <v>433874569</v>
          </cell>
        </row>
        <row r="19">
          <cell r="B19" t="str">
            <v>세금과공과</v>
          </cell>
          <cell r="C19">
            <v>130579400</v>
          </cell>
          <cell r="D19">
            <v>1330817581</v>
          </cell>
          <cell r="E19">
            <v>265759540</v>
          </cell>
          <cell r="F19">
            <v>12902840</v>
          </cell>
          <cell r="G19">
            <v>997832660</v>
          </cell>
          <cell r="H19">
            <v>35378570</v>
          </cell>
          <cell r="I19">
            <v>278401328</v>
          </cell>
          <cell r="J19">
            <v>0</v>
          </cell>
          <cell r="K19">
            <v>250000</v>
          </cell>
          <cell r="L19">
            <v>0</v>
          </cell>
          <cell r="M19">
            <v>3051921919</v>
          </cell>
        </row>
        <row r="20">
          <cell r="B20" t="str">
            <v>지급임차료</v>
          </cell>
          <cell r="C20">
            <v>0</v>
          </cell>
          <cell r="D20">
            <v>3790000</v>
          </cell>
          <cell r="E20">
            <v>0</v>
          </cell>
          <cell r="F20">
            <v>3900000</v>
          </cell>
          <cell r="G20">
            <v>13229545</v>
          </cell>
          <cell r="H20">
            <v>77540740</v>
          </cell>
          <cell r="I20">
            <v>106960000</v>
          </cell>
          <cell r="J20">
            <v>0</v>
          </cell>
          <cell r="K20">
            <v>0</v>
          </cell>
          <cell r="L20">
            <v>0</v>
          </cell>
          <cell r="M20">
            <v>205420285</v>
          </cell>
        </row>
        <row r="21">
          <cell r="B21" t="str">
            <v>감가상각비</v>
          </cell>
          <cell r="C21">
            <v>4442424</v>
          </cell>
          <cell r="D21">
            <v>25424988</v>
          </cell>
          <cell r="E21">
            <v>18590108</v>
          </cell>
          <cell r="F21">
            <v>5178351</v>
          </cell>
          <cell r="G21">
            <v>26953912</v>
          </cell>
          <cell r="H21">
            <v>3378079</v>
          </cell>
          <cell r="I21">
            <v>37008392</v>
          </cell>
          <cell r="J21">
            <v>0</v>
          </cell>
          <cell r="K21">
            <v>1595795</v>
          </cell>
          <cell r="L21">
            <v>0</v>
          </cell>
          <cell r="M21">
            <v>122572049</v>
          </cell>
        </row>
        <row r="22">
          <cell r="B22" t="str">
            <v>수선비</v>
          </cell>
          <cell r="C22">
            <v>0</v>
          </cell>
          <cell r="D22">
            <v>2975000</v>
          </cell>
          <cell r="E22">
            <v>0</v>
          </cell>
          <cell r="F22">
            <v>3306309</v>
          </cell>
          <cell r="G22">
            <v>1983540</v>
          </cell>
          <cell r="H22">
            <v>2657000</v>
          </cell>
          <cell r="I22">
            <v>3829000</v>
          </cell>
          <cell r="J22">
            <v>0</v>
          </cell>
          <cell r="K22">
            <v>0</v>
          </cell>
          <cell r="L22">
            <v>0</v>
          </cell>
          <cell r="M22">
            <v>14750849</v>
          </cell>
        </row>
        <row r="23">
          <cell r="B23" t="str">
            <v>보험료</v>
          </cell>
          <cell r="C23">
            <v>22303215</v>
          </cell>
          <cell r="D23">
            <v>55660795</v>
          </cell>
          <cell r="E23">
            <v>97303212</v>
          </cell>
          <cell r="F23">
            <v>29042175</v>
          </cell>
          <cell r="G23">
            <v>71112662</v>
          </cell>
          <cell r="H23">
            <v>12279356</v>
          </cell>
          <cell r="I23">
            <v>71270386</v>
          </cell>
          <cell r="J23">
            <v>879936</v>
          </cell>
          <cell r="K23">
            <v>7994994</v>
          </cell>
          <cell r="L23">
            <v>0</v>
          </cell>
          <cell r="M23">
            <v>367846731</v>
          </cell>
        </row>
        <row r="24">
          <cell r="B24" t="str">
            <v>접대비</v>
          </cell>
          <cell r="C24">
            <v>0</v>
          </cell>
          <cell r="D24">
            <v>6801900</v>
          </cell>
          <cell r="E24">
            <v>0</v>
          </cell>
          <cell r="F24">
            <v>3463600</v>
          </cell>
          <cell r="G24">
            <v>10281000</v>
          </cell>
          <cell r="H24">
            <v>3400000</v>
          </cell>
          <cell r="I24">
            <v>5024700</v>
          </cell>
          <cell r="J24">
            <v>0</v>
          </cell>
          <cell r="K24">
            <v>0</v>
          </cell>
          <cell r="L24">
            <v>0</v>
          </cell>
          <cell r="M24">
            <v>28971200</v>
          </cell>
        </row>
        <row r="25">
          <cell r="B25" t="str">
            <v>광고선전비</v>
          </cell>
          <cell r="C25">
            <v>0</v>
          </cell>
          <cell r="D25">
            <v>3424000</v>
          </cell>
          <cell r="E25">
            <v>0</v>
          </cell>
          <cell r="F25">
            <v>7500000</v>
          </cell>
          <cell r="G25">
            <v>0</v>
          </cell>
          <cell r="H25">
            <v>180000</v>
          </cell>
          <cell r="I25">
            <v>4600000</v>
          </cell>
          <cell r="J25">
            <v>0</v>
          </cell>
          <cell r="K25">
            <v>0</v>
          </cell>
          <cell r="L25">
            <v>0</v>
          </cell>
          <cell r="M25">
            <v>15704000</v>
          </cell>
        </row>
        <row r="26">
          <cell r="B26" t="str">
            <v>운반비</v>
          </cell>
          <cell r="C26">
            <v>1905000</v>
          </cell>
          <cell r="D26">
            <v>7700000</v>
          </cell>
          <cell r="E26">
            <v>24500</v>
          </cell>
          <cell r="F26">
            <v>3225000</v>
          </cell>
          <cell r="G26">
            <v>45230480</v>
          </cell>
          <cell r="H26">
            <v>8355500</v>
          </cell>
          <cell r="I26">
            <v>18542000</v>
          </cell>
          <cell r="J26">
            <v>0</v>
          </cell>
          <cell r="K26">
            <v>0</v>
          </cell>
          <cell r="L26">
            <v>0</v>
          </cell>
          <cell r="M26">
            <v>84982480</v>
          </cell>
        </row>
        <row r="27">
          <cell r="B27" t="str">
            <v>장비유지비</v>
          </cell>
          <cell r="C27">
            <v>0</v>
          </cell>
          <cell r="D27">
            <v>5615000</v>
          </cell>
          <cell r="E27">
            <v>0</v>
          </cell>
          <cell r="F27">
            <v>0</v>
          </cell>
          <cell r="G27">
            <v>3430000</v>
          </cell>
          <cell r="H27">
            <v>1092600</v>
          </cell>
          <cell r="I27">
            <v>1201309</v>
          </cell>
          <cell r="J27">
            <v>0</v>
          </cell>
          <cell r="K27">
            <v>0</v>
          </cell>
          <cell r="L27">
            <v>0</v>
          </cell>
          <cell r="M27">
            <v>11338909</v>
          </cell>
        </row>
        <row r="28">
          <cell r="B28" t="str">
            <v>차량유지비</v>
          </cell>
          <cell r="C28">
            <v>1364700</v>
          </cell>
          <cell r="D28">
            <v>1966315</v>
          </cell>
          <cell r="E28">
            <v>1549003</v>
          </cell>
          <cell r="F28">
            <v>2268399</v>
          </cell>
          <cell r="G28">
            <v>3440461</v>
          </cell>
          <cell r="H28">
            <v>1215637</v>
          </cell>
          <cell r="I28">
            <v>3389643</v>
          </cell>
          <cell r="J28">
            <v>0</v>
          </cell>
          <cell r="K28">
            <v>0</v>
          </cell>
          <cell r="L28">
            <v>0</v>
          </cell>
          <cell r="M28">
            <v>15194158</v>
          </cell>
        </row>
        <row r="29">
          <cell r="B29" t="str">
            <v>소모품비</v>
          </cell>
          <cell r="C29">
            <v>549250</v>
          </cell>
          <cell r="D29">
            <v>2004290</v>
          </cell>
          <cell r="E29">
            <v>1674130</v>
          </cell>
          <cell r="F29">
            <v>4367670</v>
          </cell>
          <cell r="G29">
            <v>4097790</v>
          </cell>
          <cell r="H29">
            <v>1161920</v>
          </cell>
          <cell r="I29">
            <v>3345280</v>
          </cell>
          <cell r="J29">
            <v>0</v>
          </cell>
          <cell r="K29">
            <v>0</v>
          </cell>
          <cell r="L29">
            <v>0</v>
          </cell>
          <cell r="M29">
            <v>17200330</v>
          </cell>
        </row>
        <row r="30">
          <cell r="B30" t="str">
            <v>지급수수료</v>
          </cell>
          <cell r="C30">
            <v>69942400</v>
          </cell>
          <cell r="D30">
            <v>249679620</v>
          </cell>
          <cell r="E30">
            <v>4008000</v>
          </cell>
          <cell r="F30">
            <v>45487010</v>
          </cell>
          <cell r="G30">
            <v>400379750</v>
          </cell>
          <cell r="H30">
            <v>380501160</v>
          </cell>
          <cell r="I30">
            <v>273113660</v>
          </cell>
          <cell r="J30">
            <v>0</v>
          </cell>
          <cell r="K30">
            <v>34900000</v>
          </cell>
          <cell r="L30">
            <v>70000000</v>
          </cell>
          <cell r="M30">
            <v>1528011600</v>
          </cell>
        </row>
        <row r="31">
          <cell r="B31" t="str">
            <v>도서인쇄비</v>
          </cell>
          <cell r="C31">
            <v>341430</v>
          </cell>
          <cell r="D31">
            <v>1742400</v>
          </cell>
          <cell r="E31">
            <v>446700</v>
          </cell>
          <cell r="F31">
            <v>1572270</v>
          </cell>
          <cell r="G31">
            <v>2235010</v>
          </cell>
          <cell r="H31">
            <v>1114200</v>
          </cell>
          <cell r="I31">
            <v>3389970</v>
          </cell>
          <cell r="J31">
            <v>0</v>
          </cell>
          <cell r="K31">
            <v>0</v>
          </cell>
          <cell r="L31">
            <v>0</v>
          </cell>
          <cell r="M31">
            <v>10841980</v>
          </cell>
        </row>
        <row r="32">
          <cell r="B32" t="str">
            <v>보상비</v>
          </cell>
          <cell r="C32">
            <v>0</v>
          </cell>
          <cell r="D32">
            <v>0</v>
          </cell>
          <cell r="E32">
            <v>0</v>
          </cell>
          <cell r="F32">
            <v>0</v>
          </cell>
          <cell r="G32">
            <v>0</v>
          </cell>
          <cell r="H32">
            <v>35100000</v>
          </cell>
          <cell r="I32">
            <v>0</v>
          </cell>
          <cell r="J32">
            <v>0</v>
          </cell>
          <cell r="K32">
            <v>0</v>
          </cell>
          <cell r="L32">
            <v>0</v>
          </cell>
          <cell r="M32">
            <v>35100000</v>
          </cell>
        </row>
        <row r="33">
          <cell r="B33" t="str">
            <v>안전관리비</v>
          </cell>
          <cell r="C33">
            <v>450000</v>
          </cell>
          <cell r="D33">
            <v>8031400</v>
          </cell>
          <cell r="E33">
            <v>217200</v>
          </cell>
          <cell r="F33">
            <v>4831364</v>
          </cell>
          <cell r="G33">
            <v>8712250</v>
          </cell>
          <cell r="H33">
            <v>5235450</v>
          </cell>
          <cell r="I33">
            <v>32358382</v>
          </cell>
          <cell r="J33">
            <v>0</v>
          </cell>
          <cell r="K33">
            <v>0</v>
          </cell>
          <cell r="L33">
            <v>0</v>
          </cell>
          <cell r="M33">
            <v>59836046</v>
          </cell>
        </row>
        <row r="34">
          <cell r="B34" t="str">
            <v>잡비</v>
          </cell>
          <cell r="C34">
            <v>0</v>
          </cell>
          <cell r="D34">
            <v>0</v>
          </cell>
          <cell r="E34">
            <v>0</v>
          </cell>
          <cell r="F34">
            <v>0</v>
          </cell>
          <cell r="G34">
            <v>0</v>
          </cell>
          <cell r="H34">
            <v>0</v>
          </cell>
          <cell r="I34">
            <v>0</v>
          </cell>
          <cell r="J34">
            <v>0</v>
          </cell>
          <cell r="K34">
            <v>0</v>
          </cell>
          <cell r="L34">
            <v>0</v>
          </cell>
          <cell r="M34">
            <v>0</v>
          </cell>
        </row>
        <row r="35">
          <cell r="C35">
            <v>2513689802</v>
          </cell>
          <cell r="D35">
            <v>7467973960</v>
          </cell>
          <cell r="E35">
            <v>10371635557</v>
          </cell>
          <cell r="F35">
            <v>2920912437</v>
          </cell>
          <cell r="G35">
            <v>10428662165</v>
          </cell>
          <cell r="H35">
            <v>1901870956</v>
          </cell>
          <cell r="I35">
            <v>9175793112</v>
          </cell>
          <cell r="J35">
            <v>204427696</v>
          </cell>
          <cell r="K35">
            <v>889768453</v>
          </cell>
          <cell r="L35">
            <v>70000000</v>
          </cell>
          <cell r="M35">
            <v>45944734138</v>
          </cell>
        </row>
        <row r="36">
          <cell r="B36" t="str">
            <v>하자보수충당금전입액</v>
          </cell>
          <cell r="C36">
            <v>25027300</v>
          </cell>
          <cell r="D36">
            <v>0</v>
          </cell>
          <cell r="E36">
            <v>0</v>
          </cell>
          <cell r="F36">
            <v>0</v>
          </cell>
          <cell r="G36">
            <v>106612400</v>
          </cell>
          <cell r="H36">
            <v>0</v>
          </cell>
          <cell r="I36">
            <v>0</v>
          </cell>
          <cell r="J36">
            <v>0</v>
          </cell>
          <cell r="K36">
            <v>0</v>
          </cell>
          <cell r="L36">
            <v>0</v>
          </cell>
          <cell r="M36">
            <v>131639700</v>
          </cell>
        </row>
        <row r="37">
          <cell r="B37" t="str">
            <v>이자비용</v>
          </cell>
          <cell r="C37">
            <v>501261005</v>
          </cell>
          <cell r="D37">
            <v>1648091526</v>
          </cell>
          <cell r="E37">
            <v>2655016453</v>
          </cell>
          <cell r="F37">
            <v>505593896</v>
          </cell>
          <cell r="G37">
            <v>2157800782</v>
          </cell>
          <cell r="H37">
            <v>388441285</v>
          </cell>
          <cell r="I37">
            <v>1112087649</v>
          </cell>
          <cell r="J37">
            <v>0</v>
          </cell>
          <cell r="K37">
            <v>158157586</v>
          </cell>
          <cell r="L37">
            <v>0</v>
          </cell>
          <cell r="M37">
            <v>9126450182</v>
          </cell>
        </row>
        <row r="38">
          <cell r="C38">
            <v>3039978107</v>
          </cell>
          <cell r="D38">
            <v>9116065486</v>
          </cell>
          <cell r="E38">
            <v>13026652010</v>
          </cell>
          <cell r="F38">
            <v>3426506333</v>
          </cell>
          <cell r="G38">
            <v>12693075347</v>
          </cell>
          <cell r="H38">
            <v>2290312241</v>
          </cell>
          <cell r="I38">
            <v>10287880761</v>
          </cell>
          <cell r="J38">
            <v>204427696</v>
          </cell>
          <cell r="K38">
            <v>1047926039</v>
          </cell>
          <cell r="L38">
            <v>70000000</v>
          </cell>
          <cell r="M38">
            <v>55202824020</v>
          </cell>
        </row>
        <row r="39">
          <cell r="B39" t="str">
            <v>공사손실충당금전입액</v>
          </cell>
          <cell r="C39">
            <v>0</v>
          </cell>
          <cell r="D39">
            <v>0</v>
          </cell>
          <cell r="E39">
            <v>0</v>
          </cell>
          <cell r="F39">
            <v>0</v>
          </cell>
          <cell r="G39">
            <v>0</v>
          </cell>
          <cell r="H39">
            <v>0</v>
          </cell>
          <cell r="I39">
            <v>0</v>
          </cell>
          <cell r="J39">
            <v>0</v>
          </cell>
          <cell r="K39">
            <v>0</v>
          </cell>
          <cell r="L39">
            <v>0</v>
          </cell>
          <cell r="M39">
            <v>0</v>
          </cell>
        </row>
      </sheetData>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보고서"/>
      <sheetName val="Index"/>
      <sheetName val="S&amp;R"/>
      <sheetName val="FA"/>
      <sheetName val="IRR산정"/>
      <sheetName val="CAPEX(별첨1)"/>
      <sheetName val="취득(별첨2)"/>
      <sheetName val="FCF_월(별첨3)"/>
      <sheetName val="FCF_연(별첨4)"/>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상각비"/>
      <sheetName val="취득가액배분"/>
      <sheetName val="보험료"/>
      <sheetName val="Tax payment"/>
      <sheetName val="임대수익과보증금"/>
      <sheetName val="1.외주공사"/>
      <sheetName val="2.직영공사"/>
      <sheetName val="회사정보"/>
    </sheetNames>
    <sheetDataSet>
      <sheetData sheetId="0" refreshError="1"/>
      <sheetData sheetId="1" refreshError="1"/>
      <sheetData sheetId="2"/>
      <sheetData sheetId="3">
        <row r="28">
          <cell r="F28">
            <v>1E-3</v>
          </cell>
        </row>
      </sheetData>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3(б)호부표2"/>
      <sheetName val="계정code"/>
      <sheetName val="S&amp;R"/>
      <sheetName val="1.외주공사"/>
      <sheetName val="2.직영공사"/>
      <sheetName val="Sheet5"/>
      <sheetName val="단체(2)"/>
      <sheetName val="추가예산"/>
      <sheetName val="6-3(2)호_"/>
      <sheetName val="요약"/>
      <sheetName val="LIST"/>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솔(10)"/>
      <sheetName val="Sheet1"/>
      <sheetName val="한솔(08)"/>
      <sheetName val="인원계획-미화"/>
      <sheetName val="리츠"/>
      <sheetName val="노무비"/>
      <sheetName val="익월작업계힉"/>
    </sheetNames>
    <sheetDataSet>
      <sheetData sheetId="0"/>
      <sheetData sheetId="1">
        <row r="3">
          <cell r="C3" t="str">
            <v>4월분</v>
          </cell>
        </row>
        <row r="4">
          <cell r="C4" t="str">
            <v>5월분</v>
          </cell>
        </row>
        <row r="5">
          <cell r="C5" t="str">
            <v>6월분</v>
          </cell>
        </row>
        <row r="6">
          <cell r="C6" t="str">
            <v>7월분</v>
          </cell>
        </row>
        <row r="7">
          <cell r="C7" t="str">
            <v>8월분</v>
          </cell>
        </row>
        <row r="8">
          <cell r="C8" t="str">
            <v>9월분</v>
          </cell>
        </row>
        <row r="9">
          <cell r="C9" t="str">
            <v>10월분</v>
          </cell>
        </row>
        <row r="10">
          <cell r="C10" t="str">
            <v>11월분</v>
          </cell>
        </row>
        <row r="11">
          <cell r="C11" t="str">
            <v>12월분</v>
          </cell>
        </row>
        <row r="12">
          <cell r="C12" t="str">
            <v>1월분</v>
          </cell>
        </row>
        <row r="13">
          <cell r="C13" t="str">
            <v>2월분</v>
          </cell>
        </row>
        <row r="14">
          <cell r="C14" t="str">
            <v>3월분</v>
          </cell>
        </row>
      </sheetData>
      <sheetData sheetId="2" refreshError="1"/>
      <sheetData sheetId="3" refreshError="1"/>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건물bs"/>
      <sheetName val="건물대사"/>
      <sheetName val="건물원장작업시트"/>
      <sheetName val="토지bs"/>
      <sheetName val="토지대사"/>
      <sheetName val="토지원장작업시트"/>
      <sheetName val="토지원장월별비교"/>
      <sheetName val="Bs토지7"/>
      <sheetName val="토지원7"/>
      <sheetName val="BS건물7"/>
      <sheetName val="건물원7"/>
      <sheetName val="임차시설"/>
      <sheetName val="건설가"/>
      <sheetName val="Bs토지6"/>
      <sheetName val="토지원6"/>
      <sheetName val="BS건물6"/>
      <sheetName val="건물원6"/>
      <sheetName val="법인세 작성방법"/>
      <sheetName val="법인세1 "/>
      <sheetName val="법인세검토"/>
      <sheetName val="기준부동산가액 산출근기"/>
      <sheetName val="법인세2"/>
      <sheetName val="법인세2 (2)"/>
      <sheetName val="법인세3"/>
      <sheetName val="법인세4"/>
      <sheetName val="95비업무용명세서"/>
      <sheetName val="95특별부가세"/>
      <sheetName val="비업무용유지비용 "/>
      <sheetName val="96법인세표지"/>
      <sheetName val="96법인세1"/>
      <sheetName val="96법인세1-1"/>
      <sheetName val="96법인세검토 "/>
      <sheetName val="96기준부동산가액 산출근기"/>
      <sheetName val="96법인세2"/>
      <sheetName val="법인세2 (4)"/>
      <sheetName val="96법인세3"/>
      <sheetName val="96법인세4 "/>
      <sheetName val="고양수련관현황조사"/>
      <sheetName val="96법인세5"/>
      <sheetName val="96특별부가세 "/>
      <sheetName val="96비업무용유지비용"/>
      <sheetName val="96비업무용유지비용 (2)"/>
      <sheetName val="96비업무용명세서(12월)"/>
      <sheetName val="96비업무용명세서(6월)"/>
      <sheetName val="세무표지"/>
      <sheetName val="96세무토지 "/>
      <sheetName val="96세무건물1"/>
      <sheetName val="본부인원"/>
      <sheetName val="영업인원"/>
      <sheetName val="97법인세표지"/>
      <sheetName val="97법인세1"/>
      <sheetName val="97법인세1-1"/>
      <sheetName val="97법인세검토 "/>
      <sheetName val="97기준시가 산출근기"/>
      <sheetName val="97법인세2"/>
      <sheetName val="97법인세3 "/>
      <sheetName val="97법인세5"/>
      <sheetName val="97특별부가세 "/>
      <sheetName val="97비업무용유지비용"/>
      <sheetName val="97비업무용유지비용 (2)"/>
      <sheetName val="97비업무용명세서(12월)"/>
      <sheetName val="97비업무용명세서(12월) (2)"/>
      <sheetName val="97본부인원"/>
      <sheetName val="97영업인원"/>
      <sheetName val="Sheet1"/>
      <sheetName val="인원계획-미화"/>
      <sheetName val="기본정보입력"/>
      <sheetName val="DANGA"/>
      <sheetName val="96법인세"/>
      <sheetName val="Initial Input Variable"/>
      <sheetName val="범어"/>
      <sheetName val="시화점실행"/>
      <sheetName val="실행철강하도"/>
      <sheetName val="노무비"/>
      <sheetName val="상가매매0115"/>
      <sheetName val="상가임대0115"/>
      <sheetName val="본관내역서"/>
      <sheetName val="정리"/>
      <sheetName val="유가증권"/>
      <sheetName val="투자자산"/>
      <sheetName val="현금"/>
      <sheetName val="대손상각"/>
      <sheetName val="외상매출금"/>
      <sheetName val="받을어음"/>
      <sheetName val="시작"/>
      <sheetName val="익월작업계힉"/>
      <sheetName val="시설총괄"/>
      <sheetName val="Calendar"/>
      <sheetName val="목록"/>
      <sheetName val="중기"/>
      <sheetName val="급여대장"/>
      <sheetName val="지급어음(일별)"/>
      <sheetName val="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Label"/>
      <sheetName val="건물대사"/>
      <sheetName val="Sheet1"/>
      <sheetName val="인원계획-미화"/>
      <sheetName val="Calendar"/>
      <sheetName val="노무비"/>
      <sheetName val="상가매매0115"/>
      <sheetName val="상가임대0115"/>
      <sheetName val="목록"/>
      <sheetName val="중기"/>
      <sheetName val="급여대장"/>
      <sheetName val="공문_"/>
      <sheetName val="1_건물개요"/>
      <sheetName val="2_건축-1"/>
      <sheetName val="3_사진"/>
      <sheetName val="목차_(2)"/>
      <sheetName val="지급어음(일별)"/>
      <sheetName val="자재단가"/>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Sheet1"/>
      <sheetName val="익월작업계힉"/>
      <sheetName val="회사정보"/>
      <sheetName val="S&amp;R"/>
      <sheetName val="1.외주공사"/>
      <sheetName val="2.직영공사"/>
      <sheetName val="인원계획-미화"/>
      <sheetName val="LIST"/>
      <sheetName val="지급어음(일별)"/>
      <sheetName val="통합예산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익월작업계힉"/>
      <sheetName val="건물대사"/>
      <sheetName val="Sheet1"/>
      <sheetName val="인원계획-미화"/>
      <sheetName val="Calendar"/>
      <sheetName val="노무비"/>
      <sheetName val="상가매매0115"/>
      <sheetName val="상가임대0115"/>
      <sheetName val="목록"/>
      <sheetName val="중기"/>
      <sheetName val="기본정보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유니트입출고내역"/>
      <sheetName val=" HIT-&gt;HMC 견적(3900)"/>
      <sheetName val="OPREV(대한)"/>
      <sheetName val="Sheet1"/>
      <sheetName val="첨부1"/>
      <sheetName val="1)기본서식"/>
      <sheetName val="Data(인원)"/>
      <sheetName val="산출내역서"/>
      <sheetName val="6-3(2)호_"/>
      <sheetName val="_HIT-&gt;HMC_견적(3900)"/>
      <sheetName val="외주정비"/>
      <sheetName val="00매출"/>
      <sheetName val="0.0ControlSheet"/>
      <sheetName val="VA요약(가정 및 배당)"/>
      <sheetName val="익월작업계힉"/>
      <sheetName val="Scenario"/>
      <sheetName val="재공품"/>
      <sheetName val="간접비계산"/>
      <sheetName val="이자율별 차입금 적수"/>
      <sheetName val="일위대가"/>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Data(인원)"/>
      <sheetName val="인원계획-미화"/>
      <sheetName val="한국중공업보안"/>
      <sheetName val="入力用(家賃)"/>
      <sheetName val="入力用(駐車)"/>
      <sheetName val="A (Calcs)"/>
      <sheetName val="B (Controls)"/>
      <sheetName val="Set-Up"/>
      <sheetName val="Multi-Iteration"/>
      <sheetName val="K-4A"/>
      <sheetName val="K-4C"/>
      <sheetName val="K-4K"/>
      <sheetName val="K-4L"/>
      <sheetName val="K-4F"/>
      <sheetName val="K-4I"/>
      <sheetName val="K-4H"/>
      <sheetName val="K-4D"/>
      <sheetName val="K-4E"/>
      <sheetName val="K-4B"/>
      <sheetName val="K-4J"/>
      <sheetName val="지급어음(일별)"/>
      <sheetName val="식음료"/>
      <sheetName val="재무가정"/>
      <sheetName val="Initial Input Variable"/>
      <sheetName val="현장"/>
      <sheetName val="출자한도"/>
      <sheetName val="PROJECT BRIEF(EX.NEW)"/>
      <sheetName val="I. Assumptions"/>
      <sheetName val="Situation"/>
      <sheetName val="Elemental Breakdown-Original"/>
      <sheetName val="Assumptions"/>
      <sheetName val="PJ_Import"/>
      <sheetName val="Prop_Summary"/>
      <sheetName val="완성차 미수금"/>
      <sheetName val="Sheet5"/>
      <sheetName val="Area"/>
      <sheetName val="Ext. Stone-P"/>
      <sheetName val="15.Op. Activities"/>
      <sheetName val="13.Op. Activities"/>
      <sheetName val="Balance"/>
      <sheetName val="DETBIL"/>
      <sheetName val="9-1차이내역"/>
      <sheetName val="General"/>
      <sheetName val="Basic_Information"/>
      <sheetName val="조명율표"/>
      <sheetName val="Total-STALLION"/>
      <sheetName val="PROJECT_BRIEF(EX_NEW)"/>
      <sheetName val="Elemental_Breakdown-Original"/>
      <sheetName val="I__Assumptions"/>
      <sheetName val="완성차_미수금"/>
      <sheetName val="Ext__Stone-P"/>
      <sheetName val="15_Op__Activities"/>
      <sheetName val="13_Op__Activities"/>
      <sheetName val="2.Summary-cash"/>
      <sheetName val="Sheet2"/>
      <sheetName val="Prices"/>
      <sheetName val="Cash Flow"/>
      <sheetName val="Source"/>
      <sheetName val="Variable"/>
      <sheetName val="Master Sheet"/>
      <sheetName val="C_Sum(2)"/>
      <sheetName val="P1 Br Overall KPI"/>
      <sheetName val="yakumo"/>
      <sheetName val="내역"/>
      <sheetName val="Sales"/>
      <sheetName val="APOD"/>
      <sheetName val="BP Summary"/>
      <sheetName val="2.주요계수총괄"/>
      <sheetName val="간선계산"/>
      <sheetName val="Fin_Assumption"/>
      <sheetName val="anaysis_sheet"/>
      <sheetName val="2004SS"/>
      <sheetName val="2004CJ"/>
      <sheetName val="RBFC-BS"/>
      <sheetName val="S&amp;R"/>
      <sheetName val="1Month+Sheet2!"/>
      <sheetName val="98지급계획"/>
      <sheetName val="Sheet1"/>
      <sheetName val="익월작업계힉"/>
      <sheetName val="OPREV(대한)"/>
      <sheetName val="단기차입금(200006)"/>
      <sheetName val="#REF"/>
      <sheetName val="Template"/>
      <sheetName val="일위대가"/>
      <sheetName val="구분"/>
      <sheetName val="건물대사"/>
      <sheetName val="マスタ"/>
      <sheetName val="지수"/>
      <sheetName val="Training"/>
      <sheetName val="총무팀"/>
      <sheetName val="마포-임현"/>
      <sheetName val="VA요약(가정 및 배당)"/>
      <sheetName val="3본사"/>
      <sheetName val="VA요약(가정_및_배당)"/>
      <sheetName val="수지차(년)"/>
      <sheetName val="국내"/>
      <sheetName val="Intro2"/>
      <sheetName val="Id"/>
      <sheetName val="Budget 2005(DW)"/>
      <sheetName val="이익잉여금처분계산서"/>
      <sheetName val="재무상태변동표"/>
      <sheetName val="제조원가명세서"/>
      <sheetName val="현금흐름표"/>
      <sheetName val="이자율"/>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Facility Information"/>
      <sheetName val="Risk"/>
      <sheetName val="People"/>
      <sheetName val="Instructions"/>
      <sheetName val="Quality"/>
      <sheetName val="1"/>
      <sheetName val="BP_Summary"/>
      <sheetName val="2_주요계수총괄"/>
      <sheetName val="Initial_Input_Variable"/>
      <sheetName val="2__Summary-cash"/>
      <sheetName val="2000_05"/>
      <sheetName val="내역서"/>
      <sheetName val="Simulation"/>
      <sheetName val="남양시작동자105노65기1.3화1.2"/>
      <sheetName val="내역서(갑지)"/>
      <sheetName val="차수"/>
      <sheetName val="2002.1~2003.10월(1)"/>
      <sheetName val="설직재-1"/>
      <sheetName val="수입"/>
      <sheetName val="TOT"/>
      <sheetName val="energy 7.15"/>
      <sheetName val="ROE(FI)"/>
      <sheetName val="총투자비산정"/>
      <sheetName val="기본가정"/>
      <sheetName val="총투자비"/>
      <sheetName val="요약&amp;결과"/>
      <sheetName val="총투자비(총괄)"/>
      <sheetName val="시화점실행"/>
      <sheetName val="97계획(96.11"/>
      <sheetName val="실행철강하도"/>
      <sheetName val="연습"/>
      <sheetName val="목록"/>
      <sheetName val="중기"/>
      <sheetName val="YOEMAGUM"/>
      <sheetName val="CostApp."/>
      <sheetName val="Lookup"/>
      <sheetName val="매출"/>
      <sheetName val="1.0"/>
      <sheetName val="Current"/>
      <sheetName val="BID"/>
      <sheetName val="CostData"/>
      <sheetName val="IncomeData"/>
      <sheetName val="Summary"/>
      <sheetName val="PropertyData"/>
      <sheetName val="CAP EXP"/>
      <sheetName val="MOTOR"/>
      <sheetName val="RM목표&amp;실적"/>
      <sheetName val="SRC-B3U2"/>
      <sheetName val="차액보증"/>
      <sheetName val="Secured Master"/>
      <sheetName val="XLUTIL"/>
      <sheetName val="GenLedger BalSht"/>
      <sheetName val="지급보증금74"/>
      <sheetName val="부대대비"/>
      <sheetName val="냉연집계"/>
      <sheetName val="Rückstände-rent arrears"/>
      <sheetName val="Budget 2004(DW)"/>
      <sheetName val="공용시설내역"/>
      <sheetName val="주차"/>
      <sheetName val="신우"/>
      <sheetName val="'94자산"/>
      <sheetName val="Assumption"/>
      <sheetName val="인원"/>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남양시작동자105노65기1_3화1_2"/>
      <sheetName val="2002_1~2003_10월(1)"/>
      <sheetName val="energy_7_15"/>
      <sheetName val="OHU"/>
      <sheetName val="설 계"/>
      <sheetName val="설계"/>
      <sheetName val="품셈TABLE"/>
      <sheetName val="접속도로1"/>
      <sheetName val="임대료산정(자동계산)"/>
      <sheetName val="한국중공업보안.XLS"/>
      <sheetName val="%ED%95%9C%EA%B5%AD%EC%A4%91%EA%"/>
      <sheetName val="Foreclosure"/>
      <sheetName val="산업은행 경영지표"/>
      <sheetName val="Section 1.3"/>
      <sheetName val="INMD1198"/>
      <sheetName val="Control"/>
      <sheetName val="Cover"/>
      <sheetName val="5.2-1Tenancy Schedule "/>
      <sheetName val="CodeTable"/>
      <sheetName val="VA요약(가정_및_배당)1"/>
      <sheetName val="옥외외등집계표"/>
      <sheetName val="賃料等一覧"/>
      <sheetName val="회사정보"/>
      <sheetName val="임테블"/>
      <sheetName val="수정사항"/>
      <sheetName val="10월 (2)"/>
      <sheetName val="종합-임현"/>
      <sheetName val="2분기 체크리스트.xlsx"/>
      <sheetName val="0.0ControlSheet"/>
      <sheetName val="Code"/>
      <sheetName val="#5"/>
      <sheetName val="#3"/>
      <sheetName val="結果（２年後１億円振り替え）"/>
      <sheetName val="7월당직"/>
      <sheetName val="BOJUNGGM"/>
      <sheetName val="1.0. 전기"/>
      <sheetName val="Collateral"/>
      <sheetName val="Ownership Percentages"/>
      <sheetName val="민감도"/>
      <sheetName val="품종별월계"/>
      <sheetName val="노임단가"/>
      <sheetName val="단가조사"/>
      <sheetName val="교각1"/>
      <sheetName val="Data&amp;Result"/>
      <sheetName val="Sensitivity"/>
      <sheetName val="Rent Roll"/>
      <sheetName val="급여대장(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노무비"/>
      <sheetName val="영업외손익등"/>
      <sheetName val="ADMIN"/>
      <sheetName val="98지급계획"/>
      <sheetName val="T48a"/>
      <sheetName val="현금"/>
      <sheetName val="管理見積(ｶﾅｻﾞﾜ)"/>
      <sheetName val="첨부1"/>
      <sheetName val="OPREV(대한)"/>
      <sheetName val="지급어음(일별)"/>
      <sheetName val="인원계획-미화"/>
      <sheetName val="6-3(2)호_"/>
      <sheetName val="자재단가비교표"/>
      <sheetName val="교통대책내역"/>
      <sheetName val="외주정비"/>
      <sheetName val="총무팀"/>
      <sheetName val="마포-임현"/>
      <sheetName val="S&amp;R"/>
      <sheetName val="Data(인원)"/>
      <sheetName val="Sheet1"/>
    </sheetNames>
    <sheetDataSet>
      <sheetData sheetId="0" refreshError="1">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S&amp;R"/>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ADMIN"/>
      <sheetName val="6-3(2)호_"/>
      <sheetName val="잡철물"/>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ライオンズマンション難波南第2"/>
      <sheetName val="集計"/>
      <sheetName val="リスト"/>
      <sheetName val="OPREV(대한)"/>
      <sheetName val="회사정보"/>
      <sheetName val="건물"/>
      <sheetName val="S&amp;R"/>
      <sheetName val="入力用(家賃)"/>
      <sheetName val="入力用(駐車)"/>
      <sheetName val="인원계획-미화"/>
      <sheetName val="총무팀"/>
      <sheetName val="마포-임현"/>
      <sheetName val="管理見積(ｶﾅｻﾞﾜ)"/>
      <sheetName val="Parameter"/>
      <sheetName val="노무비"/>
      <sheetName val="Sheet1"/>
      <sheetName val="재무가정"/>
      <sheetName val="요약&amp;결과"/>
      <sheetName val="인트라넷시스템근거"/>
      <sheetName val="lee"/>
      <sheetName val="집계표소트"/>
    </sheetNames>
    <sheetDataSet>
      <sheetData sheetId="0"/>
      <sheetData sheetId="1" refreshError="1"/>
      <sheetData sheetId="2" refreshError="1">
        <row r="2">
          <cell r="A2" t="str">
            <v>電気代 (Electricity)</v>
          </cell>
        </row>
        <row r="3">
          <cell r="A3" t="str">
            <v>水道代 (Water)</v>
          </cell>
        </row>
        <row r="4">
          <cell r="A4" t="str">
            <v>CATV</v>
          </cell>
        </row>
        <row r="5">
          <cell r="A5" t="str">
            <v>電話代 (Telephone)</v>
          </cell>
        </row>
        <row r="6">
          <cell r="A6" t="str">
            <v>業務委託料 (PM fee)</v>
          </cell>
        </row>
        <row r="7">
          <cell r="A7" t="str">
            <v>管理委託料 (BM fee)</v>
          </cell>
        </row>
        <row r="8">
          <cell r="A8" t="str">
            <v>ルームクリーニング (Room cleaning)</v>
          </cell>
        </row>
        <row r="9">
          <cell r="A9" t="str">
            <v>原状回復費用 (Renovation)</v>
          </cell>
        </row>
        <row r="10">
          <cell r="A10" t="str">
            <v>広告料 (Advertisement)</v>
          </cell>
        </row>
        <row r="11">
          <cell r="A11" t="str">
            <v>振込手数料 (Bank charge)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분양권"/>
      <sheetName val="상가분양"/>
      <sheetName val="전체손익"/>
      <sheetName val="금융비용"/>
      <sheetName val="부가세"/>
      <sheetName val="사업간접비"/>
      <sheetName val="초기소요자금"/>
      <sheetName val="수입금내역"/>
      <sheetName val="リスト"/>
      <sheetName val="controll"/>
      <sheetName val="1 자원총괄"/>
      <sheetName val="조회서"/>
      <sheetName val="회사정보"/>
      <sheetName val="인원계획-미화"/>
      <sheetName val="OPREV(대한)"/>
      <sheetName val="조사번호"/>
      <sheetName val="반포2차"/>
      <sheetName val="기준시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リスト"/>
      <sheetName val="회사정보"/>
      <sheetName val="노무비"/>
      <sheetName val="98지급계획"/>
      <sheetName val="총무팀"/>
      <sheetName val="마포-임현"/>
      <sheetName val="Sheet1"/>
      <sheetName val="Template"/>
      <sheetName val="로담코총괄제안견적3"/>
      <sheetName val="管理見積(ｶﾅｻﾞﾜ)"/>
      <sheetName val="LIST"/>
      <sheetName val="현금흐름Ⅰ"/>
      <sheetName val="지급어음(일별)"/>
      <sheetName val="Data&amp;Result"/>
      <sheetName val="전체손익"/>
      <sheetName val="요율"/>
      <sheetName val="기준정보"/>
      <sheetName val="controll"/>
      <sheetName val="상가매매0115"/>
      <sheetName val="상가임대0115"/>
      <sheetName val="가격표"/>
      <sheetName val="VA요약(가정 및 배당)"/>
      <sheetName val="목록"/>
      <sheetName val="중기"/>
      <sheetName val="업무용유지비실적"/>
      <sheetName val="1ST"/>
      <sheetName val="2. Summary-cash"/>
      <sheetName val="건물대사"/>
      <sheetName val="실행철강하도"/>
      <sheetName val="入力用(家賃)"/>
      <sheetName val="入力用(駐車)"/>
      <sheetName val="입력변수"/>
      <sheetName val="원가계산서"/>
      <sheetName val="OPREV(대한)"/>
      <sheetName val="Data(인원)"/>
      <sheetName val="내역서 제출"/>
      <sheetName val="종합"/>
      <sheetName val="점코드"/>
      <sheetName val="재무가정"/>
      <sheetName val="리츠"/>
      <sheetName val="산수(hd-0)"/>
      <sheetName val="산수(hd-1)"/>
      <sheetName val="구분"/>
      <sheetName val="1Month+Sheet2!"/>
      <sheetName val="101동"/>
      <sheetName val="2공구산출내역"/>
      <sheetName val="식음료"/>
      <sheetName val="손익"/>
      <sheetName val="#REF"/>
      <sheetName val="結果（２年後１億円振り替え）"/>
      <sheetName val="데이터유효성검사자료"/>
      <sheetName val="정산표"/>
      <sheetName val="Tax"/>
      <sheetName val="이우(hd)"/>
      <sheetName val="데이타"/>
      <sheetName val="조직및_인원계획"/>
      <sheetName val="견적내역-미화_(2)"/>
      <sheetName val="견적내역-보안_(2)"/>
      <sheetName val="VA요약(가정_및_배당)"/>
      <sheetName val="2__Summary-cash"/>
      <sheetName val="내역서_제출"/>
      <sheetName val="반포2차"/>
      <sheetName val="N賃率-職"/>
      <sheetName val="소비자가"/>
      <sheetName val="구로점"/>
      <sheetName val="S&amp;R"/>
      <sheetName val="선급비용"/>
      <sheetName val="건축내역"/>
      <sheetName val="주요기준"/>
      <sheetName val="전기내역서(총계)"/>
      <sheetName val="약품공급2"/>
      <sheetName val="賃料等一覧"/>
      <sheetName val="요약&amp;결과"/>
      <sheetName val="자재단가"/>
      <sheetName val="1 자원총괄"/>
      <sheetName val="Quality"/>
      <sheetName val="People"/>
      <sheetName val="Risk"/>
      <sheetName val="Training"/>
      <sheetName val="10월 (2)"/>
      <sheetName val="General"/>
      <sheetName val="Instructions"/>
      <sheetName val="종합-임현"/>
      <sheetName val="anaysis_sheet"/>
      <sheetName val="자료"/>
      <sheetName val="2003정규직(1년이상)"/>
      <sheetName val="DB"/>
      <sheetName val="받을어음"/>
      <sheetName val="현장"/>
      <sheetName val="Initial Input Variable"/>
      <sheetName val="Journal"/>
      <sheetName val="1.0"/>
      <sheetName val="Summary"/>
      <sheetName val="1 Cash Flow Analysis"/>
      <sheetName val="2004SS"/>
      <sheetName val="2004CJ"/>
      <sheetName val="상품입고집계"/>
      <sheetName val="データ"/>
      <sheetName val="시나리오"/>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Initial_Input_Variable"/>
      <sheetName val="Customer_Databas"/>
      <sheetName val="ASP"/>
      <sheetName val="Budget 2005(DW)"/>
      <sheetName val="Id"/>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예산(한화)"/>
      <sheetName val="Front Cover"/>
      <sheetName val="Front_Cover"/>
      <sheetName val="시설장비"/>
      <sheetName val="지분법(AK) (2)"/>
      <sheetName val="한일자야(감액손실) (2)"/>
      <sheetName val="부관맨홀조서"/>
      <sheetName val="대차대조표"/>
      <sheetName val="현금"/>
      <sheetName val="품셈TABLE"/>
      <sheetName val="Parameter"/>
      <sheetName val="Macro1"/>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공통"/>
      <sheetName val="99판매상세"/>
      <sheetName val="nr030112"/>
      <sheetName val="제품수불"/>
      <sheetName val="0103"/>
      <sheetName val="외화금융(97-03)"/>
      <sheetName val="산업은행 경영지표"/>
      <sheetName val="Expense Schedule (4)"/>
      <sheetName val="현장관리비"/>
      <sheetName val="기타수익"/>
      <sheetName val="SCH03"/>
      <sheetName val="Development"/>
      <sheetName val="Income"/>
      <sheetName val="Total"/>
      <sheetName val="BS"/>
      <sheetName val="***********************00"/>
      <sheetName val="UW_A"/>
      <sheetName val="2월"/>
      <sheetName val="일위"/>
      <sheetName val="조직및_인원계획1"/>
      <sheetName val="견적내역-미화_(2)1"/>
      <sheetName val="견적내역-보안_(2)1"/>
      <sheetName val="2__Summary-cash1"/>
      <sheetName val="VA요약(가정_및_배당)1"/>
      <sheetName val="내역서_제출1"/>
      <sheetName val="조사번호"/>
      <sheetName val="argl(1)"/>
      <sheetName val="F"/>
      <sheetName val="Table"/>
      <sheetName val="개요"/>
      <sheetName val="CASHFLOW"/>
      <sheetName val="ARDEBT"/>
      <sheetName val="SALE"/>
      <sheetName val="소유임차부동산(원본)"/>
      <sheetName val="업무분장 "/>
      <sheetName val="영업.일1"/>
      <sheetName val="Cash Flow"/>
      <sheetName val="Source"/>
      <sheetName val="임대료산정(자동계산)"/>
      <sheetName val="단가"/>
      <sheetName val="2 Harajuku Jimusho"/>
      <sheetName val="Assumption"/>
      <sheetName val="Occupancy Scenario"/>
      <sheetName val="품명"/>
      <sheetName val="수지차(년)"/>
      <sheetName val="Ⅰ-3"/>
      <sheetName val="인건비"/>
      <sheetName val="FX Rates"/>
      <sheetName val=" 견적서"/>
      <sheetName val="Facility Information"/>
      <sheetName val="내역1"/>
      <sheetName val="분양금할인"/>
      <sheetName val="간접경상비"/>
      <sheetName val="D1300 자삽"/>
      <sheetName val="Input Screen"/>
      <sheetName val="설-원가"/>
      <sheetName val="설치자재"/>
      <sheetName val="단중"/>
      <sheetName val="Baby일위대가"/>
      <sheetName val="Office only Letup"/>
      <sheetName val="Tenants"/>
      <sheetName val="Customer_Databas1"/>
      <sheetName val="Initial_Input_Variable1"/>
      <sheetName val="1_Cash_Flow_Analysis"/>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노임단가"/>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전선 및 전선관"/>
      <sheetName val="조회총괄"/>
      <sheetName val="6월실적"/>
      <sheetName val="2F 회의실견적(5_14 일대)"/>
      <sheetName val="불법주정차"/>
      <sheetName val="시화점실행"/>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9GNG운반"/>
      <sheetName val="일반경비"/>
      <sheetName val="도기류"/>
      <sheetName val="단가산출"/>
      <sheetName val="임대현황"/>
      <sheetName val="출자한도"/>
      <sheetName val="BOJUNGGM"/>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Calendar"/>
      <sheetName val="조사시트"/>
      <sheetName val="단가비교"/>
      <sheetName val="3.빌딩손익_6년차"/>
      <sheetName val="3.4.수도광열비"/>
      <sheetName val="CT"/>
      <sheetName val="주요가정"/>
      <sheetName val="SETUP"/>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갑지(추정)"/>
      <sheetName val="분당임차변경"/>
      <sheetName val="Sheet11"/>
      <sheetName val="시멘트"/>
      <sheetName val="A"/>
      <sheetName val="BOK차입"/>
      <sheetName val="APT"/>
      <sheetName val="콘크리트타설집계표"/>
      <sheetName val="운동장 (2)"/>
      <sheetName val="전력"/>
      <sheetName val="(Monthly)"/>
      <sheetName val="GAAP Pru"/>
      <sheetName val="옥외외등집계표"/>
      <sheetName val="도급자재"/>
      <sheetName val="자재단가비교표"/>
      <sheetName val="공사원가계산서"/>
      <sheetName val="영업.일"/>
      <sheetName val="조직및_인원계획2"/>
      <sheetName val="견적내역-미화_(2)2"/>
      <sheetName val="견적내역-보안_(2)2"/>
      <sheetName val="Initial_Input_Variable2"/>
      <sheetName val="Customer_Databas2"/>
      <sheetName val="1_Cash_Flow_Analysis1"/>
      <sheetName val="Budget_2005(DW)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범용개발순소요비용"/>
      <sheetName val="JUCKEYK"/>
      <sheetName val="CA"/>
      <sheetName val="금융"/>
      <sheetName val="은행"/>
      <sheetName val="리스"/>
      <sheetName val="보험"/>
      <sheetName val="Funding"/>
      <sheetName val="CF(M)"/>
      <sheetName val="IS(FY)"/>
      <sheetName val="ﾘｽﾄ"/>
      <sheetName val="準備ｼｰﾄ"/>
      <sheetName val="Inve. &amp; Income Assum."/>
      <sheetName val="이익영"/>
      <sheetName val="세목별"/>
      <sheetName val="Front_Cover2"/>
      <sheetName val="지분법(AK)_(2)1"/>
      <sheetName val="한일자야(감액손실)_(2)1"/>
      <sheetName val="영업_일11"/>
      <sheetName val="10월_(2)1"/>
      <sheetName val="Facility_Information1"/>
      <sheetName val="조직도 빽업"/>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15"/>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I一般比"/>
      <sheetName val="전선_및_전선관"/>
      <sheetName val="Tier 1"/>
      <sheetName val="PLD"/>
      <sheetName val="수량계산"/>
      <sheetName val="일위산출"/>
      <sheetName val="CF Case1(메인)"/>
      <sheetName val="순수통장"/>
      <sheetName val="적립수신"/>
      <sheetName val="직재"/>
      <sheetName val="재집"/>
      <sheetName val="3-4현"/>
      <sheetName val="3-3현"/>
      <sheetName val="Menu_Link"/>
      <sheetName val="근린생활"/>
      <sheetName val="COVER"/>
      <sheetName val="영업사양"/>
      <sheetName val="DATE"/>
      <sheetName val="조사자료"/>
      <sheetName val="스포회원매출"/>
      <sheetName val="실행내역"/>
      <sheetName val="Assp_BS"/>
      <sheetName val="단가대비표"/>
      <sheetName val="LD TX"/>
      <sheetName val="완성차 미수금"/>
      <sheetName val="区分"/>
      <sheetName val="CIP"/>
      <sheetName val="집계표"/>
      <sheetName val="조사방식"/>
      <sheetName val="조사방법 참조"/>
      <sheetName val="INFORM"/>
      <sheetName val="Utilities"/>
      <sheetName val="Utility Usage YTN TOWER"/>
      <sheetName val="제직재"/>
      <sheetName val="제-노임"/>
      <sheetName val="손익분석"/>
      <sheetName val="설계조건"/>
      <sheetName val="비용산식"/>
      <sheetName val="MEMORY"/>
      <sheetName val="D01"/>
      <sheetName val="간접재료비산출표-27-30"/>
      <sheetName val="을지"/>
      <sheetName val="비용자료"/>
      <sheetName val="비용예산자료"/>
      <sheetName val="수익자료"/>
      <sheetName val="수익예산자료"/>
      <sheetName val="현금경비중역"/>
      <sheetName val="신상자료"/>
      <sheetName val="g. Rent Roll"/>
      <sheetName val="임대수익"/>
      <sheetName val="base"/>
      <sheetName val="Label"/>
      <sheetName val="의뢰건 (2)"/>
      <sheetName val="손익계산서(管理)"/>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목차 "/>
      <sheetName val="빌딩현황"/>
      <sheetName val="세부임대"/>
      <sheetName val="수지차(년)"/>
      <sheetName val="수지차(월)"/>
      <sheetName val="인원계획"/>
      <sheetName val="직영"/>
      <sheetName val="하도급"/>
      <sheetName val="에너지"/>
      <sheetName val="수선비"/>
      <sheetName val="소모품"/>
      <sheetName val="협회비"/>
      <sheetName val="세금과공과"/>
      <sheetName val="인원계획-미화"/>
      <sheetName val="표지목차_"/>
      <sheetName val="표지목차_1"/>
      <sheetName val="직접노무"/>
      <sheetName val="직접재료"/>
      <sheetName val="OPREV(대한)"/>
      <sheetName val="管理見積(ｶﾅｻﾞﾜ)"/>
      <sheetName val="リスト"/>
      <sheetName val="주요기준"/>
      <sheetName val="Intro2"/>
      <sheetName val="Data(인원)"/>
      <sheetName val="1Month+Sheet2!"/>
      <sheetName val="가격표"/>
      <sheetName val="상가매매0115"/>
      <sheetName val="상가임대0115"/>
      <sheetName val="전체손익"/>
      <sheetName val="구로점"/>
      <sheetName val="하서"/>
      <sheetName val="98지급계획"/>
      <sheetName val="Template"/>
      <sheetName val="구분"/>
      <sheetName val="정산내역서"/>
      <sheetName val="건물대사"/>
      <sheetName val="1 자원총괄"/>
      <sheetName val="지급어음(일별)"/>
      <sheetName val="회사정보"/>
      <sheetName val="익월작업계힉"/>
      <sheetName val="Sheet1"/>
      <sheetName val="목록"/>
      <sheetName val="중기"/>
      <sheetName val="入力用(家賃)"/>
      <sheetName val="入力用(駐車)"/>
      <sheetName val="Calendar"/>
      <sheetName val="노무비"/>
      <sheetName val="재무가정"/>
      <sheetName val="5월전기"/>
      <sheetName val="총무팀"/>
      <sheetName val="마포-임현"/>
      <sheetName val="조사번호"/>
      <sheetName val="Initial Input Variable"/>
      <sheetName val="N賃率-職"/>
      <sheetName val="현금흐름Ⅰ"/>
      <sheetName val="효용적수"/>
      <sheetName val="옥외외등집계표"/>
      <sheetName val="설계명세"/>
      <sheetName val="임대료산정(자동계산)"/>
      <sheetName val="Rent(Old)"/>
      <sheetName val="일위"/>
      <sheetName val="입력변수"/>
      <sheetName val="賃料等一覧"/>
      <sheetName val="Tax"/>
      <sheetName val="기준정보"/>
      <sheetName val="BASE"/>
    </sheetNames>
    <sheetDataSet>
      <sheetData sheetId="0">
        <row r="16">
          <cell r="F16" t="str">
            <v>계획</v>
          </cell>
        </row>
      </sheetData>
      <sheetData sheetId="1">
        <row r="16">
          <cell r="F16" t="str">
            <v>계획</v>
          </cell>
        </row>
      </sheetData>
      <sheetData sheetId="2">
        <row r="16">
          <cell r="F16" t="str">
            <v>계획</v>
          </cell>
        </row>
      </sheetData>
      <sheetData sheetId="3" refreshError="1">
        <row r="16">
          <cell r="F16" t="str">
            <v>계획</v>
          </cell>
        </row>
      </sheetData>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Month+Sheet2!"/>
      <sheetName val="인원계획-미화"/>
      <sheetName val="수지차(년)"/>
      <sheetName val="내역서"/>
      <sheetName val="1Month_Sheet2_"/>
      <sheetName val="Template"/>
      <sheetName val="공사비총괄표"/>
      <sheetName val="보험금"/>
      <sheetName val="Sheet1"/>
      <sheetName val="총무팀"/>
      <sheetName val="마포-임현"/>
      <sheetName val="익월작업계힉"/>
      <sheetName val="노무비"/>
      <sheetName val="3본사"/>
      <sheetName val="내역"/>
      <sheetName val="98지급계획"/>
      <sheetName val="주요기준"/>
      <sheetName val="요율"/>
      <sheetName val="실행철강하도"/>
      <sheetName val="중기"/>
      <sheetName val="내역총괄"/>
      <sheetName val="용역참가자보안각서"/>
      <sheetName val="管理見積(ｶﾅｻﾞﾜ)"/>
      <sheetName val="재무가정"/>
      <sheetName val="산수(hd-0)"/>
      <sheetName val="산수(hd-1)"/>
      <sheetName val="Data(인원)"/>
      <sheetName val="직접노무"/>
      <sheetName val="직접재료"/>
      <sheetName val="전체손익"/>
      <sheetName val="구로점"/>
      <sheetName val="지급어음(일별)"/>
      <sheetName val="#REF"/>
      <sheetName val="참조.지연이자_총괄"/>
      <sheetName val="당초"/>
      <sheetName val="N賃率-職"/>
      <sheetName val="건내용"/>
      <sheetName val="Sheet2"/>
      <sheetName val="조명율표"/>
      <sheetName val="기준정보"/>
      <sheetName val="건물대사"/>
      <sheetName val="入力用(家賃)"/>
      <sheetName val="入力用(駐車)"/>
      <sheetName val="BASE"/>
      <sheetName val="데이타"/>
      <sheetName val="식재인부"/>
      <sheetName val="선급비용"/>
      <sheetName val="2.대외공문"/>
      <sheetName val="설직재-1"/>
      <sheetName val="일위"/>
      <sheetName val="정산표"/>
      <sheetName val="구분"/>
      <sheetName val="조사시트"/>
      <sheetName val="GAAP Pru"/>
      <sheetName val="연환"/>
      <sheetName val="직노"/>
      <sheetName val="OPREV(대한)"/>
      <sheetName val="단가대비표"/>
      <sheetName val="リスト"/>
      <sheetName val="A３新収益"/>
      <sheetName val="Calendar"/>
      <sheetName val="I一般比"/>
      <sheetName val="옥외외등집계표"/>
      <sheetName val="조사번호"/>
      <sheetName val="list"/>
      <sheetName val="현장"/>
      <sheetName val="자금입금"/>
      <sheetName val="가격표"/>
      <sheetName val="data"/>
      <sheetName val="区分"/>
      <sheetName val="총투자비(총괄)"/>
      <sheetName val="요약&amp;결과"/>
      <sheetName val="빌딩코드"/>
      <sheetName val="월별 판관비"/>
      <sheetName val="효용적수"/>
      <sheetName val="회사정보"/>
      <sheetName val="식음료"/>
      <sheetName val="설계명세"/>
      <sheetName val="Assp_BS"/>
      <sheetName val="한일자야(감액손실) (2)"/>
      <sheetName val="계정"/>
      <sheetName val="절대지우지말것"/>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전체손익"/>
      <sheetName val="총괄"/>
      <sheetName val="1Month+Sheet2!"/>
    </sheetNames>
    <sheetDataSet>
      <sheetData sheetId="0" refreshError="1">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회사정보"/>
      <sheetName val="전체손익"/>
      <sheetName val="1 자원총괄"/>
      <sheetName val="코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익월작업계힉"/>
      <sheetName val="급여대장"/>
      <sheetName val="1Month+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임대료산정(자동계산)"/>
      <sheetName val="S&amp;R"/>
    </sheetNames>
    <sheetDataSet>
      <sheetData sheetId="0">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선순위이자계산근거"/>
      <sheetName val="Assumption"/>
      <sheetName val="소요자금 (투자설명서)"/>
      <sheetName val="Scenario 2_CFs"/>
      <sheetName val="도급공사비"/>
      <sheetName val="도급공사비(지급조건)"/>
      <sheetName val="소요자금분석"/>
      <sheetName val="임대료산정(자동계산)"/>
      <sheetName val="1Month+Sheet2!"/>
      <sheetName val="수지차(년)"/>
      <sheetName val="인원계획-미화"/>
      <sheetName val="OPREV(대한)"/>
      <sheetName val="준공내역(을)"/>
      <sheetName val="익월작업계힉"/>
      <sheetName val="건물대사"/>
      <sheetName val="Sheet1"/>
    </sheetNames>
    <sheetDataSet>
      <sheetData sheetId="0"/>
      <sheetData sheetId="1">
        <row r="39">
          <cell r="J39">
            <v>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Intro2"/>
      <sheetName val="Id"/>
      <sheetName val="품셈TABLE"/>
      <sheetName val="Parameter"/>
      <sheetName val="노무비"/>
      <sheetName val="賃料等一覧"/>
      <sheetName val="1Month+Sheet2!"/>
      <sheetName val="본관내역서"/>
      <sheetName val="조직및_인원계획"/>
      <sheetName val="견적내역-미화_(2)"/>
      <sheetName val="견적내역-보안_(2)"/>
      <sheetName val="Macro1"/>
      <sheetName val="OPREV(대한)"/>
      <sheetName val="세금과공과"/>
      <sheetName val="이자율"/>
      <sheetName val="2004SS"/>
      <sheetName val="2004CJ"/>
      <sheetName val="1 Cash Flow Analysis"/>
      <sheetName val=" 토목 처리장도급내역서 "/>
      <sheetName val="Sheet1"/>
      <sheetName val="7 (2)"/>
      <sheetName val="국내"/>
      <sheetName val="2.Summary-cash"/>
      <sheetName val="최종"/>
      <sheetName val="98지급계획"/>
      <sheetName val="3본사"/>
      <sheetName val="총무팀"/>
      <sheetName val="마포-임현"/>
      <sheetName val="Project_CF"/>
      <sheetName val="직원자료입력"/>
      <sheetName val="산업은행 경영지표"/>
      <sheetName val="외화금융(97-03)"/>
      <sheetName val="재무가정"/>
      <sheetName val="지급어음(일별)"/>
      <sheetName val="익월작업계힉"/>
      <sheetName val="수지차(년)"/>
      <sheetName val="단가"/>
      <sheetName val="회사정보"/>
      <sheetName val="Cash Flow"/>
      <sheetName val="Source"/>
      <sheetName val="임대료산정(자동계산)"/>
      <sheetName val="간접경상비"/>
      <sheetName val="リスト"/>
      <sheetName val="공사개요"/>
      <sheetName val="설직재-1"/>
      <sheetName val="효용적수"/>
      <sheetName val="관리부동산 목록"/>
      <sheetName val="S&amp;R"/>
      <sheetName val="tsuga"/>
      <sheetName val="현장"/>
      <sheetName val="범어"/>
      <sheetName val="조직및_인원계획1"/>
      <sheetName val="견적내역-미화_(2)1"/>
      <sheetName val="견적내역-보안_(2)1"/>
      <sheetName val="_토목_처리장도급내역서_"/>
      <sheetName val="1_Cash_Flow_Analysis"/>
      <sheetName val="7_(2)"/>
      <sheetName val="2_Summary-cash"/>
      <sheetName val="산업은행_경영지표"/>
      <sheetName val="Cash_Flow"/>
      <sheetName val="관리부동산_목록"/>
      <sheetName val="명세"/>
      <sheetName val="Convert"/>
      <sheetName val="첨부1"/>
      <sheetName val="FX Rates"/>
      <sheetName val="이익잉여금처분계산서"/>
      <sheetName val="재무상태변동표"/>
      <sheetName val="제조원가명세서"/>
      <sheetName val="현금흐름표"/>
      <sheetName val="종합"/>
      <sheetName val="업무용유지비실적"/>
      <sheetName val="리츠"/>
      <sheetName val="대림경상68억"/>
      <sheetName val="DATA"/>
      <sheetName val="2.대외공문"/>
      <sheetName val="임대현황"/>
      <sheetName val="로담코총괄제안견적3"/>
      <sheetName val="3.총괄_Fund"/>
      <sheetName val="Template"/>
      <sheetName val="주차"/>
      <sheetName val="불법주정차"/>
      <sheetName val="받을어음"/>
      <sheetName val="Initial Input Variable"/>
      <sheetName val="Development"/>
      <sheetName val="Income"/>
      <sheetName val="Total"/>
      <sheetName val="인원계획_미화"/>
      <sheetName val="001"/>
      <sheetName val="Assumptions"/>
      <sheetName val="Customer Databas"/>
      <sheetName val="MOTOR"/>
      <sheetName val="일위대가목차"/>
      <sheetName val="Instructions"/>
      <sheetName val="ASP"/>
      <sheetName val="Initial_Input_Variable"/>
      <sheetName val="Customer_Databas"/>
      <sheetName val="Budget 2005(DW)"/>
      <sheetName val="Area"/>
      <sheetName val="2. Summary-cash"/>
      <sheetName val="Summary"/>
      <sheetName val="예산(한화)"/>
      <sheetName val="Front Cover"/>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Expense Schedule (4)"/>
      <sheetName val="D1300 자삽"/>
      <sheetName val="Journal"/>
      <sheetName val="1.0"/>
      <sheetName val="상품입고집계"/>
      <sheetName val="データ"/>
      <sheetName val="시나리오"/>
      <sheetName val="상가매매0115"/>
      <sheetName val="상가임대0115"/>
      <sheetName val="토지가격산출기초"/>
      <sheetName val="공시지가"/>
      <sheetName val="Data Sheet"/>
      <sheetName val="Valuation"/>
      <sheetName val="차액보증"/>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Front_Cover"/>
      <sheetName val="시설장비"/>
      <sheetName val="지분법(AK) (2)"/>
      <sheetName val="한일자야(감액손실) (2)"/>
      <sheetName val="부관맨홀조서"/>
      <sheetName val="대차대조표"/>
      <sheetName val="2공구산출내역"/>
      <sheetName val="Data&amp;Result"/>
      <sheetName val="현금"/>
      <sheetName val="현금흐름Ⅰ"/>
      <sheetName val="전체손익"/>
      <sheetName val="LIST"/>
      <sheetName val="管理見積(ｶﾅｻﾞﾜ)"/>
      <sheetName val="요율"/>
      <sheetName val="기준정보"/>
      <sheetName val="목록"/>
      <sheetName val="중기"/>
      <sheetName val="1ST"/>
      <sheetName val="controll"/>
      <sheetName val="가격표"/>
      <sheetName val="VA요약(가정 및 배당)"/>
      <sheetName val="건물대사"/>
      <sheetName val="공통"/>
      <sheetName val="소비자가"/>
      <sheetName val="99판매상세"/>
      <sheetName val="nr030112"/>
      <sheetName val="제품수불"/>
      <sheetName val="0103"/>
      <sheetName val="현장관리비"/>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점코드"/>
      <sheetName val="산수(hd-0)"/>
      <sheetName val="산수(hd-1)"/>
      <sheetName val="인건비"/>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3.빌딩손익_6년차"/>
      <sheetName val="3.4.수도광열비"/>
      <sheetName val="내역서"/>
      <sheetName val="서식시트"/>
      <sheetName val="101동"/>
      <sheetName val="손익"/>
      <sheetName val="일위대가목록"/>
      <sheetName val="Customer_Databas1"/>
      <sheetName val="Initial_Input_Variable1"/>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공사설계서"/>
      <sheetName val="기본사항"/>
      <sheetName val="07-Bud"/>
      <sheetName val="부동산세금"/>
      <sheetName val="Front_Cover1"/>
      <sheetName val="지분법(AK)_(2)"/>
      <sheetName val="한일자야(감액손실)_(2)"/>
      <sheetName val="영업_일1"/>
      <sheetName val="10월_(2)"/>
      <sheetName val="Facility_Information"/>
      <sheetName val="백호우계수"/>
      <sheetName val="유림골조"/>
      <sheetName val="한국오키"/>
      <sheetName val="노임"/>
      <sheetName val="유가증권미수"/>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갑지(추정)"/>
      <sheetName val="분당임차변경"/>
      <sheetName val="Sheet11"/>
      <sheetName val="직노"/>
      <sheetName val="수목단가"/>
      <sheetName val="자재단가"/>
      <sheetName val="노임단가"/>
      <sheetName val="Work"/>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범용개발순소요비용"/>
      <sheetName val="JUCKEYK"/>
      <sheetName val="이익영"/>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_토목_처리장도급내역서_1"/>
      <sheetName val="7_(2)1"/>
      <sheetName val="1_Cash_Flow_Analysis1"/>
      <sheetName val="2_Summary-cash1"/>
      <sheetName val="산업은행_경영지표1"/>
      <sheetName val="Cash_Flow1"/>
      <sheetName val="관리부동산_목록1"/>
      <sheetName val="2_대외공문"/>
      <sheetName val="3_총괄_Fund"/>
      <sheetName val="20관리비율"/>
      <sheetName val="CASHFLOW"/>
      <sheetName val="ARDEBT"/>
      <sheetName val="Deal Assumptions"/>
      <sheetName val="Köpfe"/>
      <sheetName val="15"/>
      <sheetName val="실행내역"/>
      <sheetName val="조사번호"/>
      <sheetName val="원가서"/>
      <sheetName val="conclusion"/>
      <sheetName val="결정단가"/>
      <sheetName val="comparables"/>
      <sheetName val="Deduction"/>
      <sheetName val="other"/>
      <sheetName val="Cash receipt"/>
      <sheetName val="대비"/>
      <sheetName val="Calendar"/>
      <sheetName val="자료"/>
      <sheetName val="2003정규직(1년이상)"/>
      <sheetName val="영업.일"/>
      <sheetName val="Initial_Input_Variable2"/>
      <sheetName val="Customer_Databas2"/>
      <sheetName val="Budget_2005(DW)1"/>
      <sheetName val="2__Summary-cash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준공내역(을)"/>
      <sheetName val="CA"/>
      <sheetName val="금융"/>
      <sheetName val="은행"/>
      <sheetName val="리스"/>
      <sheetName val="보험"/>
      <sheetName val="Funding"/>
      <sheetName val="CF(M)"/>
      <sheetName val="IS(FY)"/>
      <sheetName val="ﾘｽﾄ"/>
      <sheetName val="準備ｼｰﾄ"/>
      <sheetName val="Inve. &amp; Income Assum."/>
      <sheetName val="세목별"/>
      <sheetName val="Front_Cover2"/>
      <sheetName val="지분법(AK)_(2)1"/>
      <sheetName val="한일자야(감액손실)_(2)1"/>
      <sheetName val="영업_일11"/>
      <sheetName val="10월_(2)1"/>
      <sheetName val="Facility_Information1"/>
      <sheetName val="조직도 빽업"/>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DB"/>
      <sheetName val="손익계산서(管理)"/>
      <sheetName val="직재"/>
      <sheetName val="재집"/>
      <sheetName val="3-4현"/>
      <sheetName val="3-3현"/>
      <sheetName val="Menu_Link"/>
      <sheetName val="근린생활"/>
      <sheetName val="I一般比"/>
      <sheetName val="일위"/>
      <sheetName val="전선_및_전선관"/>
      <sheetName val="Tier 1"/>
      <sheetName val="PLD"/>
      <sheetName val="COVER"/>
      <sheetName val="수량계산"/>
      <sheetName val="일위산출"/>
      <sheetName val="CF Case1(메인)"/>
      <sheetName val="영업사양"/>
      <sheetName val="DATE"/>
      <sheetName val="조사자료"/>
      <sheetName val="스포회원매출"/>
      <sheetName val="순수통장"/>
      <sheetName val="적립수신"/>
      <sheetName val="Rent(Old)"/>
      <sheetName val="작업본"/>
      <sheetName val="VA요약(가정_및_배당)1"/>
      <sheetName val="내역서_제출1"/>
      <sheetName val="MEMORY"/>
      <sheetName val="D01"/>
      <sheetName val="Utilities"/>
      <sheetName val="Utility Usage YTN TOWER"/>
      <sheetName val="간접재료비산출표-27-30"/>
      <sheetName val="을지"/>
      <sheetName val="비용자료"/>
      <sheetName val="비용예산자료"/>
      <sheetName val="수익자료"/>
      <sheetName val="수익예산자료"/>
      <sheetName val="제직재"/>
      <sheetName val="제-노임"/>
      <sheetName val="손익분석"/>
      <sheetName val="설계조건"/>
      <sheetName val="비용산식"/>
      <sheetName val="단가비교"/>
      <sheetName val="현금경비중역"/>
      <sheetName val="신상자료"/>
      <sheetName val="조사시트"/>
      <sheetName val="GAAP Pru"/>
      <sheetName val="Utility Usage엠닷컴 26"/>
      <sheetName val="현금흐름"/>
      <sheetName val="과"/>
      <sheetName val="기본가정"/>
      <sheetName val="총투자비"/>
      <sheetName val="총투자비(총괄)"/>
      <sheetName val="EACT10"/>
      <sheetName val="SRC-B3U2"/>
      <sheetName val="견적세부내역_보안미화_5%"/>
      <sheetName val="식재인부"/>
      <sheetName val="울산"/>
      <sheetName val="일반관리비"/>
      <sheetName val="집계표"/>
      <sheetName val="J直材4"/>
      <sheetName val="LANGUAGE"/>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10.익월 업무 계획-전기,방재"/>
      <sheetName val="base"/>
      <sheetName val="임대수익"/>
      <sheetName val="ASSUM"/>
      <sheetName val="프로젝트목록"/>
      <sheetName val="Current"/>
      <sheetName val="부하계산서"/>
      <sheetName val="Budget"/>
      <sheetName val="g. Rent Roll"/>
      <sheetName val="Label"/>
      <sheetName val="의뢰건 (2)"/>
      <sheetName val="Bilanz zum_06_12_30"/>
      <sheetName val="契約状況一覧"/>
      <sheetName val="物件概要"/>
      <sheetName val="定期巡回報告書"/>
      <sheetName val=" 目次"/>
      <sheetName val="Macro Codes"/>
      <sheetName val="도급자재"/>
      <sheetName val="その他ローン差額"/>
      <sheetName val="외주가공"/>
      <sheetName val="해외법인"/>
      <sheetName val="단가대비표"/>
      <sheetName val="'94자산"/>
      <sheetName val="충주"/>
      <sheetName val="PROJECT BRIEF"/>
      <sheetName val="일반변동비청구내역"/>
      <sheetName val="실비정산청구내역"/>
      <sheetName val="재정비직인"/>
      <sheetName val="재정비내역"/>
      <sheetName val="지적고시내역"/>
      <sheetName val="정화조동내역"/>
      <sheetName val="절대지우지말것"/>
      <sheetName val="연결임시"/>
      <sheetName val="기존단가 (2)"/>
      <sheetName val="임시"/>
      <sheetName val="기자재비"/>
      <sheetName val="일위대가(가설)"/>
      <sheetName val="lendor"/>
      <sheetName val="총사업비명세"/>
      <sheetName val="재무조건"/>
      <sheetName val="CF(양식23)"/>
      <sheetName val="차입금상환계획"/>
      <sheetName val="총투자비(총괄)재원조달"/>
      <sheetName val="10월"/>
      <sheetName val="Linelev4"/>
      <sheetName val="수입"/>
      <sheetName val="설치공사비"/>
      <sheetName val="당초"/>
      <sheetName val="lee"/>
      <sheetName val="집계표소트"/>
      <sheetName val="値付くん"/>
      <sheetName val="계산요약"/>
      <sheetName val="코드"/>
      <sheetName val="Import_FX"/>
      <sheetName val="공통부대비"/>
      <sheetName val="Gangbo"/>
      <sheetName val="간접비계산"/>
      <sheetName val="퇴직영수증"/>
      <sheetName val="하조서"/>
      <sheetName val="설치수량"/>
      <sheetName val="GenLedger_B沅ࡢ䠁魡_x0014__x0000_"/>
      <sheetName val="GenLedger_B샅&amp;_x0000__x0000_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sheetData sheetId="142" refreshError="1"/>
      <sheetData sheetId="143"/>
      <sheetData sheetId="144" refreshError="1"/>
      <sheetData sheetId="145" refreshError="1"/>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인원계획-미화"/>
      <sheetName val="Intro2"/>
      <sheetName val="Id"/>
      <sheetName val="리츠"/>
      <sheetName val="이자율"/>
      <sheetName val="1Month+Sheet2!"/>
      <sheetName val="수지차(년)"/>
      <sheetName val="Parameter"/>
      <sheetName val="98지급계획"/>
      <sheetName val="賃料等一覧"/>
      <sheetName val="3본사"/>
      <sheetName val="품셈TABLE"/>
      <sheetName val="경율산정.XLS"/>
      <sheetName val="Initial Input Variable"/>
      <sheetName val="Area"/>
      <sheetName val="Budget 2005(DW)"/>
      <sheetName val="Assumptions"/>
      <sheetName val="노임이"/>
      <sheetName val="Sheet1"/>
      <sheetName val="익월작업계힉"/>
      <sheetName val="주요기준"/>
      <sheetName val="산업은행 경영지표"/>
      <sheetName val="국내"/>
      <sheetName val="총무팀"/>
      <sheetName val="마포-임현"/>
      <sheetName val="재무가정"/>
      <sheetName val="회사정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15.Op. Activities"/>
      <sheetName val="Situation"/>
      <sheetName val="SLIDES"/>
      <sheetName val="Cash Flow"/>
      <sheetName val="Source"/>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0.0ControlSheet"/>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Balance"/>
      <sheetName val="P &amp;L"/>
      <sheetName val="PROJECT BRIEF(EX.NEW)"/>
      <sheetName val="2. Summary-cash"/>
      <sheetName val="OPREV(대한)"/>
      <sheetName val="Template"/>
      <sheetName val="붙임2-1  지급조서명세서(2001년분)"/>
      <sheetName val="목록"/>
      <sheetName val="중기"/>
      <sheetName val="상가매매0115"/>
      <sheetName val="상가임대0115"/>
      <sheetName val="업무용유지비실적"/>
      <sheetName val="1ST"/>
      <sheetName val="내역"/>
      <sheetName val="10월 급여"/>
      <sheetName val="주요가정"/>
      <sheetName val="민감도"/>
      <sheetName val="붙임2-1__지급조서명세서(2001년분)"/>
      <sheetName val="01AC"/>
      <sheetName val="Frame"/>
      <sheetName val="평당가_매매_유형별"/>
      <sheetName val="일위대가"/>
      <sheetName val="공사별5"/>
      <sheetName val="빌딩코드"/>
      <sheetName val="건재양식"/>
      <sheetName val="설-원가"/>
      <sheetName val="설치자재"/>
      <sheetName val="단중"/>
      <sheetName val="실행내역"/>
      <sheetName val="2004SS"/>
      <sheetName val="2004CJ"/>
      <sheetName val="경율산정_XLS"/>
      <sheetName val="Initial_Input_Variable"/>
      <sheetName val="Budget_2005(DW)"/>
      <sheetName val="산업은행_경영지표"/>
      <sheetName val="S&amp;R"/>
      <sheetName val="1.표지"/>
      <sheetName val="tsuga"/>
      <sheetName val="단가"/>
      <sheetName val="설 계"/>
      <sheetName val="효용적수"/>
      <sheetName val="リスト"/>
      <sheetName val="원본"/>
      <sheetName val="인테리어견적(내역서)"/>
      <sheetName val="하자 Check"/>
      <sheetName val="산출내역서"/>
      <sheetName val="DATA"/>
      <sheetName val="설계"/>
      <sheetName val="Valuation"/>
      <sheetName val="설치공사비"/>
      <sheetName val="Assumption"/>
      <sheetName val="임대료산정(자동계산)"/>
      <sheetName val="업무분장 "/>
      <sheetName val="경율산정_XLS1"/>
      <sheetName val="Initial_Input_Variable1"/>
      <sheetName val="Budget_2005(DW)1"/>
      <sheetName val="산업은행_경영지표1"/>
      <sheetName val="1_표지"/>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I__Assumptions1"/>
      <sheetName val="15_Op__Activities1"/>
      <sheetName val="Cash_Flow1"/>
      <sheetName val="0_0ControlSheet"/>
      <sheetName val="Sheet1_(2)"/>
      <sheetName val="Ext__Stone-P"/>
      <sheetName val="P_&amp;L"/>
      <sheetName val="PROJECT_BRIEF(EX_NEW)"/>
      <sheetName val="2__Summary-cash"/>
      <sheetName val="붙임2-1__지급조서명세서(2001년분)1"/>
      <sheetName val="10월_급여"/>
      <sheetName val="설_계"/>
      <sheetName val="설직재-1"/>
      <sheetName val="이우(hd)"/>
      <sheetName val="조건"/>
      <sheetName val="K-4A"/>
      <sheetName val="K-4C"/>
      <sheetName val="K-4K"/>
      <sheetName val="K-4L"/>
      <sheetName val="K-4F"/>
      <sheetName val="K-4I"/>
      <sheetName val="K-4H"/>
      <sheetName val="K-4D"/>
      <sheetName val="K-4E"/>
      <sheetName val="K-4B"/>
      <sheetName val="K-4J"/>
      <sheetName val="1월"/>
      <sheetName val="받을어음"/>
      <sheetName val="BID"/>
      <sheetName val="실행철강하도"/>
      <sheetName val="Pricing"/>
      <sheetName val="Debt Service Schedule"/>
      <sheetName val="Sales Proceeds"/>
      <sheetName val="Fin_Assumption"/>
      <sheetName val="건축내역"/>
      <sheetName val="マスタ"/>
      <sheetName val="품목"/>
      <sheetName val="anaysis_sheet"/>
      <sheetName val="Sheet2"/>
      <sheetName val="BSLA"/>
      <sheetName val="2.주요계수총괄"/>
      <sheetName val="בית השקעות"/>
      <sheetName val="내역서"/>
      <sheetName val="I. Assump"/>
      <sheetName val="CostData"/>
      <sheetName val="IncomeData"/>
      <sheetName val="Summary"/>
      <sheetName val="PropertyData"/>
      <sheetName val="지분법(지분수정전)"/>
      <sheetName val="Building 1"/>
      <sheetName val="Acquisition Costs- Base Case"/>
      <sheetName val="CASHFLOW"/>
      <sheetName val="BSD (2)"/>
      <sheetName val="ADJ - RATE"/>
      <sheetName val="시설장비"/>
      <sheetName val="인트라넷시스템근거"/>
      <sheetName val="Reversion Calcs"/>
      <sheetName val="Setup"/>
      <sheetName val="Sensitivity Analysis"/>
      <sheetName val="yakumo"/>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Quality"/>
      <sheetName val="People"/>
      <sheetName val="Risk"/>
      <sheetName val="Training"/>
      <sheetName val="General"/>
      <sheetName val="Instructions"/>
      <sheetName val="結果（２年後１億円振り替え）"/>
      <sheetName val="Summary-P"/>
      <sheetName val="BASE P.L OWNER"/>
      <sheetName val="INVEST CALC"/>
      <sheetName val="2000.05"/>
      <sheetName val="지출일정(4)"/>
      <sheetName val="별제권_정리담보권1"/>
      <sheetName val="I. Assumption"/>
      <sheetName val="Ⅲ.CF_5yr_Qtr"/>
      <sheetName val="Dental City 가정"/>
      <sheetName val="상환계획(선순위)(Q)"/>
      <sheetName val="요약&amp;결과"/>
      <sheetName val="단기차입금(200006)"/>
      <sheetName val="본관내역서"/>
      <sheetName val="MEM수율입고"/>
      <sheetName val="해외세목"/>
      <sheetName val="상세내역"/>
      <sheetName val="CHECK LIST"/>
      <sheetName val="YTD"/>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Building_1"/>
      <sheetName val="Acquisition_Costs-_Base_Case"/>
      <sheetName val="Tenants"/>
      <sheetName val="Data(인원)"/>
      <sheetName val="0.1keyAssumption"/>
      <sheetName val="등록자료"/>
      <sheetName val="Data&amp;Result"/>
      <sheetName val="차수"/>
      <sheetName val="일위대가(가설)"/>
      <sheetName val="철탑공사"/>
      <sheetName val="명단"/>
      <sheetName val="2.Summary-cash"/>
      <sheetName val="점수계산1-2"/>
      <sheetName val="energy 8.18"/>
      <sheetName val="Facility Information"/>
      <sheetName val="ROE(FI)"/>
      <sheetName val="총투자비산정"/>
      <sheetName val="기본가정"/>
      <sheetName val="총투자비"/>
      <sheetName val="@RISK Correlations"/>
      <sheetName val="급여대장(관리)"/>
      <sheetName val="예산(한화)"/>
      <sheetName val="COVERSHEET"/>
      <sheetName val="MGT OFFICE"/>
      <sheetName val="g. Rent Roll"/>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현장"/>
      <sheetName val="공사기성"/>
      <sheetName val="Cover Sheet"/>
      <sheetName val="Property Information Summary"/>
      <sheetName val="Sys Config"/>
      <sheetName val="총괄표"/>
      <sheetName val="Cash Flow "/>
      <sheetName val="지장물"/>
      <sheetName val="점별(추정)"/>
      <sheetName val="일위_파일"/>
      <sheetName val="자재(원원+원대)"/>
      <sheetName val="day"/>
      <sheetName val="DB구축"/>
      <sheetName val="I__Assump"/>
      <sheetName val="Rent_Roll"/>
      <sheetName val="N賃率-職"/>
      <sheetName val="入力用(家賃)"/>
      <sheetName val="入力用(駐車)"/>
      <sheetName val="Budget 2004(DW)"/>
      <sheetName val="분양금할인"/>
      <sheetName val="산수(hd-0)"/>
      <sheetName val="산수(hd-1)"/>
      <sheetName val="Calendar"/>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실행예산"/>
      <sheetName val="일반관리비"/>
      <sheetName val="완성차 미수금"/>
      <sheetName val="D01"/>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Sheet1_(2)1"/>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Utility Usage YTN TOWER"/>
      <sheetName val="준공내역(을)"/>
      <sheetName val="건물대사"/>
      <sheetName val="Ⅰ-3.1"/>
      <sheetName val="Rent Roll_py"/>
      <sheetName val="인건비"/>
      <sheetName val="급여표"/>
      <sheetName val="호텔부담분 산정식"/>
      <sheetName val="요율"/>
      <sheetName val="2001년12월"/>
      <sheetName val="base"/>
      <sheetName val="9-1차이내역"/>
      <sheetName val="Project Brief"/>
      <sheetName val=" 견적서"/>
      <sheetName val="공사현황"/>
      <sheetName val="주관사업"/>
      <sheetName val="기준자료"/>
      <sheetName val="g__Rent_Roll"/>
      <sheetName val="GAAP Pru"/>
      <sheetName val="2016년07월"/>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공통"/>
      <sheetName val="최종"/>
      <sheetName val="Data Sheet"/>
      <sheetName val="광-단가"/>
      <sheetName val="대-단가"/>
      <sheetName val="시설총괄"/>
      <sheetName val="분석통계"/>
      <sheetName val="CodeTable"/>
      <sheetName val="위치조서"/>
      <sheetName val="2000전체분"/>
      <sheetName val="2000년1차"/>
      <sheetName val="comparables"/>
      <sheetName val="Deduction"/>
      <sheetName val="other"/>
      <sheetName val="conclusion"/>
      <sheetName val="결정단가"/>
      <sheetName val="XXXXXXXX"/>
      <sheetName val="Budget"/>
      <sheetName val="Ex_-_FRFsp"/>
      <sheetName val="Price_Level"/>
      <sheetName val="2_Summary-cash"/>
      <sheetName val="예총"/>
      <sheetName val="경상비내역"/>
      <sheetName val="Utility Usage 한솔엠닷컴"/>
      <sheetName val="FS"/>
      <sheetName val="Basic_Information"/>
      <sheetName val="Cases"/>
      <sheetName val="Control Page"/>
      <sheetName val="DCF Input"/>
      <sheetName val="Earnings"/>
      <sheetName val="퇴직금추계ot"/>
      <sheetName val="식음료"/>
      <sheetName val="Code"/>
      <sheetName val="#5"/>
      <sheetName val="#3"/>
      <sheetName val="ASP"/>
      <sheetName val="위스키3"/>
      <sheetName val="주류전체2"/>
      <sheetName val="부문손익"/>
      <sheetName val="ｸﾚｰﾑﾘｽﾄ"/>
      <sheetName val="내역서(갑지)"/>
      <sheetName val="부서실적"/>
      <sheetName val="명세참조"/>
      <sheetName val="12.수도광열비"/>
      <sheetName val="Operational Activities"/>
      <sheetName val="RECIEPT&amp;PAYMENT"/>
      <sheetName val="WREK자산임대현황-1(2월06일) "/>
      <sheetName val="집계표"/>
      <sheetName val="Macro Codes"/>
      <sheetName val="App7.0"/>
      <sheetName val="유동자산"/>
      <sheetName val="본부별매출"/>
      <sheetName val="97년추정손익계산서"/>
      <sheetName val="도급FORM"/>
      <sheetName val="전선 및 전선관"/>
      <sheetName val="RM목표&amp;실적"/>
      <sheetName val="물량"/>
      <sheetName val="2015년11월"/>
      <sheetName val="디앤엠3월+연말"/>
      <sheetName val="pivot"/>
      <sheetName val="연결임시"/>
      <sheetName val="이익잉여금처분계산서"/>
      <sheetName val="재무상태변동표"/>
      <sheetName val="제조원가명세서"/>
      <sheetName val="현금흐름표"/>
      <sheetName val="투찰(하수)"/>
      <sheetName val="손익계산서"/>
      <sheetName val="値付くん"/>
      <sheetName val="Cash receipt"/>
      <sheetName val="管理見積(ｶﾅｻﾞﾜ)"/>
      <sheetName val="wall"/>
      <sheetName val="Front"/>
      <sheetName val="기계경비(시간당)"/>
      <sheetName val="램머"/>
      <sheetName val="현금흐름"/>
      <sheetName val="인사자료총집계"/>
      <sheetName val="Sensitivity_Analysi沅ࡢ"/>
      <sheetName val="Sensitivity_Analysi샅"/>
      <sheetName val="価格変動率"/>
      <sheetName val="관계회사거래내역및 채권채무잔액 99"/>
      <sheetName val="프랜트면허"/>
      <sheetName val="노임단가"/>
      <sheetName val="총괄"/>
      <sheetName val="SIMULATION"/>
      <sheetName val="SRC-B3U2"/>
      <sheetName val="대차,손익"/>
      <sheetName val="Menu"/>
      <sheetName val="NM-LEVMODEL"/>
      <sheetName val="LevModel"/>
      <sheetName val="NM-Financial"/>
      <sheetName val="Financial"/>
      <sheetName val="Rent Roll Summary"/>
      <sheetName val="Tax"/>
      <sheetName val="Cover"/>
      <sheetName val="CAPEX(3yrs)"/>
      <sheetName val="도급자재"/>
      <sheetName val="월별손익"/>
      <sheetName val="完了通知"/>
      <sheetName val="공제"/>
      <sheetName val="Leasing"/>
      <sheetName val="Disclosure"/>
      <sheetName val="Int-Invst"/>
      <sheetName val="수익률검증"/>
      <sheetName val="util"/>
      <sheetName val="자재단가"/>
      <sheetName val="단체(2)"/>
      <sheetName val="Daily Banking"/>
      <sheetName val="청구및회입"/>
      <sheetName val="수정시산표"/>
      <sheetName val="운용지시서"/>
      <sheetName val="BV BalSht"/>
      <sheetName val="BV CashFlow"/>
      <sheetName val="BV P&amp;L"/>
      <sheetName val="GenLedger BalSht"/>
      <sheetName val="GenLedger P&amp;L"/>
      <sheetName val="신상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인원계획-미화"/>
      <sheetName val="재무가정"/>
      <sheetName val="1Month+Sheet2!"/>
      <sheetName val="98지급계획"/>
      <sheetName val="Training"/>
      <sheetName val="총무팀"/>
      <sheetName val="마포-임현"/>
      <sheetName val="3본사"/>
      <sheetName val="VA요약(가정 및 배당)"/>
      <sheetName val="국내"/>
      <sheetName val="Sheet1"/>
      <sheetName val="PROJECT BRIEF(EX.NEW)"/>
      <sheetName val="Elemental Breakdown-Original"/>
      <sheetName val="Assumptions"/>
      <sheetName val="PJ_Import"/>
      <sheetName val="Prop_Summary"/>
      <sheetName val="I. Assumptions"/>
      <sheetName val="완성차 미수금"/>
      <sheetName val="Sheet5"/>
      <sheetName val="Area"/>
      <sheetName val="Situation"/>
      <sheetName val="Ext. Stone-P"/>
      <sheetName val="15.Op. Activities"/>
      <sheetName val="13.Op. Activities"/>
      <sheetName val="한국중공업보안"/>
      <sheetName val="Balance"/>
      <sheetName val="DETBIL"/>
      <sheetName val="9-1차이내역"/>
      <sheetName val="General"/>
      <sheetName val="조명율표"/>
      <sheetName val="Prices"/>
      <sheetName val="Basic_Information"/>
      <sheetName val="Cash Flow"/>
      <sheetName val="Source"/>
      <sheetName val="Variable"/>
      <sheetName val="2.Summary-cash"/>
      <sheetName val="Sheet2"/>
      <sheetName val="Total-STALLION"/>
      <sheetName val="PROJECT_BRIEF(EX_NEW)"/>
      <sheetName val="Elemental_Breakdown-Original"/>
      <sheetName val="I__Assumptions"/>
      <sheetName val="완성차_미수금"/>
      <sheetName val="Ext__Stone-P"/>
      <sheetName val="15_Op__Activities"/>
      <sheetName val="13_Op__Activities"/>
      <sheetName val="Master Sheet"/>
      <sheetName val="C_Sum(2)"/>
      <sheetName val="P1 Br Overall KPI"/>
      <sheetName val="yakumo"/>
      <sheetName val="내역"/>
      <sheetName val="2.주요계수총괄"/>
      <sheetName val="Intro2"/>
      <sheetName val="Id"/>
      <sheetName val="VA요약(가정_및_배당)"/>
      <sheetName val="수지차(년)"/>
      <sheetName val="이익잉여금처분계산서"/>
      <sheetName val="재무상태변동표"/>
      <sheetName val="제조원가명세서"/>
      <sheetName val="현금흐름표"/>
      <sheetName val="Budget 2005(DW)"/>
      <sheetName val="이자율"/>
      <sheetName val="익월작업계힉"/>
      <sheetName val="목록"/>
      <sheetName val="중기"/>
      <sheetName val="Sales"/>
      <sheetName val="APOD"/>
      <sheetName val="BP Summary"/>
      <sheetName val="Initial Input Variable"/>
      <sheetName val="간선계산"/>
      <sheetName val="Fin_Assumption"/>
      <sheetName val="anaysis_sheet"/>
      <sheetName val="Data(인원)"/>
      <sheetName val="2004SS"/>
      <sheetName val="2004CJ"/>
      <sheetName val="RBFC-BS"/>
      <sheetName val="S&amp;R"/>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マスタ"/>
      <sheetName val="Facility Information"/>
      <sheetName val="Risk"/>
      <sheetName val="People"/>
      <sheetName val="Instructions"/>
      <sheetName val="Quality"/>
      <sheetName val="BP_Summary"/>
      <sheetName val="2_주요계수총괄"/>
      <sheetName val="Initial_Input_Variable"/>
      <sheetName val="내역서"/>
      <sheetName val="2__Summary-cash"/>
      <sheetName val="2000_05"/>
      <sheetName val="Simulation"/>
      <sheetName val="남양시작동자105노65기1.3화1.2"/>
      <sheetName val="1"/>
      <sheetName val="energy 7.15"/>
      <sheetName val="ROE(FI)"/>
      <sheetName val="총투자비산정"/>
      <sheetName val="기본가정"/>
      <sheetName val="총투자비"/>
      <sheetName val="요약&amp;결과"/>
      <sheetName val="총투자비(총괄)"/>
      <sheetName val="TOT"/>
      <sheetName val="차수"/>
      <sheetName val="2002.1~2003.10월(1)"/>
      <sheetName val="설직재-1"/>
      <sheetName val="수입"/>
      <sheetName val="내역서(갑지)"/>
      <sheetName val="시화점실행"/>
      <sheetName val="97계획(96.11"/>
      <sheetName val="실행철강하도"/>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YOEMAGUM"/>
      <sheetName val="Rückstände-rent arrears"/>
      <sheetName val="BID"/>
      <sheetName val="지급어음(일별)"/>
      <sheetName val="식음료"/>
      <sheetName val="현장"/>
      <sheetName val="출자한도"/>
      <sheetName val="Template"/>
      <sheetName val="단기차입금(200006)"/>
      <sheetName val="OPREV(대한)"/>
      <sheetName val="#REF"/>
      <sheetName val="설 계"/>
      <sheetName val="설계"/>
      <sheetName val="품셈TABLE"/>
      <sheetName val="접속도로1"/>
      <sheetName val="Assumption"/>
      <sheetName val="임대료산정(자동계산)"/>
      <sheetName val="산업은행 경영지표"/>
      <sheetName val="CostApp."/>
      <sheetName val="Lookup"/>
      <sheetName val="RM목표&amp;실적"/>
      <sheetName val="VA요약(가정_및_배당)1"/>
      <sheetName val="Secured Master"/>
      <sheetName val="SRC-B3U2"/>
      <sheetName val="차액보증"/>
      <sheetName val="한국중공업보안.XLS"/>
      <sheetName val="%ED%95%9C%EA%B5%AD%EC%A4%91%EA%"/>
      <sheetName val="Foreclosure"/>
      <sheetName val="노임단가"/>
      <sheetName val="단가조사"/>
      <sheetName val="연습"/>
      <sheetName val="매출"/>
      <sheetName val="1.0"/>
      <sheetName val="Current"/>
      <sheetName val="CostData"/>
      <sheetName val="IncomeData"/>
      <sheetName val="Summary"/>
      <sheetName val="PropertyData"/>
      <sheetName val="CAP EXP"/>
      <sheetName val="MOTOR"/>
      <sheetName val="XLUTIL"/>
      <sheetName val="PROJECT_BRIEF(EX_NEW)2"/>
      <sheetName val="I__Assumptions2"/>
      <sheetName val="Elemental_Breakdown-Original2"/>
      <sheetName val="Ext__Stone-P2"/>
      <sheetName val="완성차_미수금2"/>
      <sheetName val="15_Op__Activities2"/>
      <sheetName val="13_Op__Activities2"/>
      <sheetName val="2_Summary-cash1"/>
      <sheetName val="Master_Sheet1"/>
      <sheetName val="P1_Br_Overall_KPI1"/>
      <sheetName val="Cash_Flow1"/>
      <sheetName val="BP_Summary1"/>
      <sheetName val="2_주요계수총괄1"/>
      <sheetName val="Initial_Input_Variable1"/>
      <sheetName val="2000_051"/>
      <sheetName val="2__Summary-cash1"/>
      <sheetName val="Facility_Information"/>
      <sheetName val="energy_7_15"/>
      <sheetName val="남양시작동자105노65기1_3화1_2"/>
      <sheetName val="2002_1~2003_10월(1)"/>
      <sheetName val="지수"/>
      <sheetName val="N賃率-職"/>
      <sheetName val="준공내역(을)"/>
      <sheetName val="OHU"/>
      <sheetName val="민감도"/>
      <sheetName val="품종별월계"/>
      <sheetName val="GenLedger BalSht"/>
      <sheetName val="지급보증금74"/>
      <sheetName val="부대대비"/>
      <sheetName val="냉연집계"/>
      <sheetName val="Budget 2004(DW)"/>
      <sheetName val="공용시설내역"/>
      <sheetName val="주차"/>
      <sheetName val="신우"/>
      <sheetName val="'94자산"/>
      <sheetName val="인원"/>
      <sheetName val="공통"/>
      <sheetName val="10월 (2)"/>
      <sheetName val="종합-임현"/>
      <sheetName val="2분기 체크리스트.xlsx"/>
      <sheetName val="Section 1.3"/>
      <sheetName val="INMD1198"/>
      <sheetName val="Control"/>
      <sheetName val="Cover"/>
      <sheetName val="5.2-1Tenancy Schedule "/>
      <sheetName val="회사정보"/>
      <sheetName val="1.표지"/>
      <sheetName val="현금흐름"/>
      <sheetName val="CodeTable"/>
      <sheetName val="교각1"/>
      <sheetName val="Data&amp;Result"/>
      <sheetName val="건물대사"/>
      <sheetName val="구분"/>
      <sheetName val="일위대가"/>
      <sheetName val="전신환매도율"/>
      <sheetName val="원효펌프교체020812"/>
      <sheetName val="2002매출"/>
      <sheetName val="963인원"/>
      <sheetName val="손익계산"/>
      <sheetName val="자재단가비교표"/>
      <sheetName val="OO사옥 청소"/>
      <sheetName val="OO사옥 경비"/>
      <sheetName val="OO사옥 주차"/>
      <sheetName val="1ST"/>
      <sheetName val="213"/>
      <sheetName val="여과지동"/>
      <sheetName val="기초자료"/>
      <sheetName val="노임이"/>
      <sheetName val="Summery"/>
      <sheetName val="1 Cash Flow Analysis"/>
      <sheetName val="정부노임단가"/>
      <sheetName val="FX Rates"/>
      <sheetName val="賃料等一覧"/>
      <sheetName val="학교기부"/>
      <sheetName val="직접인원"/>
      <sheetName val="J直材4"/>
      <sheetName val="참조2"/>
      <sheetName val="종합"/>
      <sheetName val="입력변수"/>
      <sheetName val="효용적수"/>
      <sheetName val="설치공사비"/>
      <sheetName val="공정"/>
      <sheetName val="본관내역서"/>
      <sheetName val="평자재단가"/>
      <sheetName val="신상자료"/>
      <sheetName val="Reversion Calcs"/>
      <sheetName val="Setup"/>
      <sheetName val="Sensitivity Analysis"/>
      <sheetName val="ｸﾚｰﾑﾘｽﾄ"/>
      <sheetName val="k"/>
      <sheetName val="Prop"/>
      <sheetName val="갑지(추정)"/>
      <sheetName val="GAEYO"/>
      <sheetName val="1_0"/>
      <sheetName val="CostApp_"/>
      <sheetName val="CAP_EXP"/>
      <sheetName val="Secured_Master"/>
      <sheetName val="Sensitivity"/>
      <sheetName val="옥외외등집계표"/>
      <sheetName val="인테리어견적(내역서)"/>
      <sheetName val="경율산정.XLS"/>
      <sheetName val="Cash receipt"/>
      <sheetName val="시설총괄"/>
      <sheetName val="빌딩코드"/>
      <sheetName val="Collateral"/>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인원계획-미화"/>
      <sheetName val="Area"/>
      <sheetName val="1Month+Sheet2!"/>
      <sheetName val="Training"/>
      <sheetName val="총무팀"/>
      <sheetName val="마포-임현"/>
      <sheetName val="98지급계획"/>
      <sheetName val="3본사"/>
      <sheetName val="Customer Databas"/>
      <sheetName val="Input Screen"/>
      <sheetName val="Operational Activities"/>
      <sheetName val="내역"/>
      <sheetName val="요약BS"/>
      <sheetName val="상가매매0115"/>
      <sheetName val="상가임대0115"/>
      <sheetName val="익월작업계힉"/>
      <sheetName val="국내"/>
      <sheetName val="CostApp."/>
      <sheetName val="Lookup"/>
      <sheetName val="95WBS"/>
      <sheetName val="0.1keyAssumption"/>
      <sheetName val="0.0ControlSheet"/>
      <sheetName val="賃料等一覧"/>
      <sheetName val="10. 임차사 재무건전성 분석"/>
      <sheetName val="품셈TABLE"/>
      <sheetName val="Budget을 위한 SAC사업분석- 작업중"/>
      <sheetName val="Assumption"/>
      <sheetName val="임대료산정(자동계산)"/>
      <sheetName val="VA요약(가정 및 배당)"/>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Budget을_위한_SAC사업분석-_작업중"/>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업무용유지비실적"/>
      <sheetName val="목록"/>
      <sheetName val="중기"/>
      <sheetName val="설-원가"/>
      <sheetName val="설치자재"/>
      <sheetName val="단중"/>
      <sheetName val="MOTOR"/>
      <sheetName val="간접비계산"/>
      <sheetName val="GenLedger BalSht"/>
      <sheetName val="차액보증"/>
      <sheetName val="XLUTIL"/>
      <sheetName val="CostApp_"/>
      <sheetName val="0_1keyAssumption"/>
      <sheetName val="0_0ControlSheet"/>
      <sheetName val="Data Sheet"/>
      <sheetName val="빌딩코드"/>
      <sheetName val="anaysis_sheet"/>
      <sheetName val="Global Assumption"/>
      <sheetName val="Total"/>
      <sheetName val="Template"/>
      <sheetName val="CostApp_1"/>
      <sheetName val="0_1keyAssumption1"/>
      <sheetName val="0_0ControlSheet1"/>
      <sheetName val="GenLedger_BalSht"/>
      <sheetName val="리츠"/>
      <sheetName val="Assumptions"/>
      <sheetName val="이우(hd)"/>
      <sheetName val="견적기준"/>
      <sheetName val="RM목표&amp;실적"/>
      <sheetName val="2004SS"/>
      <sheetName val="2004CJ"/>
      <sheetName val="회사정보"/>
      <sheetName val="Daten_ME"/>
      <sheetName val="식재수량표"/>
      <sheetName val="수익률"/>
      <sheetName val="Sim"/>
      <sheetName val="가정 및 결과"/>
      <sheetName val="배당"/>
      <sheetName val="수익"/>
      <sheetName val="건재양식"/>
      <sheetName val="2월가격표"/>
      <sheetName val="Sheet5"/>
      <sheetName val="EQUIP-H"/>
      <sheetName val="@RISK Correlations"/>
      <sheetName val="수익01"/>
      <sheetName val="광주운남을"/>
      <sheetName val="수량산출서 (2)"/>
      <sheetName val="보일러"/>
      <sheetName val="RE9604"/>
      <sheetName val="Cost bd-&quot;A&quot;"/>
      <sheetName val="10__임차사_재무건전성_분석"/>
      <sheetName val="평자재단가"/>
      <sheetName val="CostApp_2"/>
      <sheetName val="0_1keyAssumption2"/>
      <sheetName val="0_0ControlSheet2"/>
      <sheetName val="Budget을_위한_SAC사업분석-_작업중1"/>
      <sheetName val="GenLedger_BalSht1"/>
      <sheetName val="Data_Sheet"/>
      <sheetName val="Global_Assumption"/>
      <sheetName val="이자율"/>
      <sheetName val="준공내역(을)"/>
      <sheetName val="수지차(년)"/>
      <sheetName val="Intro2"/>
      <sheetName val="현장"/>
      <sheetName val="1.표지"/>
      <sheetName val="실행내역"/>
      <sheetName val="이익잉여금처분계산서"/>
      <sheetName val="재무상태변동표"/>
      <sheetName val="제조원가명세서"/>
      <sheetName val="현금흐름표"/>
      <sheetName val="Parameter"/>
      <sheetName val="値付くん"/>
      <sheetName val="BID"/>
      <sheetName val="Cash Flow"/>
      <sheetName val="Source"/>
      <sheetName val="본관내역서"/>
      <sheetName val="서울경제 신문 1,500평.xlsx"/>
      <sheetName val="가정_및_결과"/>
      <sheetName val="Utility Usage엠닷컴 26"/>
      <sheetName val="Secured Master"/>
      <sheetName val="NH농협캐피탈_임,_관리비_수익추정_'14_05_~_'1"/>
      <sheetName val="Initial_Input_Variable"/>
      <sheetName val="Cash_Flows"/>
      <sheetName val="수량산출"/>
      <sheetName val="4-3. 냉수 사용량"/>
      <sheetName val="4-4. 온수 사용량"/>
      <sheetName val="4-5. 상하수도 사용량"/>
      <sheetName val="Foreclosure"/>
      <sheetName val="FCU (2)"/>
      <sheetName val="Collateral"/>
      <sheetName val="1"/>
      <sheetName val="賃貸条件"/>
      <sheetName val="転記用"/>
      <sheetName val="sheets"/>
      <sheetName val="Budget 2005(DW)"/>
      <sheetName val="1_當期시산표"/>
      <sheetName val="Utilities"/>
      <sheetName val="기본가정"/>
      <sheetName val="A1"/>
      <sheetName val="효용적수"/>
      <sheetName val="リスト"/>
      <sheetName val="지급어음(일별)"/>
      <sheetName val="N賃率-職"/>
      <sheetName val="수입"/>
      <sheetName val="설직재-1"/>
      <sheetName val="설 계"/>
      <sheetName val="급여대장"/>
      <sheetName val="Work"/>
      <sheetName val="확약서"/>
      <sheetName val="Replacement"/>
      <sheetName val="Rent Roll"/>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도급자재"/>
      <sheetName val="Construction"/>
      <sheetName val="INFO"/>
      <sheetName val="I一般比"/>
      <sheetName val="Lists"/>
      <sheetName val="2분기 체크리스트.xlsx"/>
      <sheetName val="데이타"/>
      <sheetName val="식재인부"/>
      <sheetName val="신상자료"/>
      <sheetName val="건물대사"/>
      <sheetName val="한일자야(감액손실) (2)"/>
      <sheetName val="입찰안"/>
    </sheetNames>
    <sheetDataSet>
      <sheetData sheetId="0">
        <row r="13">
          <cell r="H13">
            <v>37256</v>
          </cell>
        </row>
      </sheetData>
      <sheetData sheetId="1">
        <row r="13">
          <cell r="H13">
            <v>37256</v>
          </cell>
        </row>
      </sheetData>
      <sheetData sheetId="2"/>
      <sheetData sheetId="3"/>
      <sheetData sheetId="4"/>
      <sheetData sheetId="5">
        <row r="13">
          <cell r="H13">
            <v>37256</v>
          </cell>
        </row>
      </sheetData>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케이스표지"/>
      <sheetName val="결산보고서"/>
      <sheetName val="BS"/>
      <sheetName val="IS"/>
      <sheetName val="제조원가"/>
      <sheetName val="합계잔액"/>
      <sheetName val="data"/>
      <sheetName val="Index"/>
      <sheetName val="외화금융(97-03)"/>
      <sheetName val="인건비"/>
      <sheetName val="설계명세서(선로)"/>
      <sheetName val="분개장·원장"/>
      <sheetName val="Sheet1"/>
      <sheetName val="CODE"/>
      <sheetName val="Sheet2"/>
      <sheetName val="9906%20재무제표(상반기)"/>
      <sheetName val="조정전"/>
      <sheetName val="Config"/>
      <sheetName val="연평잔"/>
      <sheetName val="아이콘"/>
      <sheetName val="표지"/>
      <sheetName val="본사감가상각대장(비품)"/>
      <sheetName val="PL-누적"/>
      <sheetName val="시산표"/>
      <sheetName val="환율"/>
      <sheetName val="선급법인세 (2)"/>
      <sheetName val="BS-이연차수정"/>
      <sheetName val="PL-이연차수정"/>
      <sheetName val="PAJE"/>
      <sheetName val="PRJE"/>
      <sheetName val="99선급비용"/>
      <sheetName val="0096판보"/>
      <sheetName val="Usd"/>
      <sheetName val="원자재"/>
      <sheetName val="4.경비 5.영업외수지"/>
      <sheetName val="포장재"/>
      <sheetName val="TB(BS)"/>
      <sheetName val="TB(PL)"/>
      <sheetName val="Upgrades pricing"/>
      <sheetName val="이익잉여금처분계산서"/>
      <sheetName val="재무상태변동표"/>
      <sheetName val="제조원가명세서"/>
      <sheetName val="현금흐름표"/>
      <sheetName val="2.대외공문"/>
      <sheetName val="1data"/>
      <sheetName val="가공집계"/>
      <sheetName val="외주집계"/>
      <sheetName val="샘플,파지출고"/>
      <sheetName val="XREF"/>
      <sheetName val="정산표"/>
      <sheetName val="WACC"/>
      <sheetName val="영업점별목표산출"/>
      <sheetName val="투자예산"/>
      <sheetName val="발령"/>
      <sheetName val="채권"/>
      <sheetName val="배부전"/>
      <sheetName val="종합"/>
      <sheetName val="매각대상자산 청산가치"/>
      <sheetName val="물량투입계획"/>
      <sheetName val="비교재무제표"/>
      <sheetName val="손익합산"/>
      <sheetName val="회사정보"/>
      <sheetName val="손익계산서(管理)"/>
      <sheetName val="재무비율분석"/>
      <sheetName val="F12_BS"/>
      <sheetName val="F3_PL"/>
      <sheetName val="F4_PAJE"/>
      <sheetName val="회계감사"/>
      <sheetName val="본,사업제예금"/>
      <sheetName val="받어"/>
      <sheetName val="코드"/>
      <sheetName val="산출근거1"/>
      <sheetName val="원인분석 양식"/>
      <sheetName val="별표 "/>
      <sheetName val="carryover"/>
      <sheetName val="3월누계"/>
      <sheetName val="첨부1"/>
      <sheetName val="제조원가_미업5350톤"/>
      <sheetName val="할증 "/>
      <sheetName val="견적서"/>
      <sheetName val="판매.DAT"/>
      <sheetName val="지급어음"/>
      <sheetName val="공정가치"/>
      <sheetName val="가수금대체"/>
      <sheetName val="graph"/>
      <sheetName val="CJE"/>
      <sheetName val="Analysis"/>
      <sheetName val="6동"/>
      <sheetName val="잡손실내역"/>
      <sheetName val="판매목표"/>
      <sheetName val="손익예상"/>
      <sheetName val="9-1차이내역"/>
      <sheetName val="working"/>
      <sheetName val="XL4Poppy"/>
      <sheetName val="재공품"/>
      <sheetName val="본부별매출"/>
      <sheetName val="Grade Options"/>
      <sheetName val="F&amp;B Comps"/>
      <sheetName val="Sheet1 (2)"/>
      <sheetName val="표준단가"/>
      <sheetName val="FORMURA만두"/>
      <sheetName val="F냉동면"/>
      <sheetName val="F스프"/>
      <sheetName val="F냉장면"/>
      <sheetName val="수량계획"/>
      <sheetName val="주간남10대순위1"/>
      <sheetName val="주간여30대순위1"/>
      <sheetName val="산업은행 경영지표"/>
      <sheetName val="#REF"/>
      <sheetName val="1월"/>
      <sheetName val="주요제품생산"/>
      <sheetName val="햇반총원가표실적_org"/>
      <sheetName val="참조"/>
      <sheetName val="3~8월실적(조정후)"/>
      <sheetName val="급여테이블"/>
      <sheetName val="의료보험표준보수액"/>
      <sheetName val="성적표96"/>
      <sheetName val="사업계획(완)"/>
      <sheetName val="F1,2"/>
      <sheetName val="F45"/>
      <sheetName val="MAIN"/>
      <sheetName val="원가"/>
      <sheetName val="표건"/>
      <sheetName val="이자율"/>
      <sheetName val="FMEA"/>
      <sheetName val="설 계"/>
      <sheetName val="품셈TABLE"/>
      <sheetName val="매출집계"/>
      <sheetName val="원시데이타"/>
      <sheetName val="정렬"/>
      <sheetName val="오억미만"/>
      <sheetName val="토공사"/>
      <sheetName val="SIL98"/>
      <sheetName val="MB5B"/>
      <sheetName val="판매집계"/>
      <sheetName val="F12"/>
      <sheetName val="F3"/>
      <sheetName val="Finmod"/>
      <sheetName val="BS(5월-경리과)"/>
      <sheetName val="합손"/>
      <sheetName val=" 견적서"/>
      <sheetName val="월간인력"/>
      <sheetName val="절대지우지말것"/>
      <sheetName val="판매46"/>
      <sheetName val="WPL"/>
      <sheetName val="EE2"/>
      <sheetName val="#2 BSPL"/>
      <sheetName val="Assumption"/>
      <sheetName val="손익"/>
      <sheetName val="시산956"/>
      <sheetName val="General Memo"/>
      <sheetName val="대외공문"/>
      <sheetName val="2월"/>
      <sheetName val="집연95"/>
      <sheetName val="설계내역서"/>
      <sheetName val="기타"/>
      <sheetName val="포장코드 변경안"/>
      <sheetName val="lead"/>
      <sheetName val="Foreign Details"/>
      <sheetName val="실적피벗"/>
      <sheetName val="자재별"/>
      <sheetName val="매출액"/>
      <sheetName val="8월"/>
      <sheetName val="청도"/>
      <sheetName val="미국"/>
      <sheetName val="용역원가명세서"/>
      <sheetName val="받을어음할인및 융통어음"/>
      <sheetName val="품목단가"/>
      <sheetName val="토목주소"/>
      <sheetName val="프랜트면허"/>
      <sheetName val="T&amp;C"/>
      <sheetName val="고합"/>
      <sheetName val="building"/>
      <sheetName val="Monthly Cash Flow"/>
      <sheetName val="EE"/>
      <sheetName val="==과목코드=="/>
      <sheetName val="확인서"/>
      <sheetName val="하수급견적대비"/>
      <sheetName val="평가제외"/>
      <sheetName val="과거PL"/>
      <sheetName val="서울판관-공통부문"/>
      <sheetName val="년판01"/>
      <sheetName val="간접경상비"/>
      <sheetName val="FILE1"/>
      <sheetName val="차입"/>
      <sheetName val="퇴직영수증"/>
      <sheetName val="평가표"/>
      <sheetName val="32362"/>
      <sheetName val="년간 자금계획"/>
      <sheetName val="품목"/>
      <sheetName val="4_경비_5_영업외수지1"/>
      <sheetName val="Upgrades_pricing1"/>
      <sheetName val="매각대상자산_청산가치1"/>
      <sheetName val="원인분석_양식1"/>
      <sheetName val="별표_1"/>
      <sheetName val="할증_1"/>
      <sheetName val="판매_DAT1"/>
      <sheetName val="Sheet1_(2)1"/>
      <sheetName val="Grade_Options1"/>
      <sheetName val="F&amp;B_Comps1"/>
      <sheetName val="4_경비_5_영업외수지"/>
      <sheetName val="Upgrades_pricing"/>
      <sheetName val="매각대상자산_청산가치"/>
      <sheetName val="원인분석_양식"/>
      <sheetName val="별표_"/>
      <sheetName val="할증_"/>
      <sheetName val="판매_DAT"/>
      <sheetName val="Sheet1_(2)"/>
      <sheetName val="Grade_Options"/>
      <sheetName val="F&amp;B_Comps"/>
      <sheetName val="CHECK"/>
      <sheetName val="Plan"/>
      <sheetName val="2-2.매출분석"/>
      <sheetName val="F-1,2"/>
      <sheetName val="표준지"/>
      <sheetName val="원료분석"/>
      <sheetName val="판매믹스"/>
      <sheetName val="드롭버튼"/>
      <sheetName val="TS"/>
      <sheetName val="전체아이디어현황"/>
      <sheetName val="WorldQuest"/>
      <sheetName val="갑지"/>
      <sheetName val="1"/>
      <sheetName val="제분건"/>
      <sheetName val="결정화결과"/>
      <sheetName val="건물"/>
      <sheetName val="제품군"/>
      <sheetName val="합계잔액시산표"/>
      <sheetName val="산업은행_경영지표"/>
      <sheetName val="REF"/>
      <sheetName val="MAIN PH"/>
      <sheetName val="97년"/>
      <sheetName val="24.보증금(전신전화가입권)"/>
      <sheetName val="명단"/>
      <sheetName val="100201"/>
      <sheetName val="만기현황(금전신탁)"/>
      <sheetName val="4_경비_5_영업외수지2"/>
      <sheetName val="Upgrades_pricing2"/>
      <sheetName val="매각대상자산_청산가치2"/>
      <sheetName val="원인분석_양식2"/>
      <sheetName val="별표_2"/>
      <sheetName val="할증_2"/>
      <sheetName val="판매_DAT2"/>
      <sheetName val="Sheet1_(2)2"/>
      <sheetName val="Grade_Options2"/>
      <sheetName val="F&amp;B_Comps2"/>
      <sheetName val="_견적서"/>
      <sheetName val="년간_자금계획"/>
      <sheetName val="2-2_매출분석"/>
      <sheetName val="Configuration"/>
      <sheetName val="JournalSummary"/>
      <sheetName val="자본"/>
      <sheetName val="HBOSubRev"/>
      <sheetName val="MaxSubRev"/>
      <sheetName val="Subscription"/>
      <sheetName val="지급융통"/>
      <sheetName val="결산요약2"/>
      <sheetName val="결산입력"/>
      <sheetName val="요약비교"/>
      <sheetName val="현금및현금등가물 명세표"/>
      <sheetName val="ELECTRIC"/>
      <sheetName val="세부편성내역_2013(원본)"/>
      <sheetName val="당월계획비"/>
      <sheetName val="GA"/>
      <sheetName val="업체_Larch"/>
      <sheetName val="학교"/>
      <sheetName val="유통간부"/>
      <sheetName val="정의"/>
      <sheetName val="법인전체-집계용"/>
      <sheetName val="실행철강하도"/>
      <sheetName val="전체"/>
      <sheetName val="출근현황"/>
      <sheetName val="2-1.제품군별계획대비실적(B.A)"/>
      <sheetName val="자금흐름"/>
      <sheetName val="평가예상(200308)"/>
      <sheetName val="일위대가표"/>
      <sheetName val="TLCF"/>
      <sheetName val="3.6.6LL"/>
      <sheetName val="admin"/>
      <sheetName val="支払手形"/>
      <sheetName val="雑収"/>
      <sheetName val="손익계산서"/>
      <sheetName val="sang(660)"/>
      <sheetName val="BS누적"/>
      <sheetName val="4_경비_5_영업외수지3"/>
      <sheetName val="Upgrades_pricing3"/>
      <sheetName val="매각대상자산_청산가치3"/>
      <sheetName val="원인분석_양식3"/>
      <sheetName val="별표_3"/>
      <sheetName val="할증_3"/>
      <sheetName val="판매_DAT3"/>
      <sheetName val="Grade_Options3"/>
      <sheetName val="F&amp;B_Comps3"/>
      <sheetName val="Sheet1_(2)3"/>
      <sheetName val="산업은행_경영지표1"/>
      <sheetName val="년간_자금계획1"/>
      <sheetName val="_견적서1"/>
      <sheetName val="2-2_매출분석1"/>
      <sheetName val="8월차잔"/>
      <sheetName val="최종보고1"/>
      <sheetName val="1유리"/>
      <sheetName val="인건비(5)"/>
      <sheetName val="대구파크쿨링타워"/>
      <sheetName val="93상각비"/>
      <sheetName val="controll"/>
      <sheetName val="조회서"/>
      <sheetName val="연불"/>
      <sheetName val="#3"/>
      <sheetName val="외화평가"/>
      <sheetName val="기본사항"/>
      <sheetName val="자재,노무CODE"/>
      <sheetName val="연체 ()"/>
      <sheetName val="영업외손익등"/>
      <sheetName val="접대비(을)"/>
      <sheetName val="TEMP1"/>
      <sheetName val="TEMP2"/>
      <sheetName val="May."/>
      <sheetName val="연차1"/>
      <sheetName val="June."/>
      <sheetName val="BTS-시범물량"/>
      <sheetName val="특별경비"/>
      <sheetName val="종합2"/>
      <sheetName val="July."/>
      <sheetName val="차입금리드"/>
      <sheetName val="승용"/>
      <sheetName val="개발담당자 "/>
      <sheetName val="기성고내역"/>
      <sheetName val="유효이자율표"/>
      <sheetName val="전체현황"/>
      <sheetName val="#2561 FR Manual (2)"/>
      <sheetName val="GLS전체(CMS기준)"/>
      <sheetName val="3월"/>
      <sheetName val="입찰보고"/>
      <sheetName val="가격비"/>
      <sheetName val="가정"/>
      <sheetName val="1. Assumptions"/>
      <sheetName val="공시용 재무상태표"/>
      <sheetName val="폼관조직"/>
      <sheetName val="대차대조표"/>
      <sheetName val="08매출"/>
      <sheetName val="재무가정"/>
      <sheetName val="노무비"/>
      <sheetName val="장기"/>
      <sheetName val="지점월추이"/>
      <sheetName val="증권b"/>
      <sheetName val="최종전사PL"/>
      <sheetName val="108.수선비"/>
      <sheetName val="Macro1"/>
      <sheetName val="LS"/>
      <sheetName val="기준액"/>
      <sheetName val="화의-현금흐름"/>
      <sheetName val="피벗"/>
      <sheetName val="결손금"/>
      <sheetName val="퇴직충당금(3.31)(국문)"/>
      <sheetName val="J-2이하"/>
      <sheetName val="Disclosure"/>
      <sheetName val="Int-Invst"/>
      <sheetName val="raw data_사업별 매출"/>
      <sheetName val="사업별 회선"/>
      <sheetName val="95부서실"/>
      <sheetName val="해태제과"/>
      <sheetName val="유통기한 프로그램"/>
      <sheetName val="현황"/>
      <sheetName val="con"/>
      <sheetName val="4_경비_5_영업외수지4"/>
      <sheetName val="Upgrades_pricing4"/>
      <sheetName val="매각대상자산_청산가치4"/>
      <sheetName val="원인분석_양식4"/>
      <sheetName val="별표_4"/>
      <sheetName val="판매_DAT4"/>
      <sheetName val="할증_4"/>
      <sheetName val="Grade_Options4"/>
      <sheetName val="F&amp;B_Comps4"/>
      <sheetName val="Sheet1_(2)4"/>
      <sheetName val="산업은행_경영지표2"/>
      <sheetName val="_견적서2"/>
      <sheetName val="년간_자금계획2"/>
      <sheetName val="2-2_매출분석2"/>
      <sheetName val="MAIN_PH"/>
      <sheetName val="받을어음할인및_융통어음"/>
      <sheetName val="Foreign_Details"/>
      <sheetName val="현금및현금등가물_명세표"/>
      <sheetName val="선급법인세_(2)"/>
      <sheetName val="2-1_제품군별계획대비실적(B_A)"/>
      <sheetName val="24_보증금(전신전화가입권)"/>
      <sheetName val="#2_BSPL"/>
      <sheetName val="2_대외공문"/>
      <sheetName val="3_6_6LL"/>
      <sheetName val="내역서"/>
      <sheetName val="제품목록"/>
      <sheetName val="정리계획CF평가"/>
      <sheetName val="잔존년수"/>
      <sheetName val="관계주식"/>
      <sheetName val="실적_2월"/>
      <sheetName val="최종샘플링"/>
      <sheetName val="C+연차"/>
      <sheetName val="RD제품개발투자비(매가)"/>
      <sheetName val="118.세금과공과"/>
      <sheetName val="기초데이타"/>
      <sheetName val="명세표"/>
      <sheetName val="주관사업"/>
      <sheetName val="Intro2"/>
      <sheetName val="Id"/>
      <sheetName val="반기PL"/>
      <sheetName val="Assumptions"/>
      <sheetName val="주요기준"/>
      <sheetName val="차수"/>
      <sheetName val="Sheet5"/>
      <sheetName val="기초코드"/>
      <sheetName val="인건비 내역서"/>
      <sheetName val="RATE"/>
      <sheetName val="전체손익"/>
      <sheetName val="프로젝트목록"/>
      <sheetName val="リスト"/>
      <sheetName val="Summary"/>
      <sheetName val="월별손익"/>
      <sheetName val="보정사항"/>
      <sheetName val="EX-외상(06)"/>
      <sheetName val="수입"/>
      <sheetName val="효율계획(당월)"/>
      <sheetName val="전체실적"/>
      <sheetName val="과거BS"/>
      <sheetName val="CF"/>
      <sheetName val="재무제표3년"/>
      <sheetName val="00000000"/>
      <sheetName val="报告第2页"/>
      <sheetName val="시산표(매출조정전)"/>
      <sheetName val="참고(3)고정비"/>
      <sheetName val="일위대가(계측기설치)"/>
      <sheetName val="미실현손익명세서"/>
      <sheetName val="SPC(3차)"/>
      <sheetName val="1__Assumptions"/>
      <sheetName val="포장코드_변경안"/>
      <sheetName val="창고용상품대체(지시,보고)서"/>
      <sheetName val="목록"/>
      <sheetName val="재무지표+전략지표"/>
      <sheetName val="지급어음(일별)"/>
      <sheetName val="선급비용"/>
      <sheetName val="준비금DATA"/>
      <sheetName val="BOY270"/>
      <sheetName val="금융"/>
      <sheetName val="계정"/>
      <sheetName val="보험금"/>
      <sheetName val="G4"/>
      <sheetName val="매출원가_회사제시"/>
      <sheetName val="직급별인적"/>
      <sheetName val="비품"/>
      <sheetName val="수수료산출용"/>
      <sheetName val="BID"/>
      <sheetName val="최종"/>
      <sheetName val="지장물조서"/>
      <sheetName val="토지조서"/>
      <sheetName val="법곳동"/>
      <sheetName val="대화동"/>
      <sheetName val="변수"/>
      <sheetName val="토지평가조서"/>
      <sheetName val="2차보상토지"/>
      <sheetName val="일반자료"/>
      <sheetName val="개별지가"/>
      <sheetName val="편입용지조서(상리동)"/>
      <sheetName val="조직표"/>
      <sheetName val="의견(1)"/>
      <sheetName val="지변률공시지가"/>
      <sheetName val="이름표"/>
      <sheetName val="축산기준"/>
      <sheetName val="안산기계장치"/>
      <sheetName val="출자한도"/>
      <sheetName val="Sheet2 (2)"/>
      <sheetName val="현금흐름Ⅰ"/>
      <sheetName val="할인율"/>
      <sheetName val="입찰안"/>
      <sheetName val="조직관리비"/>
      <sheetName val="제출용BS(한일+할부)"/>
      <sheetName val="품의서"/>
      <sheetName val="부동산현황표"/>
      <sheetName val="DB"/>
      <sheetName val="장기채무명세서(97.12.31)"/>
      <sheetName val="감가상각(원본)"/>
      <sheetName val="7회생채권자표"/>
      <sheetName val="Packaging cost Back Data"/>
      <sheetName val="4_경비_5_영업외수지5"/>
      <sheetName val="Upgrades_pricing5"/>
      <sheetName val="매각대상자산_청산가치5"/>
      <sheetName val="원인분석_양식5"/>
      <sheetName val="별표_5"/>
      <sheetName val="판매_DAT5"/>
      <sheetName val="할증_5"/>
      <sheetName val="Grade_Options5"/>
      <sheetName val="F&amp;B_Comps5"/>
      <sheetName val="Sheet1_(2)5"/>
      <sheetName val="산업은행_경영지표3"/>
      <sheetName val="_견적서3"/>
      <sheetName val="년간_자금계획3"/>
      <sheetName val="2-2_매출분석3"/>
      <sheetName val="MAIN_PH1"/>
      <sheetName val="받을어음할인및_융통어음1"/>
      <sheetName val="Foreign_Details1"/>
      <sheetName val="현금및현금등가물_명세표1"/>
      <sheetName val="선급법인세_(2)1"/>
      <sheetName val="2-1_제품군별계획대비실적(B_A)1"/>
      <sheetName val="24_보증금(전신전화가입권)1"/>
      <sheetName val="#2_BSPL1"/>
      <sheetName val="2_대외공문1"/>
      <sheetName val="3_6_6LL1"/>
      <sheetName val="May_"/>
      <sheetName val="June_"/>
      <sheetName val="July_"/>
      <sheetName val="개발담당자_"/>
      <sheetName val="연체_()"/>
      <sheetName val="108_수선비"/>
      <sheetName val="퇴직충당금(3_31)(국문)"/>
      <sheetName val="raw_data_사업별_매출"/>
      <sheetName val="사업별_회선"/>
      <sheetName val="설_계"/>
      <sheetName val="#2561_FR_Manual_(2)"/>
      <sheetName val="유통기한_프로그램"/>
      <sheetName val="기성및원가"/>
      <sheetName val="연구인원내역"/>
      <sheetName val="prov locales"/>
      <sheetName val="개인사용종합"/>
      <sheetName val="1-1-1-1"/>
      <sheetName val="채권샘플"/>
      <sheetName val="5600"/>
      <sheetName val="POLY 1"/>
      <sheetName val="첨부(8)"/>
      <sheetName val="הגדרה"/>
      <sheetName val="공통"/>
      <sheetName val="영외수지"/>
      <sheetName val="가격자료"/>
      <sheetName val="주소 작성"/>
      <sheetName val="품셈표"/>
      <sheetName val="04년 투자전망"/>
      <sheetName val="Sch9"/>
      <sheetName val="Æo°¡±aAØ"/>
      <sheetName val="총괄"/>
      <sheetName val="SUM TCM GMP"/>
      <sheetName val="한세A4PL"/>
      <sheetName val="97자동발주 F-7"/>
      <sheetName val="주요제품손익"/>
      <sheetName val="선급리스자산"/>
      <sheetName val="금융리스채권RV"/>
      <sheetName val="운용리스자산"/>
      <sheetName val="금융리스채권"/>
      <sheetName val="대손충당금"/>
      <sheetName val="회수스케줄"/>
      <sheetName val="08년7월"/>
      <sheetName val="운전자금97총괄"/>
      <sheetName val="단기차입금"/>
      <sheetName val="항목"/>
      <sheetName val="가열로SW"/>
      <sheetName val="사업관리"/>
      <sheetName val="처리목록"/>
      <sheetName val="Inputs"/>
      <sheetName val="AcqIS"/>
      <sheetName val="AcqBSCF"/>
      <sheetName val="단체협약서"/>
      <sheetName val="currency rates"/>
      <sheetName val="country totals"/>
      <sheetName val="nh &amp; nhp spes."/>
      <sheetName val="단자차입일별"/>
      <sheetName val="Sep WorkSheet"/>
      <sheetName val="Bs. de Uso 2002"/>
      <sheetName val="자본변동내역"/>
      <sheetName val="DATA INPUT-linked"/>
      <sheetName val="70"/>
      <sheetName val="미수수익(적금)"/>
      <sheetName val="리스"/>
      <sheetName val="일보.확정"/>
      <sheetName val="월보.확정"/>
      <sheetName val="Basis P&amp;L"/>
      <sheetName val="7-2.고정비 세부편성근거"/>
      <sheetName val="업무연락"/>
      <sheetName val="10월"/>
      <sheetName val="신제품SKU 전체정보"/>
      <sheetName val="7월"/>
      <sheetName val="단가"/>
      <sheetName val="주석5"/>
      <sheetName val="R(BS-PL-RE)"/>
      <sheetName val="4_경비_5_영업외수지6"/>
      <sheetName val="Upgrades_pricing6"/>
      <sheetName val="매각대상자산_청산가치6"/>
      <sheetName val="원인분석_양식6"/>
      <sheetName val="별표_6"/>
      <sheetName val="할증_6"/>
      <sheetName val="판매_DAT6"/>
      <sheetName val="Grade_Options6"/>
      <sheetName val="F&amp;B_Comps6"/>
      <sheetName val="Sheet1_(2)6"/>
      <sheetName val="산업은행_경영지표4"/>
      <sheetName val="년간_자금계획4"/>
      <sheetName val="_견적서4"/>
      <sheetName val="2-2_매출분석4"/>
      <sheetName val="MAIN_PH2"/>
      <sheetName val="받을어음할인및_융통어음2"/>
      <sheetName val="Foreign_Details2"/>
      <sheetName val="현금및현금등가물_명세표2"/>
      <sheetName val="2-1_제품군별계획대비실적(B_A)2"/>
      <sheetName val="선급법인세_(2)2"/>
      <sheetName val="24_보증금(전신전화가입권)2"/>
      <sheetName val="#2_BSPL2"/>
      <sheetName val="2_대외공문2"/>
      <sheetName val="3_6_6LL2"/>
      <sheetName val="연체_()1"/>
      <sheetName val="May_1"/>
      <sheetName val="June_1"/>
      <sheetName val="July_1"/>
      <sheetName val="개발담당자_1"/>
      <sheetName val="108_수선비1"/>
      <sheetName val="1__Assumptions1"/>
      <sheetName val="퇴직충당금(3_31)(국문)1"/>
      <sheetName val="raw_data_사업별_매출1"/>
      <sheetName val="사업별_회선1"/>
      <sheetName val="설_계1"/>
      <sheetName val="#2561_FR_Manual_(2)1"/>
      <sheetName val="유통기한_프로그램1"/>
      <sheetName val="Sheet2_(2)"/>
      <sheetName val="118_세금과공과"/>
      <sheetName val="공시용_재무상태표"/>
      <sheetName val="인건비_내역서"/>
      <sheetName val="포장코드_변경안1"/>
      <sheetName val="General_Memo"/>
      <sheetName val="Monthly_Cash_Flow"/>
      <sheetName val="Packaging_cost_Back_Data"/>
      <sheetName val="4_경비_5_영업외수지7"/>
      <sheetName val="Upgrades_pricing7"/>
      <sheetName val="매각대상자산_청산가치7"/>
      <sheetName val="원인분석_양식7"/>
      <sheetName val="별표_7"/>
      <sheetName val="할증_7"/>
      <sheetName val="판매_DAT7"/>
      <sheetName val="Grade_Options7"/>
      <sheetName val="F&amp;B_Comps7"/>
      <sheetName val="Sheet1_(2)7"/>
      <sheetName val="산업은행_경영지표5"/>
      <sheetName val="년간_자금계획5"/>
      <sheetName val="_견적서5"/>
      <sheetName val="2-2_매출분석5"/>
      <sheetName val="MAIN_PH3"/>
      <sheetName val="받을어음할인및_융통어음3"/>
      <sheetName val="Foreign_Details3"/>
      <sheetName val="현금및현금등가물_명세표3"/>
      <sheetName val="2-1_제품군별계획대비실적(B_A)3"/>
      <sheetName val="선급법인세_(2)3"/>
      <sheetName val="24_보증금(전신전화가입권)3"/>
      <sheetName val="#2_BSPL3"/>
      <sheetName val="2_대외공문3"/>
      <sheetName val="3_6_6LL3"/>
      <sheetName val="연체_()2"/>
      <sheetName val="May_2"/>
      <sheetName val="June_2"/>
      <sheetName val="July_2"/>
      <sheetName val="개발담당자_2"/>
      <sheetName val="108_수선비2"/>
      <sheetName val="1__Assumptions2"/>
      <sheetName val="퇴직충당금(3_31)(국문)2"/>
      <sheetName val="raw_data_사업별_매출2"/>
      <sheetName val="사업별_회선2"/>
      <sheetName val="설_계2"/>
      <sheetName val="#2561_FR_Manual_(2)2"/>
      <sheetName val="유통기한_프로그램2"/>
      <sheetName val="Sheet2_(2)1"/>
      <sheetName val="118_세금과공과1"/>
      <sheetName val="공시용_재무상태표1"/>
      <sheetName val="인건비_내역서1"/>
      <sheetName val="포장코드_변경안2"/>
      <sheetName val="General_Memo1"/>
      <sheetName val="Monthly_Cash_Flow1"/>
      <sheetName val="Packaging_cost_Back_Data1"/>
      <sheetName val="prov_locales"/>
      <sheetName val="차종별장판"/>
      <sheetName val="배서어음명세서"/>
      <sheetName val="분개집계"/>
      <sheetName val="조직"/>
      <sheetName val="유형자산리드-5700"/>
      <sheetName val="현장"/>
      <sheetName val="TB"/>
      <sheetName val="공사개요"/>
      <sheetName val="총괄표"/>
      <sheetName val="제조비용연결코드"/>
      <sheetName val="Instructions"/>
      <sheetName val="협조전"/>
      <sheetName val="F456"/>
      <sheetName val="용지조사보고서"/>
      <sheetName val="적요"/>
      <sheetName val="BS별첨"/>
      <sheetName val="LINE 유실"/>
      <sheetName val="작업일보"/>
      <sheetName val="シスクエ月次明細"/>
      <sheetName val="SNK_DB月次明細"/>
      <sheetName val="ＳＮＫハイコレ月次明細"/>
      <sheetName val="KOFBF_月次明細"/>
      <sheetName val="건설가계정"/>
      <sheetName val="Lease Details"/>
      <sheetName val="Menu_Link"/>
      <sheetName val="※참고"/>
      <sheetName val="4_경비_5_영업외수지8"/>
      <sheetName val="Upgrades_pricing8"/>
      <sheetName val="매각대상자산_청산가치8"/>
      <sheetName val="원인분석_양식8"/>
      <sheetName val="별표_8"/>
      <sheetName val="할증_8"/>
      <sheetName val="판매_DAT8"/>
      <sheetName val="Grade_Options8"/>
      <sheetName val="F&amp;B_Comps8"/>
      <sheetName val="Sheet1_(2)8"/>
      <sheetName val="산업은행_경영지표6"/>
      <sheetName val="년간_자금계획6"/>
      <sheetName val="_견적서6"/>
      <sheetName val="2-2_매출분석6"/>
      <sheetName val="MAIN_PH4"/>
      <sheetName val="받을어음할인및_융통어음4"/>
      <sheetName val="Foreign_Details4"/>
      <sheetName val="현금및현금등가물_명세표4"/>
      <sheetName val="2-1_제품군별계획대비실적(B_A)4"/>
      <sheetName val="선급법인세_(2)4"/>
      <sheetName val="24_보증금(전신전화가입권)4"/>
      <sheetName val="#2_BSPL4"/>
      <sheetName val="2_대외공문4"/>
      <sheetName val="3_6_6LL4"/>
      <sheetName val="연체_()3"/>
      <sheetName val="May_3"/>
      <sheetName val="June_3"/>
      <sheetName val="July_3"/>
      <sheetName val="개발담당자_3"/>
      <sheetName val="108_수선비3"/>
      <sheetName val="1__Assumptions3"/>
      <sheetName val="퇴직충당금(3_31)(국문)3"/>
      <sheetName val="raw_data_사업별_매출3"/>
      <sheetName val="사업별_회선3"/>
      <sheetName val="설_계3"/>
      <sheetName val="#2561_FR_Manual_(2)3"/>
      <sheetName val="유통기한_프로그램3"/>
      <sheetName val="Sheet2_(2)2"/>
      <sheetName val="118_세금과공과2"/>
      <sheetName val="공시용_재무상태표2"/>
      <sheetName val="인건비_내역서2"/>
      <sheetName val="포장코드_변경안3"/>
      <sheetName val="General_Memo2"/>
      <sheetName val="Monthly_Cash_Flow2"/>
      <sheetName val="Packaging_cost_Back_Data2"/>
      <sheetName val="prov_locales1"/>
      <sheetName val="적용환율"/>
      <sheetName val="수정시산표"/>
      <sheetName val="YOUNGSU"/>
      <sheetName val="상품입고집계"/>
      <sheetName val="2003.4.1."/>
      <sheetName val="Page1"/>
      <sheetName val="Seide Customer wise "/>
      <sheetName val="Filati Customer wise"/>
      <sheetName val="Consl LS"/>
      <sheetName val="Reco"/>
      <sheetName val="Seide LS"/>
      <sheetName val="Filati LS"/>
      <sheetName val="유효성필드"/>
      <sheetName val=" 승용 SUBLIST"/>
      <sheetName val="98퇴직금(프라)"/>
      <sheetName val="Total"/>
      <sheetName val="직노"/>
      <sheetName val="장기채무명세서(97_12_31)"/>
      <sheetName val="POLY_1"/>
      <sheetName val="SUM_TCM_GMP"/>
      <sheetName val="장기채무명세서(97_12_31)1"/>
      <sheetName val="POLY_11"/>
      <sheetName val="SUM_TCM_GMP1"/>
      <sheetName val="prov_locales2"/>
      <sheetName val="장기채무명세서(97_12_31)2"/>
      <sheetName val="POLY_12"/>
      <sheetName val="SUM_TCM_GMP2"/>
      <sheetName val="4_경비_5_영업외수지9"/>
      <sheetName val="Upgrades_pricing9"/>
      <sheetName val="매각대상자산_청산가치9"/>
      <sheetName val="원인분석_양식9"/>
      <sheetName val="별표_9"/>
      <sheetName val="할증_9"/>
      <sheetName val="판매_DAT9"/>
      <sheetName val="Sheet1_(2)9"/>
      <sheetName val="Grade_Options9"/>
      <sheetName val="F&amp;B_Comps9"/>
      <sheetName val="산업은행_경영지표7"/>
      <sheetName val="_견적서7"/>
      <sheetName val="년간_자금계획7"/>
      <sheetName val="2-2_매출분석7"/>
      <sheetName val="MAIN_PH5"/>
      <sheetName val="받을어음할인및_융통어음5"/>
      <sheetName val="Foreign_Details5"/>
      <sheetName val="현금및현금등가물_명세표5"/>
      <sheetName val="2-1_제품군별계획대비실적(B_A)5"/>
      <sheetName val="선급법인세_(2)5"/>
      <sheetName val="24_보증금(전신전화가입권)5"/>
      <sheetName val="#2_BSPL5"/>
      <sheetName val="3_6_6LL5"/>
      <sheetName val="2_대외공문5"/>
      <sheetName val="연체_()4"/>
      <sheetName val="May_4"/>
      <sheetName val="June_4"/>
      <sheetName val="July_4"/>
      <sheetName val="개발담당자_4"/>
      <sheetName val="108_수선비4"/>
      <sheetName val="1__Assumptions4"/>
      <sheetName val="퇴직충당금(3_31)(국문)4"/>
      <sheetName val="raw_data_사업별_매출4"/>
      <sheetName val="사업별_회선4"/>
      <sheetName val="설_계4"/>
      <sheetName val="#2561_FR_Manual_(2)4"/>
      <sheetName val="유통기한_프로그램4"/>
      <sheetName val="공시용_재무상태표3"/>
      <sheetName val="인건비_내역서3"/>
      <sheetName val="118_세금과공과3"/>
      <sheetName val="포장코드_변경안4"/>
      <sheetName val="Sheet2_(2)3"/>
      <sheetName val="General_Memo3"/>
      <sheetName val="Monthly_Cash_Flow3"/>
      <sheetName val="Packaging_cost_Back_Data3"/>
      <sheetName val="prov_locales3"/>
      <sheetName val="장기채무명세서(97_12_31)3"/>
      <sheetName val="POLY_13"/>
      <sheetName val="SUM_TCM_GMP3"/>
      <sheetName val="4_경비_5_영업외수지10"/>
      <sheetName val="Upgrades_pricing10"/>
      <sheetName val="매각대상자산_청산가치10"/>
      <sheetName val="원인분석_양식10"/>
      <sheetName val="별표_10"/>
      <sheetName val="할증_10"/>
      <sheetName val="판매_DAT10"/>
      <sheetName val="Sheet1_(2)10"/>
      <sheetName val="Grade_Options10"/>
      <sheetName val="F&amp;B_Comps10"/>
      <sheetName val="산업은행_경영지표8"/>
      <sheetName val="_견적서8"/>
      <sheetName val="년간_자금계획8"/>
      <sheetName val="2-2_매출분석8"/>
      <sheetName val="MAIN_PH6"/>
      <sheetName val="받을어음할인및_융통어음6"/>
      <sheetName val="Foreign_Details6"/>
      <sheetName val="현금및현금등가물_명세표6"/>
      <sheetName val="2-1_제품군별계획대비실적(B_A)6"/>
      <sheetName val="선급법인세_(2)6"/>
      <sheetName val="24_보증금(전신전화가입권)6"/>
      <sheetName val="#2_BSPL6"/>
      <sheetName val="3_6_6LL6"/>
      <sheetName val="2_대외공문6"/>
      <sheetName val="연체_()5"/>
      <sheetName val="May_5"/>
      <sheetName val="June_5"/>
      <sheetName val="July_5"/>
      <sheetName val="개발담당자_5"/>
      <sheetName val="108_수선비5"/>
      <sheetName val="1__Assumptions5"/>
      <sheetName val="퇴직충당금(3_31)(국문)5"/>
      <sheetName val="raw_data_사업별_매출5"/>
      <sheetName val="사업별_회선5"/>
      <sheetName val="설_계5"/>
      <sheetName val="#2561_FR_Manual_(2)5"/>
      <sheetName val="유통기한_프로그램5"/>
      <sheetName val="공시용_재무상태표4"/>
      <sheetName val="인건비_내역서4"/>
      <sheetName val="118_세금과공과4"/>
      <sheetName val="포장코드_변경안5"/>
      <sheetName val="Sheet2_(2)4"/>
      <sheetName val="General_Memo4"/>
      <sheetName val="Monthly_Cash_Flow4"/>
      <sheetName val="Packaging_cost_Back_Data4"/>
      <sheetName val="prov_locales4"/>
      <sheetName val="장기채무명세서(97_12_31)4"/>
      <sheetName val="POLY_14"/>
      <sheetName val="SUM_TCM_GMP4"/>
      <sheetName val="주소_작성"/>
      <sheetName val="종가"/>
      <sheetName val="특수관계자 기초정보"/>
      <sheetName val="자산가치"/>
      <sheetName val="영업.일1"/>
      <sheetName val="5월매출분석"/>
      <sheetName val="추정"/>
      <sheetName val="실행내역"/>
      <sheetName val="미수현황"/>
      <sheetName val="현금등가물-조서"/>
      <sheetName val=".3당기Detail test"/>
      <sheetName val="04년_투자전망"/>
      <sheetName val="Sep_WorkSheet"/>
      <sheetName val="DATA_INPUT-linked"/>
      <sheetName val="LINE_유실"/>
      <sheetName val="currency_rates"/>
      <sheetName val="country_totals"/>
      <sheetName val="nh_&amp;_nhp_spes_"/>
      <sheetName val="Bs__de_Uso_2002"/>
      <sheetName val="Lease_Details"/>
      <sheetName val="97자동발주_F-7"/>
      <sheetName val="일보_확정"/>
      <sheetName val="월보_확정"/>
      <sheetName val="Basis_P&amp;L"/>
      <sheetName val="7-2_고정비_세부편성근거"/>
      <sheetName val="신제품SKU_전체정보"/>
      <sheetName val="주소_작성1"/>
      <sheetName val="04년_투자전망1"/>
      <sheetName val="Sep_WorkSheet1"/>
      <sheetName val="DATA_INPUT-linked1"/>
      <sheetName val="LINE_유실1"/>
      <sheetName val="currency_rates1"/>
      <sheetName val="country_totals1"/>
      <sheetName val="nh_&amp;_nhp_spes_1"/>
      <sheetName val="Bs__de_Uso_20021"/>
      <sheetName val="Lease_Details1"/>
      <sheetName val="97자동발주_F-71"/>
      <sheetName val="일보_확정1"/>
      <sheetName val="월보_확정1"/>
      <sheetName val="Basis_P&amp;L1"/>
      <sheetName val="7-2_고정비_세부편성근거1"/>
      <sheetName val="신제품SKU_전체정보1"/>
      <sheetName val="노임단가"/>
      <sheetName val="수지"/>
      <sheetName val="편입조서"/>
      <sheetName val="표준지-시점수정"/>
      <sheetName val="가람과비교"/>
      <sheetName val="95WBS"/>
      <sheetName val="품셈"/>
      <sheetName val="흉고직경(B)"/>
      <sheetName val="10매출"/>
      <sheetName val="품목95112"/>
      <sheetName val="급여표"/>
      <sheetName val="일반관리비(선급보험료)-총무"/>
      <sheetName val="24_보증금(전신전화鼘⹛嬠"/>
      <sheetName val="24_보증금(전신전화_x0000__x0000_ᦠ_x0000__x0000_"/>
      <sheetName val="24_보증금(전신전화_x0000__x0000_쇀_x0000__x0000_"/>
      <sheetName val="한일자야(감액손실) (2)"/>
      <sheetName val="EJ"/>
      <sheetName val=""/>
      <sheetName val="השקעות"/>
      <sheetName val="Nov 02 &amp; Dec 02 sal"/>
      <sheetName val="Sublead"/>
      <sheetName val="가능목표"/>
      <sheetName val="OH"/>
      <sheetName val="Eq. Mobilization"/>
      <sheetName val="PnL"/>
      <sheetName val="worksheet"/>
      <sheetName val="구분값"/>
      <sheetName val="23을"/>
      <sheetName val="합동별(기표용)"/>
      <sheetName val="2.지분법적용주식Leadsheet(회사제시)"/>
      <sheetName val="기타예금_신탁예금_일별잔액"/>
      <sheetName val="Sheet3"/>
      <sheetName val="감가상각"/>
      <sheetName val="이자수익PT"/>
      <sheetName val="DeferredTax"/>
      <sheetName val="4. TOP 25 QTY &amp; VALUE WISE "/>
      <sheetName val="INDIVIDUAL GRAPH DATA"/>
      <sheetName val="FAR"/>
      <sheetName val="データに単価をいれる②"/>
      <sheetName val="Sep_WorkSheet2"/>
      <sheetName val="Sep_WorkSheet3"/>
      <sheetName val="PL"/>
      <sheetName val="20040325"/>
      <sheetName val="3550"/>
      <sheetName val="OPEX"/>
      <sheetName val="BS-203"/>
      <sheetName val="자료입력"/>
      <sheetName val="종합표"/>
      <sheetName val="인원계획-미화"/>
      <sheetName val="물건조서"/>
      <sheetName val="토지산출"/>
      <sheetName val="토공총괄표"/>
      <sheetName val="미국 표준시간 및 단가"/>
    </sheetNames>
    <sheetDataSet>
      <sheetData sheetId="0">
        <row r="1">
          <cell r="A1" t="str">
            <v>계정</v>
          </cell>
        </row>
      </sheetData>
      <sheetData sheetId="1"/>
      <sheetData sheetId="2"/>
      <sheetData sheetId="3"/>
      <sheetData sheetId="4"/>
      <sheetData sheetId="5">
        <row r="1">
          <cell r="A1" t="str">
            <v>계정</v>
          </cell>
        </row>
      </sheetData>
      <sheetData sheetId="6" refreshError="1">
        <row r="1">
          <cell r="A1" t="str">
            <v>계정</v>
          </cell>
          <cell r="B1" t="str">
            <v>차변잔액</v>
          </cell>
          <cell r="C1" t="str">
            <v>차변누계</v>
          </cell>
          <cell r="D1" t="str">
            <v>차변월계</v>
          </cell>
          <cell r="E1" t="str">
            <v>대변월계</v>
          </cell>
          <cell r="F1" t="str">
            <v>대변누계</v>
          </cell>
          <cell r="G1" t="str">
            <v>대변잔액</v>
          </cell>
        </row>
        <row r="2">
          <cell r="A2" t="str">
            <v>현금</v>
          </cell>
          <cell r="B2">
            <v>13833461</v>
          </cell>
          <cell r="C2">
            <v>63999677172</v>
          </cell>
          <cell r="D2">
            <v>12425301845</v>
          </cell>
          <cell r="E2">
            <v>12424028578</v>
          </cell>
          <cell r="F2">
            <v>63985843711</v>
          </cell>
          <cell r="G2">
            <v>0</v>
          </cell>
        </row>
        <row r="3">
          <cell r="A3" t="str">
            <v>외국환</v>
          </cell>
          <cell r="B3">
            <v>182346206</v>
          </cell>
          <cell r="C3">
            <v>658036395</v>
          </cell>
          <cell r="D3">
            <v>20779052</v>
          </cell>
          <cell r="E3">
            <v>39362880</v>
          </cell>
          <cell r="F3">
            <v>475690189</v>
          </cell>
          <cell r="G3">
            <v>0</v>
          </cell>
        </row>
        <row r="4">
          <cell r="A4" t="str">
            <v>보통예금</v>
          </cell>
          <cell r="B4">
            <v>411771327</v>
          </cell>
          <cell r="C4">
            <v>197417982670</v>
          </cell>
          <cell r="D4">
            <v>42799576296</v>
          </cell>
          <cell r="E4">
            <v>43562595303</v>
          </cell>
          <cell r="F4">
            <v>197006211343</v>
          </cell>
          <cell r="G4">
            <v>0</v>
          </cell>
        </row>
        <row r="5">
          <cell r="A5" t="str">
            <v>별단예금</v>
          </cell>
          <cell r="B5">
            <v>0</v>
          </cell>
          <cell r="C5">
            <v>1771000000</v>
          </cell>
          <cell r="D5">
            <v>0</v>
          </cell>
          <cell r="E5">
            <v>0</v>
          </cell>
          <cell r="F5">
            <v>1771000000</v>
          </cell>
          <cell r="G5">
            <v>0</v>
          </cell>
        </row>
        <row r="6">
          <cell r="A6" t="str">
            <v>당좌예금</v>
          </cell>
          <cell r="B6">
            <v>574266</v>
          </cell>
          <cell r="C6">
            <v>334878260067</v>
          </cell>
          <cell r="D6">
            <v>63190381181</v>
          </cell>
          <cell r="E6">
            <v>63189807915</v>
          </cell>
          <cell r="F6">
            <v>334877685801</v>
          </cell>
          <cell r="G6">
            <v>0</v>
          </cell>
        </row>
        <row r="7">
          <cell r="A7" t="str">
            <v>제예금</v>
          </cell>
          <cell r="B7">
            <v>7103130000</v>
          </cell>
          <cell r="C7">
            <v>16909115322</v>
          </cell>
          <cell r="D7">
            <v>3035092530</v>
          </cell>
          <cell r="E7">
            <v>3790985322</v>
          </cell>
          <cell r="F7">
            <v>9805985322</v>
          </cell>
          <cell r="G7">
            <v>0</v>
          </cell>
        </row>
        <row r="8">
          <cell r="A8" t="str">
            <v>유가증권국공채</v>
          </cell>
          <cell r="B8">
            <v>112550000</v>
          </cell>
          <cell r="C8">
            <v>112550000</v>
          </cell>
          <cell r="D8">
            <v>0</v>
          </cell>
          <cell r="E8">
            <v>0</v>
          </cell>
          <cell r="F8">
            <v>0</v>
          </cell>
          <cell r="G8">
            <v>0</v>
          </cell>
        </row>
        <row r="9">
          <cell r="A9" t="str">
            <v>외상매출금</v>
          </cell>
          <cell r="B9">
            <v>26775505390</v>
          </cell>
          <cell r="C9">
            <v>85343797917</v>
          </cell>
          <cell r="D9">
            <v>12078616560</v>
          </cell>
          <cell r="E9">
            <v>12134108945</v>
          </cell>
          <cell r="F9">
            <v>58568292527</v>
          </cell>
          <cell r="G9">
            <v>0</v>
          </cell>
        </row>
        <row r="10">
          <cell r="A10" t="str">
            <v>받을어음</v>
          </cell>
          <cell r="B10">
            <v>11156776783</v>
          </cell>
          <cell r="C10">
            <v>41273262298</v>
          </cell>
          <cell r="D10">
            <v>6228592453</v>
          </cell>
          <cell r="E10">
            <v>7754828696</v>
          </cell>
          <cell r="F10">
            <v>31047452533</v>
          </cell>
          <cell r="G10">
            <v>0</v>
          </cell>
        </row>
        <row r="11">
          <cell r="A11" t="str">
            <v>가지급금</v>
          </cell>
          <cell r="B11">
            <v>0</v>
          </cell>
          <cell r="C11">
            <v>9265108165</v>
          </cell>
          <cell r="D11">
            <v>557041529</v>
          </cell>
          <cell r="E11">
            <v>602418968</v>
          </cell>
          <cell r="F11">
            <v>9265108165</v>
          </cell>
          <cell r="G11">
            <v>0</v>
          </cell>
        </row>
        <row r="12">
          <cell r="A12" t="str">
            <v>전도금</v>
          </cell>
          <cell r="B12">
            <v>38685000</v>
          </cell>
          <cell r="C12">
            <v>38685000</v>
          </cell>
          <cell r="D12">
            <v>0</v>
          </cell>
          <cell r="E12">
            <v>0</v>
          </cell>
          <cell r="F12">
            <v>0</v>
          </cell>
          <cell r="G12">
            <v>0</v>
          </cell>
        </row>
        <row r="13">
          <cell r="A13" t="str">
            <v>단기대여금</v>
          </cell>
          <cell r="B13">
            <v>1178605427</v>
          </cell>
          <cell r="C13">
            <v>1807672134</v>
          </cell>
          <cell r="D13">
            <v>343604831</v>
          </cell>
          <cell r="E13">
            <v>0</v>
          </cell>
          <cell r="F13">
            <v>629066707</v>
          </cell>
          <cell r="G13">
            <v>0</v>
          </cell>
        </row>
        <row r="14">
          <cell r="A14" t="str">
            <v>어음대여금</v>
          </cell>
          <cell r="B14">
            <v>4646959228</v>
          </cell>
          <cell r="C14">
            <v>44887975275</v>
          </cell>
          <cell r="D14">
            <v>6810038501</v>
          </cell>
          <cell r="E14">
            <v>5309578082</v>
          </cell>
          <cell r="F14">
            <v>40241016047</v>
          </cell>
          <cell r="G14">
            <v>0</v>
          </cell>
        </row>
        <row r="15">
          <cell r="A15" t="str">
            <v>관계사대여금</v>
          </cell>
          <cell r="B15">
            <v>2806979112</v>
          </cell>
          <cell r="C15">
            <v>26425986519</v>
          </cell>
          <cell r="D15">
            <v>8648149863</v>
          </cell>
          <cell r="E15">
            <v>7884541792</v>
          </cell>
          <cell r="F15">
            <v>23619007407</v>
          </cell>
          <cell r="G15">
            <v>0</v>
          </cell>
        </row>
        <row r="16">
          <cell r="A16" t="str">
            <v>주주임원종업원단기대여금</v>
          </cell>
          <cell r="B16">
            <v>153530823</v>
          </cell>
          <cell r="C16">
            <v>202334413</v>
          </cell>
          <cell r="D16">
            <v>50207713</v>
          </cell>
          <cell r="E16">
            <v>300000</v>
          </cell>
          <cell r="F16">
            <v>48803590</v>
          </cell>
          <cell r="G16">
            <v>0</v>
          </cell>
        </row>
        <row r="17">
          <cell r="A17" t="str">
            <v>미수금</v>
          </cell>
          <cell r="B17">
            <v>584469460</v>
          </cell>
          <cell r="C17">
            <v>3692946181</v>
          </cell>
          <cell r="D17">
            <v>221481022</v>
          </cell>
          <cell r="E17">
            <v>907744537</v>
          </cell>
          <cell r="F17">
            <v>2177509703</v>
          </cell>
          <cell r="G17">
            <v>0</v>
          </cell>
        </row>
        <row r="18">
          <cell r="A18" t="str">
            <v>미수수익</v>
          </cell>
          <cell r="B18">
            <v>2408419863</v>
          </cell>
          <cell r="C18">
            <v>2566201757</v>
          </cell>
          <cell r="D18">
            <v>1758264797</v>
          </cell>
          <cell r="E18">
            <v>37999876</v>
          </cell>
          <cell r="F18">
            <v>157781894</v>
          </cell>
          <cell r="G18">
            <v>0</v>
          </cell>
        </row>
        <row r="19">
          <cell r="A19" t="str">
            <v>유가증권주식</v>
          </cell>
          <cell r="B19">
            <v>5990000</v>
          </cell>
          <cell r="C19">
            <v>5990000</v>
          </cell>
          <cell r="D19">
            <v>0</v>
          </cell>
          <cell r="E19">
            <v>0</v>
          </cell>
          <cell r="F19">
            <v>0</v>
          </cell>
          <cell r="G19">
            <v>0</v>
          </cell>
        </row>
        <row r="20">
          <cell r="A20" t="str">
            <v>소액현금</v>
          </cell>
          <cell r="B20">
            <v>1433995</v>
          </cell>
          <cell r="C20">
            <v>7666161961</v>
          </cell>
          <cell r="D20">
            <v>996416678</v>
          </cell>
          <cell r="E20">
            <v>997220675</v>
          </cell>
          <cell r="F20">
            <v>7664727966</v>
          </cell>
          <cell r="G20">
            <v>0</v>
          </cell>
        </row>
        <row r="21">
          <cell r="A21" t="str">
            <v>상품</v>
          </cell>
          <cell r="B21">
            <v>692601696</v>
          </cell>
          <cell r="C21">
            <v>26411306846</v>
          </cell>
          <cell r="D21">
            <v>4929383307</v>
          </cell>
          <cell r="E21">
            <v>4876238717</v>
          </cell>
          <cell r="F21">
            <v>25718705150</v>
          </cell>
          <cell r="G21">
            <v>0</v>
          </cell>
        </row>
        <row r="22">
          <cell r="A22" t="str">
            <v>제품</v>
          </cell>
          <cell r="B22">
            <v>3721359037</v>
          </cell>
          <cell r="C22">
            <v>19087802506</v>
          </cell>
          <cell r="D22">
            <v>2603167025</v>
          </cell>
          <cell r="E22">
            <v>2989233800</v>
          </cell>
          <cell r="F22">
            <v>15366443469</v>
          </cell>
          <cell r="G22">
            <v>0</v>
          </cell>
        </row>
        <row r="23">
          <cell r="A23" t="str">
            <v>반제품</v>
          </cell>
          <cell r="B23">
            <v>0</v>
          </cell>
          <cell r="C23">
            <v>0</v>
          </cell>
          <cell r="D23">
            <v>0</v>
          </cell>
          <cell r="E23">
            <v>0</v>
          </cell>
          <cell r="F23">
            <v>0</v>
          </cell>
          <cell r="G23">
            <v>0</v>
          </cell>
        </row>
        <row r="24">
          <cell r="A24" t="str">
            <v>재공품</v>
          </cell>
          <cell r="B24">
            <v>2169482384</v>
          </cell>
          <cell r="C24">
            <v>16107965222</v>
          </cell>
          <cell r="D24">
            <v>3170347589</v>
          </cell>
          <cell r="E24">
            <v>3323774052</v>
          </cell>
          <cell r="F24">
            <v>13938482838</v>
          </cell>
          <cell r="G24">
            <v>0</v>
          </cell>
        </row>
        <row r="25">
          <cell r="A25" t="str">
            <v>원재료</v>
          </cell>
          <cell r="B25">
            <v>10560231169</v>
          </cell>
          <cell r="C25">
            <v>15671838373</v>
          </cell>
          <cell r="D25">
            <v>423311702</v>
          </cell>
          <cell r="E25">
            <v>945496633</v>
          </cell>
          <cell r="F25">
            <v>5111607204</v>
          </cell>
          <cell r="G25">
            <v>0</v>
          </cell>
        </row>
        <row r="26">
          <cell r="A26" t="str">
            <v>저장품</v>
          </cell>
          <cell r="B26">
            <v>818652591</v>
          </cell>
          <cell r="C26">
            <v>2429388256</v>
          </cell>
          <cell r="D26">
            <v>284038453</v>
          </cell>
          <cell r="E26">
            <v>267496805</v>
          </cell>
          <cell r="F26">
            <v>1610735665</v>
          </cell>
          <cell r="G26">
            <v>0</v>
          </cell>
        </row>
        <row r="27">
          <cell r="A27" t="str">
            <v>미착자재</v>
          </cell>
          <cell r="B27">
            <v>174808708</v>
          </cell>
          <cell r="C27">
            <v>4310760058</v>
          </cell>
          <cell r="D27">
            <v>108229472</v>
          </cell>
          <cell r="E27">
            <v>133520265</v>
          </cell>
          <cell r="F27">
            <v>4135951350</v>
          </cell>
          <cell r="G27">
            <v>0</v>
          </cell>
        </row>
        <row r="28">
          <cell r="A28" t="str">
            <v>미착상품</v>
          </cell>
          <cell r="B28">
            <v>642715036</v>
          </cell>
          <cell r="C28">
            <v>1288759372</v>
          </cell>
          <cell r="D28">
            <v>0</v>
          </cell>
          <cell r="E28">
            <v>215176706</v>
          </cell>
          <cell r="F28">
            <v>646044336</v>
          </cell>
          <cell r="G28">
            <v>0</v>
          </cell>
        </row>
        <row r="29">
          <cell r="A29" t="str">
            <v>선급금</v>
          </cell>
          <cell r="B29">
            <v>19709705454</v>
          </cell>
          <cell r="C29">
            <v>49483707167</v>
          </cell>
          <cell r="D29">
            <v>7873457733</v>
          </cell>
          <cell r="E29">
            <v>11579124577</v>
          </cell>
          <cell r="F29">
            <v>29774001713</v>
          </cell>
          <cell r="G29">
            <v>0</v>
          </cell>
        </row>
        <row r="30">
          <cell r="A30" t="str">
            <v>선급비용</v>
          </cell>
          <cell r="B30">
            <v>1242930949</v>
          </cell>
          <cell r="C30">
            <v>4128602206</v>
          </cell>
          <cell r="D30">
            <v>560996946</v>
          </cell>
          <cell r="E30">
            <v>658837036</v>
          </cell>
          <cell r="F30">
            <v>2885671257</v>
          </cell>
          <cell r="G30">
            <v>0</v>
          </cell>
        </row>
        <row r="31">
          <cell r="A31" t="str">
            <v>선급법인세</v>
          </cell>
          <cell r="B31">
            <v>126394392</v>
          </cell>
          <cell r="C31">
            <v>126394392</v>
          </cell>
          <cell r="D31">
            <v>23087677</v>
          </cell>
          <cell r="E31">
            <v>0</v>
          </cell>
          <cell r="F31">
            <v>0</v>
          </cell>
          <cell r="G31">
            <v>0</v>
          </cell>
        </row>
        <row r="32">
          <cell r="A32" t="str">
            <v>선급부가세</v>
          </cell>
          <cell r="B32">
            <v>0</v>
          </cell>
          <cell r="C32">
            <v>2797384985</v>
          </cell>
          <cell r="D32">
            <v>513953366</v>
          </cell>
          <cell r="E32">
            <v>1238018118</v>
          </cell>
          <cell r="F32">
            <v>2797384985</v>
          </cell>
          <cell r="G32">
            <v>0</v>
          </cell>
        </row>
        <row r="33">
          <cell r="A33" t="str">
            <v>퇴직전환금</v>
          </cell>
          <cell r="B33">
            <v>506406631</v>
          </cell>
          <cell r="C33">
            <v>746637565</v>
          </cell>
          <cell r="D33">
            <v>29432700</v>
          </cell>
          <cell r="E33">
            <v>93224200</v>
          </cell>
          <cell r="F33">
            <v>240230934</v>
          </cell>
          <cell r="G33">
            <v>0</v>
          </cell>
        </row>
        <row r="34">
          <cell r="A34" t="str">
            <v>미결산계정</v>
          </cell>
          <cell r="B34">
            <v>0</v>
          </cell>
          <cell r="C34">
            <v>54752745</v>
          </cell>
          <cell r="D34">
            <v>567395</v>
          </cell>
          <cell r="E34">
            <v>7567394</v>
          </cell>
          <cell r="F34">
            <v>54752745</v>
          </cell>
          <cell r="G34">
            <v>0</v>
          </cell>
        </row>
        <row r="35">
          <cell r="A35" t="str">
            <v>고용보험금</v>
          </cell>
          <cell r="B35">
            <v>18194580</v>
          </cell>
          <cell r="C35">
            <v>18194580</v>
          </cell>
          <cell r="D35">
            <v>0</v>
          </cell>
          <cell r="E35">
            <v>0</v>
          </cell>
          <cell r="F35">
            <v>0</v>
          </cell>
          <cell r="G35">
            <v>0</v>
          </cell>
        </row>
        <row r="36">
          <cell r="A36" t="str">
            <v>기단-풀무원</v>
          </cell>
          <cell r="B36">
            <v>0</v>
          </cell>
          <cell r="C36">
            <v>64863146559</v>
          </cell>
          <cell r="D36">
            <v>16569258121</v>
          </cell>
          <cell r="E36">
            <v>19589781265</v>
          </cell>
          <cell r="F36">
            <v>91119415380</v>
          </cell>
          <cell r="G36">
            <v>26256268821</v>
          </cell>
        </row>
        <row r="37">
          <cell r="A37" t="str">
            <v>식품-풀무원</v>
          </cell>
          <cell r="B37">
            <v>3516072827</v>
          </cell>
          <cell r="C37">
            <v>73144059241</v>
          </cell>
          <cell r="D37">
            <v>11562176087</v>
          </cell>
          <cell r="E37">
            <v>12003196973</v>
          </cell>
          <cell r="F37">
            <v>69627986414</v>
          </cell>
          <cell r="G37">
            <v>0</v>
          </cell>
        </row>
        <row r="38">
          <cell r="A38" t="str">
            <v>건생-풀무원</v>
          </cell>
          <cell r="B38">
            <v>22740195994</v>
          </cell>
          <cell r="C38">
            <v>47967696236</v>
          </cell>
          <cell r="D38">
            <v>8684973476</v>
          </cell>
          <cell r="E38">
            <v>5258666134</v>
          </cell>
          <cell r="F38">
            <v>25227500242</v>
          </cell>
          <cell r="G38">
            <v>0</v>
          </cell>
        </row>
        <row r="39">
          <cell r="A39" t="str">
            <v>장기성예금</v>
          </cell>
          <cell r="B39">
            <v>3162965322</v>
          </cell>
          <cell r="C39">
            <v>4314255401</v>
          </cell>
          <cell r="D39">
            <v>3162965322</v>
          </cell>
          <cell r="E39">
            <v>0</v>
          </cell>
          <cell r="F39">
            <v>1151290079</v>
          </cell>
          <cell r="G39">
            <v>0</v>
          </cell>
        </row>
        <row r="40">
          <cell r="A40" t="str">
            <v>투자유가증권국공채</v>
          </cell>
          <cell r="B40">
            <v>605084000</v>
          </cell>
          <cell r="C40">
            <v>656215000</v>
          </cell>
          <cell r="D40">
            <v>0</v>
          </cell>
          <cell r="E40">
            <v>51131000</v>
          </cell>
          <cell r="F40">
            <v>51131000</v>
          </cell>
          <cell r="G40">
            <v>0</v>
          </cell>
        </row>
        <row r="41">
          <cell r="A41" t="str">
            <v>출자금</v>
          </cell>
          <cell r="B41">
            <v>0</v>
          </cell>
          <cell r="C41">
            <v>0</v>
          </cell>
          <cell r="D41">
            <v>0</v>
          </cell>
          <cell r="E41">
            <v>0</v>
          </cell>
          <cell r="F41">
            <v>0</v>
          </cell>
          <cell r="G41">
            <v>0</v>
          </cell>
        </row>
        <row r="42">
          <cell r="A42" t="str">
            <v>관계회사주식</v>
          </cell>
          <cell r="B42">
            <v>7860040990</v>
          </cell>
          <cell r="C42">
            <v>7860040990</v>
          </cell>
          <cell r="D42">
            <v>173685000</v>
          </cell>
          <cell r="E42">
            <v>0</v>
          </cell>
          <cell r="F42">
            <v>0</v>
          </cell>
          <cell r="G42">
            <v>0</v>
          </cell>
        </row>
        <row r="43">
          <cell r="A43" t="str">
            <v>투자유가증권주식</v>
          </cell>
          <cell r="B43">
            <v>0</v>
          </cell>
          <cell r="C43">
            <v>0</v>
          </cell>
          <cell r="D43">
            <v>0</v>
          </cell>
          <cell r="E43">
            <v>0</v>
          </cell>
          <cell r="F43">
            <v>0</v>
          </cell>
          <cell r="G43">
            <v>0</v>
          </cell>
        </row>
        <row r="44">
          <cell r="A44" t="str">
            <v>장기대여금</v>
          </cell>
          <cell r="B44">
            <v>23300000</v>
          </cell>
          <cell r="C44">
            <v>23300000</v>
          </cell>
          <cell r="D44">
            <v>0</v>
          </cell>
          <cell r="E44">
            <v>0</v>
          </cell>
          <cell r="F44">
            <v>0</v>
          </cell>
          <cell r="G44">
            <v>0</v>
          </cell>
        </row>
        <row r="45">
          <cell r="A45" t="str">
            <v>특정현금과예금</v>
          </cell>
          <cell r="B45">
            <v>667520000</v>
          </cell>
          <cell r="C45">
            <v>1417396713</v>
          </cell>
          <cell r="D45">
            <v>628020000</v>
          </cell>
          <cell r="E45">
            <v>0</v>
          </cell>
          <cell r="F45">
            <v>749876713</v>
          </cell>
          <cell r="G45">
            <v>0</v>
          </cell>
        </row>
        <row r="46">
          <cell r="A46" t="str">
            <v>전화가입권</v>
          </cell>
          <cell r="B46">
            <v>53131660</v>
          </cell>
          <cell r="C46">
            <v>69990630</v>
          </cell>
          <cell r="D46">
            <v>2362800</v>
          </cell>
          <cell r="E46">
            <v>5534400</v>
          </cell>
          <cell r="F46">
            <v>16858970</v>
          </cell>
          <cell r="G46">
            <v>0</v>
          </cell>
        </row>
        <row r="47">
          <cell r="A47" t="str">
            <v>기타가입권</v>
          </cell>
          <cell r="B47">
            <v>280144000</v>
          </cell>
          <cell r="C47">
            <v>280144000</v>
          </cell>
          <cell r="D47">
            <v>0</v>
          </cell>
          <cell r="E47">
            <v>0</v>
          </cell>
          <cell r="F47">
            <v>0</v>
          </cell>
          <cell r="G47">
            <v>0</v>
          </cell>
        </row>
        <row r="48">
          <cell r="A48" t="str">
            <v>지급보증금</v>
          </cell>
          <cell r="B48">
            <v>82249765</v>
          </cell>
          <cell r="C48">
            <v>178616924</v>
          </cell>
          <cell r="D48">
            <v>0</v>
          </cell>
          <cell r="E48">
            <v>0</v>
          </cell>
          <cell r="F48">
            <v>96367159</v>
          </cell>
          <cell r="G48">
            <v>0</v>
          </cell>
        </row>
        <row r="49">
          <cell r="A49" t="str">
            <v>임차보증금</v>
          </cell>
          <cell r="B49">
            <v>1906301843</v>
          </cell>
          <cell r="C49">
            <v>2224241843</v>
          </cell>
          <cell r="D49">
            <v>0</v>
          </cell>
          <cell r="E49">
            <v>8000000</v>
          </cell>
          <cell r="F49">
            <v>317940000</v>
          </cell>
          <cell r="G49">
            <v>0</v>
          </cell>
        </row>
        <row r="50">
          <cell r="A50" t="str">
            <v>리스보증금</v>
          </cell>
          <cell r="B50">
            <v>0</v>
          </cell>
          <cell r="C50">
            <v>0</v>
          </cell>
          <cell r="D50">
            <v>0</v>
          </cell>
          <cell r="E50">
            <v>0</v>
          </cell>
          <cell r="F50">
            <v>0</v>
          </cell>
          <cell r="G50">
            <v>0</v>
          </cell>
        </row>
        <row r="51">
          <cell r="A51" t="str">
            <v>부도어음</v>
          </cell>
          <cell r="B51">
            <v>29436615</v>
          </cell>
          <cell r="C51">
            <v>81759158</v>
          </cell>
          <cell r="D51">
            <v>13300000</v>
          </cell>
          <cell r="E51">
            <v>26780000</v>
          </cell>
          <cell r="F51">
            <v>52322543</v>
          </cell>
          <cell r="G51">
            <v>0</v>
          </cell>
        </row>
        <row r="52">
          <cell r="A52" t="str">
            <v>단체퇴직보험예치금</v>
          </cell>
          <cell r="B52">
            <v>3044972620</v>
          </cell>
          <cell r="C52">
            <v>3671223395</v>
          </cell>
          <cell r="D52">
            <v>599337301</v>
          </cell>
          <cell r="E52">
            <v>0</v>
          </cell>
          <cell r="F52">
            <v>626250775</v>
          </cell>
          <cell r="G52">
            <v>0</v>
          </cell>
        </row>
        <row r="53">
          <cell r="A53" t="str">
            <v>사채할인발행차금</v>
          </cell>
          <cell r="B53">
            <v>954102253</v>
          </cell>
          <cell r="C53">
            <v>1209726402</v>
          </cell>
          <cell r="D53">
            <v>0</v>
          </cell>
          <cell r="E53">
            <v>45879033</v>
          </cell>
          <cell r="F53">
            <v>255624149</v>
          </cell>
          <cell r="G53">
            <v>0</v>
          </cell>
        </row>
        <row r="54">
          <cell r="A54" t="str">
            <v>인수상품권</v>
          </cell>
          <cell r="B54">
            <v>280000</v>
          </cell>
          <cell r="C54">
            <v>5420000</v>
          </cell>
          <cell r="D54">
            <v>0</v>
          </cell>
          <cell r="E54">
            <v>200000</v>
          </cell>
          <cell r="F54">
            <v>5140000</v>
          </cell>
          <cell r="G54">
            <v>0</v>
          </cell>
        </row>
        <row r="55">
          <cell r="A55" t="str">
            <v>토지</v>
          </cell>
          <cell r="B55">
            <v>21900353239</v>
          </cell>
          <cell r="C55">
            <v>21900353239</v>
          </cell>
          <cell r="D55">
            <v>0</v>
          </cell>
          <cell r="E55">
            <v>0</v>
          </cell>
          <cell r="F55">
            <v>0</v>
          </cell>
          <cell r="G55">
            <v>0</v>
          </cell>
        </row>
        <row r="56">
          <cell r="A56" t="str">
            <v>건물</v>
          </cell>
          <cell r="B56">
            <v>19233973790</v>
          </cell>
          <cell r="C56">
            <v>19233973790</v>
          </cell>
          <cell r="D56">
            <v>0</v>
          </cell>
          <cell r="E56">
            <v>0</v>
          </cell>
          <cell r="F56">
            <v>0</v>
          </cell>
          <cell r="G56">
            <v>0</v>
          </cell>
        </row>
        <row r="57">
          <cell r="A57" t="str">
            <v>부대설비</v>
          </cell>
          <cell r="B57">
            <v>2486343275</v>
          </cell>
          <cell r="C57">
            <v>2492943275</v>
          </cell>
          <cell r="D57">
            <v>5324456</v>
          </cell>
          <cell r="E57">
            <v>6600000</v>
          </cell>
          <cell r="F57">
            <v>6600000</v>
          </cell>
          <cell r="G57">
            <v>0</v>
          </cell>
        </row>
        <row r="58">
          <cell r="A58" t="str">
            <v>구축물</v>
          </cell>
          <cell r="B58">
            <v>1420097049</v>
          </cell>
          <cell r="C58">
            <v>1431123016</v>
          </cell>
          <cell r="D58">
            <v>1500000</v>
          </cell>
          <cell r="E58">
            <v>0</v>
          </cell>
          <cell r="F58">
            <v>11025967</v>
          </cell>
          <cell r="G58">
            <v>0</v>
          </cell>
        </row>
        <row r="59">
          <cell r="A59" t="str">
            <v>기계장치</v>
          </cell>
          <cell r="B59">
            <v>4434189843</v>
          </cell>
          <cell r="C59">
            <v>4434189843</v>
          </cell>
          <cell r="D59">
            <v>6900000</v>
          </cell>
          <cell r="E59">
            <v>0</v>
          </cell>
          <cell r="F59">
            <v>0</v>
          </cell>
          <cell r="G59">
            <v>0</v>
          </cell>
        </row>
        <row r="60">
          <cell r="A60" t="str">
            <v>공기구비품</v>
          </cell>
          <cell r="B60">
            <v>7051755685</v>
          </cell>
          <cell r="C60">
            <v>7445457911</v>
          </cell>
          <cell r="D60">
            <v>38658854</v>
          </cell>
          <cell r="E60">
            <v>14735000</v>
          </cell>
          <cell r="F60">
            <v>393702226</v>
          </cell>
          <cell r="G60">
            <v>0</v>
          </cell>
        </row>
        <row r="61">
          <cell r="A61" t="str">
            <v>차량운반구</v>
          </cell>
          <cell r="B61">
            <v>533913833</v>
          </cell>
          <cell r="C61">
            <v>730536630</v>
          </cell>
          <cell r="D61">
            <v>0</v>
          </cell>
          <cell r="E61">
            <v>330320</v>
          </cell>
          <cell r="F61">
            <v>196622797</v>
          </cell>
          <cell r="G61">
            <v>0</v>
          </cell>
        </row>
        <row r="62">
          <cell r="A62" t="str">
            <v>건설가계정</v>
          </cell>
          <cell r="B62">
            <v>9331663342</v>
          </cell>
          <cell r="C62">
            <v>9478863342</v>
          </cell>
          <cell r="D62">
            <v>172362330</v>
          </cell>
          <cell r="E62">
            <v>0</v>
          </cell>
          <cell r="F62">
            <v>147200000</v>
          </cell>
          <cell r="G62">
            <v>0</v>
          </cell>
        </row>
        <row r="63">
          <cell r="A63" t="str">
            <v>특허권</v>
          </cell>
          <cell r="B63">
            <v>5175680</v>
          </cell>
          <cell r="C63">
            <v>5530427</v>
          </cell>
          <cell r="D63">
            <v>0</v>
          </cell>
          <cell r="E63">
            <v>62842</v>
          </cell>
          <cell r="F63">
            <v>354747</v>
          </cell>
          <cell r="G63">
            <v>0</v>
          </cell>
        </row>
        <row r="64">
          <cell r="A64" t="str">
            <v>상표권</v>
          </cell>
          <cell r="B64">
            <v>83691324</v>
          </cell>
          <cell r="C64">
            <v>97527567</v>
          </cell>
          <cell r="D64">
            <v>0</v>
          </cell>
          <cell r="E64">
            <v>2286943</v>
          </cell>
          <cell r="F64">
            <v>13836243</v>
          </cell>
          <cell r="G64">
            <v>0</v>
          </cell>
        </row>
        <row r="65">
          <cell r="A65" t="str">
            <v>실용실안권</v>
          </cell>
          <cell r="B65">
            <v>219997</v>
          </cell>
          <cell r="C65">
            <v>268375</v>
          </cell>
          <cell r="D65">
            <v>0</v>
          </cell>
          <cell r="E65">
            <v>8063</v>
          </cell>
          <cell r="F65">
            <v>48378</v>
          </cell>
          <cell r="G65">
            <v>0</v>
          </cell>
        </row>
        <row r="66">
          <cell r="A66" t="str">
            <v>의장권</v>
          </cell>
          <cell r="B66">
            <v>4911436</v>
          </cell>
          <cell r="C66">
            <v>5719136</v>
          </cell>
          <cell r="D66">
            <v>0</v>
          </cell>
          <cell r="E66">
            <v>134450</v>
          </cell>
          <cell r="F66">
            <v>807700</v>
          </cell>
          <cell r="G66">
            <v>0</v>
          </cell>
        </row>
        <row r="67">
          <cell r="A67" t="str">
            <v>신주발행비</v>
          </cell>
          <cell r="B67">
            <v>1466668</v>
          </cell>
          <cell r="C67">
            <v>1600000</v>
          </cell>
          <cell r="D67">
            <v>0</v>
          </cell>
          <cell r="E67">
            <v>44444</v>
          </cell>
          <cell r="F67">
            <v>133332</v>
          </cell>
          <cell r="G67">
            <v>0</v>
          </cell>
        </row>
        <row r="68">
          <cell r="A68" t="str">
            <v>사채발행비</v>
          </cell>
          <cell r="B68">
            <v>70008336</v>
          </cell>
          <cell r="C68">
            <v>86458617</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v>
          </cell>
        </row>
        <row r="70">
          <cell r="A70" t="str">
            <v>외화환산차</v>
          </cell>
          <cell r="B70">
            <v>143657304</v>
          </cell>
          <cell r="C70">
            <v>159292336</v>
          </cell>
          <cell r="D70">
            <v>0</v>
          </cell>
          <cell r="E70">
            <v>15635032</v>
          </cell>
          <cell r="F70">
            <v>15635032</v>
          </cell>
          <cell r="G70">
            <v>0</v>
          </cell>
        </row>
        <row r="71">
          <cell r="A71" t="str">
            <v>당좌차월</v>
          </cell>
          <cell r="B71">
            <v>0</v>
          </cell>
          <cell r="C71">
            <v>62310121918</v>
          </cell>
          <cell r="D71">
            <v>11887290017</v>
          </cell>
          <cell r="E71">
            <v>12018997886</v>
          </cell>
          <cell r="F71">
            <v>74329119804</v>
          </cell>
          <cell r="G71">
            <v>12018997886</v>
          </cell>
        </row>
        <row r="72">
          <cell r="A72" t="str">
            <v>외상매입금</v>
          </cell>
          <cell r="B72">
            <v>0</v>
          </cell>
          <cell r="C72">
            <v>35697579367</v>
          </cell>
          <cell r="D72">
            <v>7973414574</v>
          </cell>
          <cell r="E72">
            <v>6371393748</v>
          </cell>
          <cell r="F72">
            <v>42974414936</v>
          </cell>
          <cell r="G72">
            <v>7276835569</v>
          </cell>
        </row>
        <row r="73">
          <cell r="A73" t="str">
            <v>지급어음</v>
          </cell>
          <cell r="B73">
            <v>0</v>
          </cell>
          <cell r="C73">
            <v>32395216682</v>
          </cell>
          <cell r="D73">
            <v>7433258822</v>
          </cell>
          <cell r="E73">
            <v>4851109059</v>
          </cell>
          <cell r="F73">
            <v>43718717717</v>
          </cell>
          <cell r="G73">
            <v>11323501035</v>
          </cell>
        </row>
        <row r="74">
          <cell r="A74" t="str">
            <v>단기차입금</v>
          </cell>
          <cell r="B74">
            <v>0</v>
          </cell>
          <cell r="C74">
            <v>2764832370</v>
          </cell>
          <cell r="D74">
            <v>187500000</v>
          </cell>
          <cell r="E74">
            <v>7746000000</v>
          </cell>
          <cell r="F74">
            <v>24359032370</v>
          </cell>
          <cell r="G74">
            <v>21594200000</v>
          </cell>
        </row>
        <row r="75">
          <cell r="A75" t="str">
            <v>어음차입금</v>
          </cell>
          <cell r="B75">
            <v>0</v>
          </cell>
          <cell r="C75">
            <v>44843449347</v>
          </cell>
          <cell r="D75">
            <v>8821141912</v>
          </cell>
          <cell r="E75">
            <v>6250000000</v>
          </cell>
          <cell r="F75">
            <v>55464838155</v>
          </cell>
          <cell r="G75">
            <v>10621388808</v>
          </cell>
        </row>
        <row r="76">
          <cell r="A76" t="str">
            <v>할인어음</v>
          </cell>
          <cell r="B76">
            <v>0</v>
          </cell>
          <cell r="C76">
            <v>22392835174</v>
          </cell>
          <cell r="D76">
            <v>6849330163</v>
          </cell>
          <cell r="E76">
            <v>4447067735</v>
          </cell>
          <cell r="F76">
            <v>30672949608</v>
          </cell>
          <cell r="G76">
            <v>8280114434</v>
          </cell>
        </row>
        <row r="77">
          <cell r="A77" t="str">
            <v>미지급금</v>
          </cell>
          <cell r="B77">
            <v>0</v>
          </cell>
          <cell r="C77">
            <v>18610446232</v>
          </cell>
          <cell r="D77">
            <v>3280488603</v>
          </cell>
          <cell r="E77">
            <v>4400876966</v>
          </cell>
          <cell r="F77">
            <v>23223871789</v>
          </cell>
          <cell r="G77">
            <v>4613425557</v>
          </cell>
        </row>
        <row r="78">
          <cell r="A78" t="str">
            <v>선수금</v>
          </cell>
          <cell r="B78">
            <v>0</v>
          </cell>
          <cell r="C78">
            <v>7988673</v>
          </cell>
          <cell r="D78">
            <v>0</v>
          </cell>
          <cell r="E78">
            <v>0</v>
          </cell>
          <cell r="F78">
            <v>8208678</v>
          </cell>
          <cell r="G78">
            <v>220005</v>
          </cell>
        </row>
        <row r="79">
          <cell r="A79" t="str">
            <v>예수금</v>
          </cell>
          <cell r="B79">
            <v>0</v>
          </cell>
          <cell r="C79">
            <v>580351125</v>
          </cell>
          <cell r="D79">
            <v>211042348</v>
          </cell>
          <cell r="E79">
            <v>354412077</v>
          </cell>
          <cell r="F79">
            <v>1139170350</v>
          </cell>
          <cell r="G79">
            <v>558819225</v>
          </cell>
        </row>
        <row r="80">
          <cell r="A80" t="str">
            <v>예수부가세</v>
          </cell>
          <cell r="B80">
            <v>0</v>
          </cell>
          <cell r="C80">
            <v>3928890184</v>
          </cell>
          <cell r="D80">
            <v>1675609110</v>
          </cell>
          <cell r="E80">
            <v>578316413</v>
          </cell>
          <cell r="F80">
            <v>3928890184</v>
          </cell>
          <cell r="G80">
            <v>0</v>
          </cell>
        </row>
        <row r="81">
          <cell r="A81" t="str">
            <v>미지급비용</v>
          </cell>
          <cell r="B81">
            <v>0</v>
          </cell>
          <cell r="C81">
            <v>2022805606</v>
          </cell>
          <cell r="D81">
            <v>208547940</v>
          </cell>
          <cell r="E81">
            <v>366559659</v>
          </cell>
          <cell r="F81">
            <v>2689547556</v>
          </cell>
          <cell r="G81">
            <v>666741950</v>
          </cell>
        </row>
        <row r="82">
          <cell r="A82" t="str">
            <v>미지급법인세</v>
          </cell>
          <cell r="B82">
            <v>0</v>
          </cell>
          <cell r="C82">
            <v>202711451</v>
          </cell>
          <cell r="D82">
            <v>0</v>
          </cell>
          <cell r="E82">
            <v>367620695</v>
          </cell>
          <cell r="F82">
            <v>421324380</v>
          </cell>
          <cell r="G82">
            <v>218612929</v>
          </cell>
        </row>
        <row r="83">
          <cell r="A83" t="str">
            <v>관계회사단기차입금</v>
          </cell>
          <cell r="B83">
            <v>0</v>
          </cell>
          <cell r="C83">
            <v>6172712472</v>
          </cell>
          <cell r="D83">
            <v>221713147</v>
          </cell>
          <cell r="E83">
            <v>513713147</v>
          </cell>
          <cell r="F83">
            <v>6717517574</v>
          </cell>
          <cell r="G83">
            <v>544805102</v>
          </cell>
        </row>
        <row r="84">
          <cell r="A84" t="str">
            <v>수입보증금</v>
          </cell>
          <cell r="B84">
            <v>0</v>
          </cell>
          <cell r="C84">
            <v>54972494</v>
          </cell>
          <cell r="D84">
            <v>0</v>
          </cell>
          <cell r="E84">
            <v>5000000</v>
          </cell>
          <cell r="F84">
            <v>176500000</v>
          </cell>
          <cell r="G84">
            <v>121527506</v>
          </cell>
        </row>
        <row r="85">
          <cell r="A85" t="str">
            <v>유동성장기부채</v>
          </cell>
          <cell r="B85">
            <v>0</v>
          </cell>
          <cell r="C85">
            <v>2214000000</v>
          </cell>
          <cell r="D85">
            <v>0</v>
          </cell>
          <cell r="E85">
            <v>1999530000</v>
          </cell>
          <cell r="F85">
            <v>4213530000</v>
          </cell>
          <cell r="G85">
            <v>1999530000</v>
          </cell>
        </row>
        <row r="86">
          <cell r="A86" t="str">
            <v>유동성사채</v>
          </cell>
          <cell r="B86">
            <v>0</v>
          </cell>
          <cell r="C86">
            <v>10500000000</v>
          </cell>
          <cell r="D86">
            <v>0</v>
          </cell>
          <cell r="E86">
            <v>13500000000</v>
          </cell>
          <cell r="F86">
            <v>24000000000</v>
          </cell>
          <cell r="G86">
            <v>13500000000</v>
          </cell>
        </row>
        <row r="87">
          <cell r="A87" t="str">
            <v>선수수익</v>
          </cell>
          <cell r="B87">
            <v>0</v>
          </cell>
          <cell r="C87">
            <v>154242192</v>
          </cell>
          <cell r="D87">
            <v>154242192</v>
          </cell>
          <cell r="E87">
            <v>16775067</v>
          </cell>
          <cell r="F87">
            <v>171017259</v>
          </cell>
          <cell r="G87">
            <v>16775067</v>
          </cell>
        </row>
        <row r="88">
          <cell r="A88" t="str">
            <v>가수금</v>
          </cell>
          <cell r="B88">
            <v>0</v>
          </cell>
          <cell r="C88">
            <v>42855255194</v>
          </cell>
          <cell r="D88">
            <v>7788431137</v>
          </cell>
          <cell r="E88">
            <v>7336547055</v>
          </cell>
          <cell r="F88">
            <v>42855255194</v>
          </cell>
          <cell r="G88">
            <v>0</v>
          </cell>
        </row>
        <row r="89">
          <cell r="A89" t="str">
            <v>상여충당금</v>
          </cell>
          <cell r="B89">
            <v>0</v>
          </cell>
          <cell r="C89">
            <v>989132993</v>
          </cell>
          <cell r="D89">
            <v>397689207</v>
          </cell>
          <cell r="E89">
            <v>-248429014</v>
          </cell>
          <cell r="F89">
            <v>989132993</v>
          </cell>
          <cell r="G89">
            <v>0</v>
          </cell>
        </row>
        <row r="90">
          <cell r="A90" t="str">
            <v>외상매출대손충당금</v>
          </cell>
          <cell r="B90">
            <v>0</v>
          </cell>
          <cell r="C90">
            <v>0</v>
          </cell>
          <cell r="D90">
            <v>0</v>
          </cell>
          <cell r="E90">
            <v>54404421</v>
          </cell>
          <cell r="F90">
            <v>267755054</v>
          </cell>
          <cell r="G90">
            <v>267755054</v>
          </cell>
        </row>
        <row r="91">
          <cell r="A91" t="str">
            <v>받을어음대손충당금</v>
          </cell>
          <cell r="B91">
            <v>0</v>
          </cell>
          <cell r="C91">
            <v>24613325</v>
          </cell>
          <cell r="D91">
            <v>24613325</v>
          </cell>
          <cell r="E91">
            <v>0</v>
          </cell>
          <cell r="F91">
            <v>44070278</v>
          </cell>
          <cell r="G91">
            <v>19456953</v>
          </cell>
        </row>
        <row r="92">
          <cell r="A92" t="str">
            <v>유동성외화장기차입금</v>
          </cell>
          <cell r="B92">
            <v>0</v>
          </cell>
          <cell r="C92">
            <v>0</v>
          </cell>
          <cell r="D92">
            <v>0</v>
          </cell>
          <cell r="E92">
            <v>60148000</v>
          </cell>
          <cell r="F92">
            <v>60148000</v>
          </cell>
          <cell r="G92">
            <v>60148000</v>
          </cell>
        </row>
        <row r="93">
          <cell r="A93" t="str">
            <v>임대보증금</v>
          </cell>
          <cell r="B93">
            <v>0</v>
          </cell>
          <cell r="C93">
            <v>0</v>
          </cell>
          <cell r="D93">
            <v>0</v>
          </cell>
          <cell r="E93">
            <v>0</v>
          </cell>
          <cell r="F93">
            <v>80000000</v>
          </cell>
          <cell r="G93">
            <v>80000000</v>
          </cell>
        </row>
        <row r="94">
          <cell r="A94" t="str">
            <v>미지급배당금</v>
          </cell>
          <cell r="B94">
            <v>0</v>
          </cell>
          <cell r="C94">
            <v>600000000</v>
          </cell>
          <cell r="D94">
            <v>0</v>
          </cell>
          <cell r="E94">
            <v>0</v>
          </cell>
          <cell r="F94">
            <v>600036552</v>
          </cell>
          <cell r="G94">
            <v>36552</v>
          </cell>
        </row>
        <row r="95">
          <cell r="A95" t="str">
            <v>재무가수금</v>
          </cell>
          <cell r="B95">
            <v>0</v>
          </cell>
          <cell r="C95">
            <v>2037410051</v>
          </cell>
          <cell r="D95">
            <v>0</v>
          </cell>
          <cell r="E95">
            <v>0</v>
          </cell>
          <cell r="F95">
            <v>2037410051</v>
          </cell>
          <cell r="G95">
            <v>0</v>
          </cell>
        </row>
        <row r="96">
          <cell r="A96" t="str">
            <v>사채</v>
          </cell>
          <cell r="B96">
            <v>0</v>
          </cell>
          <cell r="C96">
            <v>15500000000</v>
          </cell>
          <cell r="D96">
            <v>13500000000</v>
          </cell>
          <cell r="E96">
            <v>0</v>
          </cell>
          <cell r="F96">
            <v>41500000000</v>
          </cell>
          <cell r="G96">
            <v>26000000000</v>
          </cell>
        </row>
        <row r="97">
          <cell r="A97" t="str">
            <v>장기차입금</v>
          </cell>
          <cell r="B97">
            <v>0</v>
          </cell>
          <cell r="C97">
            <v>3110590000</v>
          </cell>
          <cell r="D97">
            <v>2277300000</v>
          </cell>
          <cell r="E97">
            <v>0</v>
          </cell>
          <cell r="F97">
            <v>6473250000</v>
          </cell>
          <cell r="G97">
            <v>3362660000</v>
          </cell>
        </row>
        <row r="98">
          <cell r="A98" t="str">
            <v>외화장기차입금</v>
          </cell>
          <cell r="B98">
            <v>0</v>
          </cell>
          <cell r="C98">
            <v>142448000</v>
          </cell>
          <cell r="D98">
            <v>129008000</v>
          </cell>
          <cell r="E98">
            <v>0</v>
          </cell>
          <cell r="F98">
            <v>383040000</v>
          </cell>
          <cell r="G98">
            <v>240592000</v>
          </cell>
        </row>
        <row r="99">
          <cell r="A99" t="str">
            <v>건물감가충당금</v>
          </cell>
          <cell r="B99">
            <v>0</v>
          </cell>
          <cell r="C99">
            <v>0</v>
          </cell>
          <cell r="D99">
            <v>0</v>
          </cell>
          <cell r="E99">
            <v>51443049</v>
          </cell>
          <cell r="F99">
            <v>2920558931</v>
          </cell>
          <cell r="G99">
            <v>2920558931</v>
          </cell>
        </row>
        <row r="100">
          <cell r="A100" t="str">
            <v>부대설비감가충당금</v>
          </cell>
          <cell r="B100">
            <v>0</v>
          </cell>
          <cell r="C100">
            <v>1180000</v>
          </cell>
          <cell r="D100">
            <v>1180000</v>
          </cell>
          <cell r="E100">
            <v>17622268</v>
          </cell>
          <cell r="F100">
            <v>1154462466</v>
          </cell>
          <cell r="G100">
            <v>1153282466</v>
          </cell>
        </row>
        <row r="101">
          <cell r="A101" t="str">
            <v>구축물감가충당금</v>
          </cell>
          <cell r="B101">
            <v>0</v>
          </cell>
          <cell r="C101">
            <v>1929544</v>
          </cell>
          <cell r="D101">
            <v>0</v>
          </cell>
          <cell r="E101">
            <v>6745418</v>
          </cell>
          <cell r="F101">
            <v>551647435</v>
          </cell>
          <cell r="G101">
            <v>549717891</v>
          </cell>
        </row>
        <row r="102">
          <cell r="A102" t="str">
            <v>기계장치감가충당금</v>
          </cell>
          <cell r="B102">
            <v>0</v>
          </cell>
          <cell r="C102">
            <v>0</v>
          </cell>
          <cell r="D102">
            <v>0</v>
          </cell>
          <cell r="E102">
            <v>45644696</v>
          </cell>
          <cell r="F102">
            <v>3069494039</v>
          </cell>
          <cell r="G102">
            <v>3069494039</v>
          </cell>
        </row>
        <row r="103">
          <cell r="A103" t="str">
            <v>공구비품감가충당금</v>
          </cell>
          <cell r="B103">
            <v>0</v>
          </cell>
          <cell r="C103">
            <v>367780514</v>
          </cell>
          <cell r="D103">
            <v>7317713</v>
          </cell>
          <cell r="E103">
            <v>75592334</v>
          </cell>
          <cell r="F103">
            <v>6070288459</v>
          </cell>
          <cell r="G103">
            <v>5702507945</v>
          </cell>
        </row>
        <row r="104">
          <cell r="A104" t="str">
            <v>차량감가충당금</v>
          </cell>
          <cell r="B104">
            <v>0</v>
          </cell>
          <cell r="C104">
            <v>168901966</v>
          </cell>
          <cell r="D104">
            <v>324804</v>
          </cell>
          <cell r="E104">
            <v>-4596129</v>
          </cell>
          <cell r="F104">
            <v>634550326</v>
          </cell>
          <cell r="G104">
            <v>465648360</v>
          </cell>
        </row>
        <row r="105">
          <cell r="A105" t="str">
            <v>퇴직급여충당금</v>
          </cell>
          <cell r="B105">
            <v>0</v>
          </cell>
          <cell r="C105">
            <v>2159879767</v>
          </cell>
          <cell r="D105">
            <v>842663050</v>
          </cell>
          <cell r="E105">
            <v>35418743</v>
          </cell>
          <cell r="F105">
            <v>3763057689</v>
          </cell>
          <cell r="G105">
            <v>1603177922</v>
          </cell>
        </row>
        <row r="106">
          <cell r="A106" t="str">
            <v>단체퇴직충당금</v>
          </cell>
          <cell r="B106">
            <v>0</v>
          </cell>
          <cell r="C106">
            <v>0</v>
          </cell>
          <cell r="D106">
            <v>0</v>
          </cell>
          <cell r="E106">
            <v>0</v>
          </cell>
          <cell r="F106">
            <v>2588720641</v>
          </cell>
          <cell r="G106">
            <v>2588720641</v>
          </cell>
        </row>
        <row r="107">
          <cell r="A107" t="str">
            <v>투자자산평가충당금</v>
          </cell>
          <cell r="B107">
            <v>0</v>
          </cell>
          <cell r="C107">
            <v>0</v>
          </cell>
          <cell r="D107">
            <v>0</v>
          </cell>
          <cell r="E107">
            <v>0</v>
          </cell>
          <cell r="F107">
            <v>718044316</v>
          </cell>
          <cell r="G107">
            <v>718044316</v>
          </cell>
        </row>
        <row r="108">
          <cell r="A108" t="str">
            <v>자본금</v>
          </cell>
          <cell r="B108">
            <v>0</v>
          </cell>
          <cell r="C108">
            <v>0</v>
          </cell>
          <cell r="D108">
            <v>0</v>
          </cell>
          <cell r="E108">
            <v>0</v>
          </cell>
          <cell r="F108">
            <v>10000000000</v>
          </cell>
          <cell r="G108">
            <v>10000000000</v>
          </cell>
        </row>
        <row r="109">
          <cell r="A109" t="str">
            <v>기타자본잉여금</v>
          </cell>
          <cell r="B109">
            <v>0</v>
          </cell>
          <cell r="C109">
            <v>0</v>
          </cell>
          <cell r="D109">
            <v>0</v>
          </cell>
          <cell r="E109">
            <v>0</v>
          </cell>
          <cell r="F109">
            <v>6649815250</v>
          </cell>
          <cell r="G109">
            <v>6649815250</v>
          </cell>
        </row>
        <row r="110">
          <cell r="A110" t="str">
            <v>이익준비금</v>
          </cell>
          <cell r="B110">
            <v>0</v>
          </cell>
          <cell r="C110">
            <v>0</v>
          </cell>
          <cell r="D110">
            <v>0</v>
          </cell>
          <cell r="E110">
            <v>0</v>
          </cell>
          <cell r="F110">
            <v>4700000000</v>
          </cell>
          <cell r="G110">
            <v>4700000000</v>
          </cell>
        </row>
        <row r="111">
          <cell r="A111" t="str">
            <v>투자준비금</v>
          </cell>
          <cell r="B111">
            <v>0</v>
          </cell>
          <cell r="C111">
            <v>0</v>
          </cell>
          <cell r="D111">
            <v>0</v>
          </cell>
          <cell r="E111">
            <v>0</v>
          </cell>
          <cell r="F111">
            <v>422000000</v>
          </cell>
          <cell r="G111">
            <v>422000000</v>
          </cell>
        </row>
        <row r="112">
          <cell r="A112" t="str">
            <v>기업합리화적립금</v>
          </cell>
          <cell r="B112">
            <v>0</v>
          </cell>
          <cell r="C112">
            <v>0</v>
          </cell>
          <cell r="D112">
            <v>0</v>
          </cell>
          <cell r="E112">
            <v>0</v>
          </cell>
          <cell r="F112">
            <v>4563553540</v>
          </cell>
          <cell r="G112">
            <v>4563553540</v>
          </cell>
        </row>
        <row r="113">
          <cell r="A113" t="str">
            <v>배당금</v>
          </cell>
          <cell r="B113">
            <v>0</v>
          </cell>
          <cell r="C113">
            <v>0</v>
          </cell>
          <cell r="D113">
            <v>0</v>
          </cell>
          <cell r="E113">
            <v>0</v>
          </cell>
          <cell r="F113">
            <v>250000000</v>
          </cell>
          <cell r="G113">
            <v>250000000</v>
          </cell>
        </row>
        <row r="114">
          <cell r="A114" t="str">
            <v>임의적립금</v>
          </cell>
          <cell r="B114">
            <v>0</v>
          </cell>
          <cell r="C114">
            <v>0</v>
          </cell>
          <cell r="D114">
            <v>0</v>
          </cell>
          <cell r="E114">
            <v>0</v>
          </cell>
          <cell r="F114">
            <v>9000000000</v>
          </cell>
          <cell r="G114">
            <v>9000000000</v>
          </cell>
        </row>
        <row r="115">
          <cell r="A115" t="str">
            <v>기술개발준비금</v>
          </cell>
          <cell r="B115">
            <v>0</v>
          </cell>
          <cell r="C115">
            <v>0</v>
          </cell>
          <cell r="D115">
            <v>0</v>
          </cell>
          <cell r="E115">
            <v>0</v>
          </cell>
          <cell r="F115">
            <v>2670000000</v>
          </cell>
          <cell r="G115">
            <v>2670000000</v>
          </cell>
        </row>
        <row r="116">
          <cell r="A116" t="str">
            <v>수정후전기이월잉여금</v>
          </cell>
          <cell r="B116">
            <v>0</v>
          </cell>
          <cell r="C116">
            <v>0</v>
          </cell>
          <cell r="D116">
            <v>0</v>
          </cell>
          <cell r="E116">
            <v>0</v>
          </cell>
          <cell r="F116">
            <v>2314212934</v>
          </cell>
          <cell r="G116">
            <v>2314212934</v>
          </cell>
        </row>
        <row r="117">
          <cell r="A117" t="str">
            <v>전기손익수정이익</v>
          </cell>
          <cell r="B117">
            <v>0</v>
          </cell>
          <cell r="C117">
            <v>0</v>
          </cell>
          <cell r="D117">
            <v>0</v>
          </cell>
          <cell r="E117">
            <v>0</v>
          </cell>
          <cell r="F117">
            <v>0</v>
          </cell>
          <cell r="G117">
            <v>0</v>
          </cell>
        </row>
        <row r="118">
          <cell r="A118" t="str">
            <v>전기손익수정손실</v>
          </cell>
          <cell r="B118">
            <v>0</v>
          </cell>
          <cell r="C118">
            <v>0</v>
          </cell>
          <cell r="D118">
            <v>0</v>
          </cell>
          <cell r="E118">
            <v>0</v>
          </cell>
          <cell r="F118">
            <v>0</v>
          </cell>
          <cell r="G118">
            <v>0</v>
          </cell>
        </row>
        <row r="119">
          <cell r="A119" t="str">
            <v>상품매출</v>
          </cell>
          <cell r="B119">
            <v>0</v>
          </cell>
          <cell r="C119">
            <v>0</v>
          </cell>
          <cell r="D119">
            <v>0</v>
          </cell>
          <cell r="E119">
            <v>6274020769</v>
          </cell>
          <cell r="F119">
            <v>33577511198</v>
          </cell>
          <cell r="G119">
            <v>33577511198</v>
          </cell>
        </row>
        <row r="120">
          <cell r="A120" t="str">
            <v>제품매출</v>
          </cell>
          <cell r="B120">
            <v>0</v>
          </cell>
          <cell r="C120">
            <v>0</v>
          </cell>
          <cell r="D120">
            <v>0</v>
          </cell>
          <cell r="E120">
            <v>4895314400</v>
          </cell>
          <cell r="F120">
            <v>26371504176</v>
          </cell>
          <cell r="G120">
            <v>26371504176</v>
          </cell>
        </row>
        <row r="121">
          <cell r="A121" t="str">
            <v>기타매출</v>
          </cell>
          <cell r="B121">
            <v>0</v>
          </cell>
          <cell r="C121">
            <v>0</v>
          </cell>
          <cell r="D121">
            <v>0</v>
          </cell>
          <cell r="E121">
            <v>129546290</v>
          </cell>
          <cell r="F121">
            <v>417344846</v>
          </cell>
          <cell r="G121">
            <v>417344846</v>
          </cell>
        </row>
        <row r="122">
          <cell r="A122" t="str">
            <v>용역매출</v>
          </cell>
          <cell r="B122">
            <v>0</v>
          </cell>
          <cell r="C122">
            <v>0</v>
          </cell>
          <cell r="D122">
            <v>0</v>
          </cell>
          <cell r="E122">
            <v>0</v>
          </cell>
          <cell r="F122">
            <v>14015764</v>
          </cell>
          <cell r="G122">
            <v>14015764</v>
          </cell>
        </row>
        <row r="123">
          <cell r="A123" t="str">
            <v>수입이자와할인료</v>
          </cell>
          <cell r="B123">
            <v>0</v>
          </cell>
          <cell r="C123">
            <v>0</v>
          </cell>
          <cell r="D123">
            <v>0</v>
          </cell>
          <cell r="E123">
            <v>2077362328</v>
          </cell>
          <cell r="F123">
            <v>2506747788</v>
          </cell>
          <cell r="G123">
            <v>2506747788</v>
          </cell>
        </row>
        <row r="124">
          <cell r="A124" t="str">
            <v>수입임대료</v>
          </cell>
          <cell r="B124">
            <v>0</v>
          </cell>
          <cell r="C124">
            <v>0</v>
          </cell>
          <cell r="D124">
            <v>0</v>
          </cell>
          <cell r="E124">
            <v>3924000</v>
          </cell>
          <cell r="F124">
            <v>19902076</v>
          </cell>
          <cell r="G124">
            <v>19902076</v>
          </cell>
        </row>
        <row r="125">
          <cell r="A125" t="str">
            <v>외화환산이익</v>
          </cell>
          <cell r="B125">
            <v>0</v>
          </cell>
          <cell r="C125">
            <v>0</v>
          </cell>
          <cell r="D125">
            <v>0</v>
          </cell>
          <cell r="E125">
            <v>68860000</v>
          </cell>
          <cell r="F125">
            <v>84880000</v>
          </cell>
          <cell r="G125">
            <v>84880000</v>
          </cell>
        </row>
        <row r="126">
          <cell r="A126" t="str">
            <v>외환차익</v>
          </cell>
          <cell r="B126">
            <v>0</v>
          </cell>
          <cell r="C126">
            <v>0</v>
          </cell>
          <cell r="D126">
            <v>0</v>
          </cell>
          <cell r="E126">
            <v>0</v>
          </cell>
          <cell r="F126">
            <v>1262873</v>
          </cell>
          <cell r="G126">
            <v>1262873</v>
          </cell>
        </row>
        <row r="127">
          <cell r="A127" t="str">
            <v>잡이익</v>
          </cell>
          <cell r="B127">
            <v>0</v>
          </cell>
          <cell r="C127">
            <v>0</v>
          </cell>
          <cell r="D127">
            <v>0</v>
          </cell>
          <cell r="E127">
            <v>99082492</v>
          </cell>
          <cell r="F127">
            <v>256910975</v>
          </cell>
          <cell r="G127">
            <v>256910975</v>
          </cell>
        </row>
        <row r="128">
          <cell r="A128" t="str">
            <v>업무수임수입</v>
          </cell>
          <cell r="B128">
            <v>0</v>
          </cell>
          <cell r="C128">
            <v>0</v>
          </cell>
          <cell r="D128">
            <v>0</v>
          </cell>
          <cell r="E128">
            <v>137248073</v>
          </cell>
          <cell r="F128">
            <v>1402652959</v>
          </cell>
          <cell r="G128">
            <v>1402652959</v>
          </cell>
        </row>
        <row r="129">
          <cell r="A129" t="str">
            <v>대손충당금환입</v>
          </cell>
          <cell r="B129">
            <v>0</v>
          </cell>
          <cell r="C129">
            <v>0</v>
          </cell>
          <cell r="D129">
            <v>0</v>
          </cell>
          <cell r="E129">
            <v>24613325</v>
          </cell>
          <cell r="F129">
            <v>24613325</v>
          </cell>
          <cell r="G129">
            <v>24613325</v>
          </cell>
        </row>
        <row r="130">
          <cell r="A130" t="str">
            <v>고정자산처분이익</v>
          </cell>
          <cell r="B130">
            <v>0</v>
          </cell>
          <cell r="C130">
            <v>0</v>
          </cell>
          <cell r="D130">
            <v>0</v>
          </cell>
          <cell r="E130">
            <v>0</v>
          </cell>
          <cell r="F130">
            <v>8936436</v>
          </cell>
          <cell r="G130">
            <v>8936436</v>
          </cell>
        </row>
        <row r="131">
          <cell r="A131" t="str">
            <v>상품매출원가</v>
          </cell>
          <cell r="B131">
            <v>25337340015</v>
          </cell>
          <cell r="C131">
            <v>25337340015</v>
          </cell>
          <cell r="D131">
            <v>4787102966</v>
          </cell>
          <cell r="E131">
            <v>0</v>
          </cell>
          <cell r="F131">
            <v>0</v>
          </cell>
          <cell r="G131">
            <v>0</v>
          </cell>
        </row>
        <row r="132">
          <cell r="A132" t="str">
            <v>제품매출원가</v>
          </cell>
          <cell r="B132">
            <v>14705206976</v>
          </cell>
          <cell r="C132">
            <v>14705206976</v>
          </cell>
          <cell r="D132">
            <v>2862502875</v>
          </cell>
          <cell r="E132">
            <v>0</v>
          </cell>
          <cell r="F132">
            <v>0</v>
          </cell>
          <cell r="G132">
            <v>0</v>
          </cell>
        </row>
        <row r="133">
          <cell r="A133" t="str">
            <v>기타매출원가</v>
          </cell>
          <cell r="B133">
            <v>412494015</v>
          </cell>
          <cell r="C133">
            <v>412494015</v>
          </cell>
          <cell r="D133">
            <v>237425826</v>
          </cell>
          <cell r="E133">
            <v>0</v>
          </cell>
          <cell r="F133">
            <v>0</v>
          </cell>
          <cell r="G133">
            <v>0</v>
          </cell>
        </row>
        <row r="134">
          <cell r="A134" t="str">
            <v>임원급여</v>
          </cell>
          <cell r="B134">
            <v>304256000</v>
          </cell>
          <cell r="C134">
            <v>304256000</v>
          </cell>
          <cell r="D134">
            <v>28537000</v>
          </cell>
          <cell r="E134">
            <v>0</v>
          </cell>
          <cell r="F134">
            <v>0</v>
          </cell>
          <cell r="G134">
            <v>0</v>
          </cell>
        </row>
        <row r="135">
          <cell r="A135" t="str">
            <v>급여및수당</v>
          </cell>
          <cell r="B135">
            <v>3905353228</v>
          </cell>
          <cell r="C135">
            <v>3905353228</v>
          </cell>
          <cell r="D135">
            <v>510684650</v>
          </cell>
          <cell r="E135">
            <v>0</v>
          </cell>
          <cell r="F135">
            <v>0</v>
          </cell>
          <cell r="G135">
            <v>0</v>
          </cell>
        </row>
        <row r="136">
          <cell r="A136" t="str">
            <v>임금</v>
          </cell>
          <cell r="B136">
            <v>47047840</v>
          </cell>
          <cell r="C136">
            <v>47047840</v>
          </cell>
          <cell r="D136">
            <v>3445677</v>
          </cell>
          <cell r="E136">
            <v>0</v>
          </cell>
          <cell r="F136">
            <v>0</v>
          </cell>
          <cell r="G136">
            <v>0</v>
          </cell>
        </row>
        <row r="137">
          <cell r="A137" t="str">
            <v>잡급</v>
          </cell>
          <cell r="B137">
            <v>531635855</v>
          </cell>
          <cell r="C137">
            <v>531635855</v>
          </cell>
          <cell r="D137">
            <v>117098977</v>
          </cell>
          <cell r="E137">
            <v>0</v>
          </cell>
          <cell r="F137">
            <v>0</v>
          </cell>
          <cell r="G137">
            <v>0</v>
          </cell>
        </row>
        <row r="138">
          <cell r="A138" t="str">
            <v>임원상여금</v>
          </cell>
          <cell r="B138">
            <v>0</v>
          </cell>
          <cell r="C138">
            <v>0</v>
          </cell>
          <cell r="D138">
            <v>0</v>
          </cell>
          <cell r="E138">
            <v>0</v>
          </cell>
          <cell r="F138">
            <v>0</v>
          </cell>
          <cell r="G138">
            <v>0</v>
          </cell>
        </row>
        <row r="139">
          <cell r="A139" t="str">
            <v>상여금</v>
          </cell>
          <cell r="B139">
            <v>664503609</v>
          </cell>
          <cell r="C139">
            <v>664503609</v>
          </cell>
          <cell r="D139">
            <v>-299374845</v>
          </cell>
          <cell r="E139">
            <v>0</v>
          </cell>
          <cell r="F139">
            <v>0</v>
          </cell>
          <cell r="G139">
            <v>0</v>
          </cell>
        </row>
        <row r="140">
          <cell r="A140" t="str">
            <v>퇴직급여충당금전입액</v>
          </cell>
          <cell r="B140">
            <v>592348790</v>
          </cell>
          <cell r="C140">
            <v>592348790</v>
          </cell>
          <cell r="D140">
            <v>8277527</v>
          </cell>
          <cell r="E140">
            <v>0</v>
          </cell>
          <cell r="F140">
            <v>0</v>
          </cell>
          <cell r="G140">
            <v>0</v>
          </cell>
        </row>
        <row r="141">
          <cell r="A141" t="str">
            <v>복리후생비</v>
          </cell>
          <cell r="B141">
            <v>659098151</v>
          </cell>
          <cell r="C141">
            <v>659098151</v>
          </cell>
          <cell r="D141">
            <v>98273906</v>
          </cell>
          <cell r="E141">
            <v>0</v>
          </cell>
          <cell r="F141">
            <v>0</v>
          </cell>
          <cell r="G141">
            <v>0</v>
          </cell>
        </row>
        <row r="142">
          <cell r="A142" t="str">
            <v>여비교통비</v>
          </cell>
          <cell r="B142">
            <v>182980424</v>
          </cell>
          <cell r="C142">
            <v>182980424</v>
          </cell>
          <cell r="D142">
            <v>31050085</v>
          </cell>
          <cell r="E142">
            <v>0</v>
          </cell>
          <cell r="F142">
            <v>0</v>
          </cell>
          <cell r="G142">
            <v>0</v>
          </cell>
        </row>
        <row r="143">
          <cell r="A143" t="str">
            <v>통신비</v>
          </cell>
          <cell r="B143">
            <v>167637499</v>
          </cell>
          <cell r="C143">
            <v>167637499</v>
          </cell>
          <cell r="D143">
            <v>28426496</v>
          </cell>
          <cell r="E143">
            <v>0</v>
          </cell>
          <cell r="F143">
            <v>0</v>
          </cell>
          <cell r="G143">
            <v>0</v>
          </cell>
        </row>
        <row r="144">
          <cell r="A144" t="str">
            <v>수도광열비</v>
          </cell>
          <cell r="B144">
            <v>188223016</v>
          </cell>
          <cell r="C144">
            <v>188223016</v>
          </cell>
          <cell r="D144">
            <v>27735014</v>
          </cell>
          <cell r="E144">
            <v>0</v>
          </cell>
          <cell r="F144">
            <v>0</v>
          </cell>
          <cell r="G144">
            <v>0</v>
          </cell>
        </row>
        <row r="145">
          <cell r="A145" t="str">
            <v>세금과공과</v>
          </cell>
          <cell r="B145">
            <v>305867298</v>
          </cell>
          <cell r="C145">
            <v>305867298</v>
          </cell>
          <cell r="D145">
            <v>66358877</v>
          </cell>
          <cell r="E145">
            <v>0</v>
          </cell>
          <cell r="F145">
            <v>0</v>
          </cell>
          <cell r="G145">
            <v>0</v>
          </cell>
        </row>
        <row r="146">
          <cell r="A146" t="str">
            <v>지급임차료</v>
          </cell>
          <cell r="B146">
            <v>273804935</v>
          </cell>
          <cell r="C146">
            <v>273804935</v>
          </cell>
          <cell r="D146">
            <v>34297043</v>
          </cell>
          <cell r="E146">
            <v>0</v>
          </cell>
          <cell r="F146">
            <v>0</v>
          </cell>
          <cell r="G146">
            <v>0</v>
          </cell>
        </row>
        <row r="147">
          <cell r="A147" t="str">
            <v>감가상각비</v>
          </cell>
          <cell r="B147">
            <v>653026078</v>
          </cell>
          <cell r="C147">
            <v>653026078</v>
          </cell>
          <cell r="D147">
            <v>113793442</v>
          </cell>
          <cell r="E147">
            <v>0</v>
          </cell>
          <cell r="F147">
            <v>0</v>
          </cell>
          <cell r="G147">
            <v>0</v>
          </cell>
        </row>
        <row r="148">
          <cell r="A148" t="str">
            <v>무형고정자산상각비</v>
          </cell>
          <cell r="B148">
            <v>14938318</v>
          </cell>
          <cell r="C148">
            <v>14938318</v>
          </cell>
          <cell r="D148">
            <v>2492298</v>
          </cell>
          <cell r="E148">
            <v>0</v>
          </cell>
          <cell r="F148">
            <v>0</v>
          </cell>
          <cell r="G148">
            <v>0</v>
          </cell>
        </row>
        <row r="149">
          <cell r="A149" t="str">
            <v>수선비</v>
          </cell>
          <cell r="B149">
            <v>73202501</v>
          </cell>
          <cell r="C149">
            <v>73202501</v>
          </cell>
          <cell r="D149">
            <v>7487677</v>
          </cell>
          <cell r="E149">
            <v>0</v>
          </cell>
          <cell r="F149">
            <v>0</v>
          </cell>
          <cell r="G149">
            <v>0</v>
          </cell>
        </row>
        <row r="150">
          <cell r="A150" t="str">
            <v>보험료</v>
          </cell>
          <cell r="B150">
            <v>82117222</v>
          </cell>
          <cell r="C150">
            <v>82117222</v>
          </cell>
          <cell r="D150">
            <v>4413355</v>
          </cell>
          <cell r="E150">
            <v>0</v>
          </cell>
          <cell r="F150">
            <v>0</v>
          </cell>
          <cell r="G150">
            <v>0</v>
          </cell>
        </row>
        <row r="151">
          <cell r="A151" t="str">
            <v>접대비</v>
          </cell>
          <cell r="B151">
            <v>142767231</v>
          </cell>
          <cell r="C151">
            <v>142767231</v>
          </cell>
          <cell r="D151">
            <v>21830594</v>
          </cell>
          <cell r="E151">
            <v>0</v>
          </cell>
          <cell r="F151">
            <v>0</v>
          </cell>
          <cell r="G151">
            <v>0</v>
          </cell>
        </row>
        <row r="152">
          <cell r="A152" t="str">
            <v>기밀비</v>
          </cell>
          <cell r="B152">
            <v>95480000</v>
          </cell>
          <cell r="C152">
            <v>95480000</v>
          </cell>
          <cell r="D152">
            <v>19380000</v>
          </cell>
          <cell r="E152">
            <v>0</v>
          </cell>
          <cell r="F152">
            <v>0</v>
          </cell>
          <cell r="G152">
            <v>0</v>
          </cell>
        </row>
        <row r="153">
          <cell r="A153" t="str">
            <v>광고선전비</v>
          </cell>
          <cell r="B153">
            <v>873706940</v>
          </cell>
          <cell r="C153">
            <v>873706940</v>
          </cell>
          <cell r="D153">
            <v>127281779</v>
          </cell>
          <cell r="E153">
            <v>0</v>
          </cell>
          <cell r="F153">
            <v>0</v>
          </cell>
          <cell r="G153">
            <v>0</v>
          </cell>
        </row>
        <row r="154">
          <cell r="A154" t="str">
            <v>견본비</v>
          </cell>
          <cell r="B154">
            <v>13618315</v>
          </cell>
          <cell r="C154">
            <v>13618315</v>
          </cell>
          <cell r="D154">
            <v>2631328</v>
          </cell>
          <cell r="E154">
            <v>0</v>
          </cell>
          <cell r="F154">
            <v>0</v>
          </cell>
          <cell r="G154">
            <v>0</v>
          </cell>
        </row>
        <row r="155">
          <cell r="A155" t="str">
            <v>포장비</v>
          </cell>
          <cell r="B155">
            <v>149228413</v>
          </cell>
          <cell r="C155">
            <v>149228413</v>
          </cell>
          <cell r="D155">
            <v>25621749</v>
          </cell>
          <cell r="E155">
            <v>0</v>
          </cell>
          <cell r="F155">
            <v>0</v>
          </cell>
          <cell r="G155">
            <v>0</v>
          </cell>
        </row>
        <row r="156">
          <cell r="A156" t="str">
            <v>경상개발연구비</v>
          </cell>
          <cell r="B156">
            <v>119343272</v>
          </cell>
          <cell r="C156">
            <v>119343272</v>
          </cell>
          <cell r="D156">
            <v>36732508</v>
          </cell>
          <cell r="E156">
            <v>0</v>
          </cell>
          <cell r="F156">
            <v>0</v>
          </cell>
          <cell r="G156">
            <v>0</v>
          </cell>
        </row>
        <row r="157">
          <cell r="A157" t="str">
            <v>운송보관료</v>
          </cell>
          <cell r="B157">
            <v>2018986360</v>
          </cell>
          <cell r="C157">
            <v>2018986360</v>
          </cell>
          <cell r="D157">
            <v>305951252</v>
          </cell>
          <cell r="E157">
            <v>0</v>
          </cell>
          <cell r="F157">
            <v>0</v>
          </cell>
          <cell r="G157">
            <v>0</v>
          </cell>
        </row>
        <row r="158">
          <cell r="A158" t="str">
            <v>소모품비</v>
          </cell>
          <cell r="B158">
            <v>161619870</v>
          </cell>
          <cell r="C158">
            <v>161619870</v>
          </cell>
          <cell r="D158">
            <v>29347105</v>
          </cell>
          <cell r="E158">
            <v>0</v>
          </cell>
          <cell r="F158">
            <v>0</v>
          </cell>
          <cell r="G158">
            <v>0</v>
          </cell>
        </row>
        <row r="159">
          <cell r="A159" t="str">
            <v>교육훈련비</v>
          </cell>
          <cell r="B159">
            <v>61813628</v>
          </cell>
          <cell r="C159">
            <v>61813628</v>
          </cell>
          <cell r="D159">
            <v>3652301</v>
          </cell>
          <cell r="E159">
            <v>0</v>
          </cell>
          <cell r="F159">
            <v>0</v>
          </cell>
          <cell r="G159">
            <v>0</v>
          </cell>
        </row>
        <row r="160">
          <cell r="A160" t="str">
            <v>지급수수료</v>
          </cell>
          <cell r="B160">
            <v>2429471272</v>
          </cell>
          <cell r="C160">
            <v>2429471272</v>
          </cell>
          <cell r="D160">
            <v>467479514</v>
          </cell>
          <cell r="E160">
            <v>0</v>
          </cell>
          <cell r="F160">
            <v>0</v>
          </cell>
          <cell r="G160">
            <v>0</v>
          </cell>
        </row>
        <row r="161">
          <cell r="A161" t="str">
            <v>차량유지비</v>
          </cell>
          <cell r="B161">
            <v>94049747</v>
          </cell>
          <cell r="C161">
            <v>94049747</v>
          </cell>
          <cell r="D161">
            <v>24258890</v>
          </cell>
          <cell r="E161">
            <v>0</v>
          </cell>
          <cell r="F161">
            <v>0</v>
          </cell>
          <cell r="G161">
            <v>0</v>
          </cell>
        </row>
        <row r="162">
          <cell r="A162" t="str">
            <v>도서인쇄비</v>
          </cell>
          <cell r="B162">
            <v>56950158</v>
          </cell>
          <cell r="C162">
            <v>56950158</v>
          </cell>
          <cell r="D162">
            <v>8879521</v>
          </cell>
          <cell r="E162">
            <v>0</v>
          </cell>
          <cell r="F162">
            <v>0</v>
          </cell>
          <cell r="G162">
            <v>0</v>
          </cell>
        </row>
        <row r="163">
          <cell r="A163" t="str">
            <v>연료비</v>
          </cell>
          <cell r="B163">
            <v>1956528</v>
          </cell>
          <cell r="C163">
            <v>1956528</v>
          </cell>
          <cell r="D163">
            <v>1956528</v>
          </cell>
          <cell r="E163">
            <v>0</v>
          </cell>
          <cell r="F163">
            <v>0</v>
          </cell>
          <cell r="G163">
            <v>0</v>
          </cell>
        </row>
        <row r="164">
          <cell r="A164" t="str">
            <v>외주가공비</v>
          </cell>
          <cell r="B164">
            <v>97414478</v>
          </cell>
          <cell r="C164">
            <v>97414478</v>
          </cell>
          <cell r="D164">
            <v>32097028</v>
          </cell>
          <cell r="E164">
            <v>0</v>
          </cell>
          <cell r="F164">
            <v>0</v>
          </cell>
          <cell r="G164">
            <v>0</v>
          </cell>
        </row>
        <row r="165">
          <cell r="A165" t="str">
            <v>대손상각</v>
          </cell>
          <cell r="B165">
            <v>54404421</v>
          </cell>
          <cell r="C165">
            <v>54404421</v>
          </cell>
          <cell r="D165">
            <v>54404421</v>
          </cell>
          <cell r="E165">
            <v>0</v>
          </cell>
          <cell r="F165">
            <v>0</v>
          </cell>
          <cell r="G165">
            <v>0</v>
          </cell>
        </row>
        <row r="166">
          <cell r="A166" t="str">
            <v>전력비</v>
          </cell>
          <cell r="B166">
            <v>1588670</v>
          </cell>
          <cell r="C166">
            <v>1588670</v>
          </cell>
          <cell r="D166">
            <v>0</v>
          </cell>
          <cell r="E166">
            <v>0</v>
          </cell>
          <cell r="F166">
            <v>0</v>
          </cell>
          <cell r="G166">
            <v>0</v>
          </cell>
        </row>
        <row r="167">
          <cell r="A167" t="str">
            <v>운용리스료</v>
          </cell>
          <cell r="B167">
            <v>788391550</v>
          </cell>
          <cell r="C167">
            <v>788391550</v>
          </cell>
          <cell r="D167">
            <v>106931196</v>
          </cell>
          <cell r="E167">
            <v>0</v>
          </cell>
          <cell r="F167">
            <v>0</v>
          </cell>
          <cell r="G167">
            <v>0</v>
          </cell>
        </row>
        <row r="168">
          <cell r="A168" t="str">
            <v>지급이자와할인료</v>
          </cell>
          <cell r="B168">
            <v>4329332048</v>
          </cell>
          <cell r="C168">
            <v>4329332048</v>
          </cell>
          <cell r="D168">
            <v>808173717</v>
          </cell>
          <cell r="E168">
            <v>0</v>
          </cell>
          <cell r="F168">
            <v>0</v>
          </cell>
          <cell r="G168">
            <v>0</v>
          </cell>
        </row>
        <row r="169">
          <cell r="A169" t="str">
            <v>사채이자</v>
          </cell>
          <cell r="B169">
            <v>2538658395</v>
          </cell>
          <cell r="C169">
            <v>2538658395</v>
          </cell>
          <cell r="D169">
            <v>430933826</v>
          </cell>
          <cell r="E169">
            <v>0</v>
          </cell>
          <cell r="F169">
            <v>0</v>
          </cell>
          <cell r="G169">
            <v>0</v>
          </cell>
        </row>
        <row r="170">
          <cell r="A170" t="str">
            <v>신주발행비상각</v>
          </cell>
          <cell r="B170">
            <v>133332</v>
          </cell>
          <cell r="C170">
            <v>133332</v>
          </cell>
          <cell r="D170">
            <v>44444</v>
          </cell>
          <cell r="E170">
            <v>0</v>
          </cell>
          <cell r="F170">
            <v>0</v>
          </cell>
          <cell r="G170">
            <v>0</v>
          </cell>
        </row>
        <row r="171">
          <cell r="A171" t="str">
            <v>사채발행비상각</v>
          </cell>
          <cell r="B171">
            <v>16450281</v>
          </cell>
          <cell r="C171">
            <v>16450281</v>
          </cell>
          <cell r="D171">
            <v>3045888</v>
          </cell>
          <cell r="E171">
            <v>0</v>
          </cell>
          <cell r="F171">
            <v>0</v>
          </cell>
          <cell r="G171">
            <v>0</v>
          </cell>
        </row>
        <row r="172">
          <cell r="A172" t="str">
            <v>연구개발비상각</v>
          </cell>
          <cell r="B172">
            <v>10000000</v>
          </cell>
          <cell r="C172">
            <v>10000000</v>
          </cell>
          <cell r="D172">
            <v>1666667</v>
          </cell>
          <cell r="E172">
            <v>0</v>
          </cell>
          <cell r="F172">
            <v>0</v>
          </cell>
          <cell r="G172">
            <v>0</v>
          </cell>
        </row>
        <row r="173">
          <cell r="A173" t="str">
            <v>유가증권처분손실</v>
          </cell>
          <cell r="B173">
            <v>29237897</v>
          </cell>
          <cell r="C173">
            <v>29237897</v>
          </cell>
          <cell r="D173">
            <v>3191431</v>
          </cell>
          <cell r="E173">
            <v>0</v>
          </cell>
          <cell r="F173">
            <v>0</v>
          </cell>
          <cell r="G173">
            <v>0</v>
          </cell>
        </row>
        <row r="174">
          <cell r="A174" t="str">
            <v>외환차손</v>
          </cell>
          <cell r="B174">
            <v>4016103</v>
          </cell>
          <cell r="C174">
            <v>4016103</v>
          </cell>
          <cell r="D174">
            <v>96553</v>
          </cell>
          <cell r="E174">
            <v>0</v>
          </cell>
          <cell r="F174">
            <v>0</v>
          </cell>
          <cell r="G174">
            <v>0</v>
          </cell>
        </row>
        <row r="175">
          <cell r="A175" t="str">
            <v>외화환산손실</v>
          </cell>
          <cell r="B175">
            <v>39104608</v>
          </cell>
          <cell r="C175">
            <v>39104608</v>
          </cell>
          <cell r="D175">
            <v>39104608</v>
          </cell>
          <cell r="E175">
            <v>0</v>
          </cell>
          <cell r="F175">
            <v>0</v>
          </cell>
          <cell r="G175">
            <v>0</v>
          </cell>
        </row>
        <row r="176">
          <cell r="A176" t="str">
            <v>재고자산감모손실</v>
          </cell>
          <cell r="B176">
            <v>39251517</v>
          </cell>
          <cell r="C176">
            <v>39251517</v>
          </cell>
          <cell r="D176">
            <v>6955407</v>
          </cell>
          <cell r="E176">
            <v>0</v>
          </cell>
          <cell r="F176">
            <v>0</v>
          </cell>
          <cell r="G176">
            <v>0</v>
          </cell>
        </row>
        <row r="177">
          <cell r="A177" t="str">
            <v>기부금</v>
          </cell>
          <cell r="B177">
            <v>30000</v>
          </cell>
          <cell r="C177">
            <v>30000</v>
          </cell>
          <cell r="D177">
            <v>0</v>
          </cell>
          <cell r="E177">
            <v>0</v>
          </cell>
          <cell r="F177">
            <v>0</v>
          </cell>
          <cell r="G177">
            <v>0</v>
          </cell>
        </row>
        <row r="178">
          <cell r="A178" t="str">
            <v>잡손실</v>
          </cell>
          <cell r="B178">
            <v>2263924</v>
          </cell>
          <cell r="C178">
            <v>2263924</v>
          </cell>
          <cell r="D178">
            <v>464379</v>
          </cell>
          <cell r="E178">
            <v>0</v>
          </cell>
          <cell r="F178">
            <v>0</v>
          </cell>
          <cell r="G178">
            <v>0</v>
          </cell>
        </row>
        <row r="179">
          <cell r="A179" t="str">
            <v>지급보증료(영업외)</v>
          </cell>
          <cell r="B179">
            <v>239466834</v>
          </cell>
          <cell r="C179">
            <v>239466834</v>
          </cell>
          <cell r="D179">
            <v>55576544</v>
          </cell>
          <cell r="E179">
            <v>0</v>
          </cell>
          <cell r="F179">
            <v>0</v>
          </cell>
          <cell r="G179">
            <v>0</v>
          </cell>
        </row>
        <row r="180">
          <cell r="A180" t="str">
            <v>외화환산차상각</v>
          </cell>
          <cell r="B180">
            <v>15635032</v>
          </cell>
          <cell r="C180">
            <v>15635032</v>
          </cell>
          <cell r="D180">
            <v>15635032</v>
          </cell>
          <cell r="E180">
            <v>0</v>
          </cell>
          <cell r="F180">
            <v>0</v>
          </cell>
          <cell r="G180">
            <v>0</v>
          </cell>
        </row>
        <row r="181">
          <cell r="A181" t="str">
            <v>고정자산처분손실</v>
          </cell>
          <cell r="B181">
            <v>19260941</v>
          </cell>
          <cell r="C181">
            <v>19260941</v>
          </cell>
          <cell r="D181">
            <v>58103</v>
          </cell>
          <cell r="E181">
            <v>0</v>
          </cell>
          <cell r="F181">
            <v>0</v>
          </cell>
          <cell r="G181">
            <v>0</v>
          </cell>
        </row>
        <row r="182">
          <cell r="A182" t="str">
            <v>전기오류수정손실</v>
          </cell>
          <cell r="B182">
            <v>243840982</v>
          </cell>
          <cell r="C182">
            <v>243840982</v>
          </cell>
          <cell r="D182">
            <v>232545056</v>
          </cell>
          <cell r="E182">
            <v>0</v>
          </cell>
          <cell r="F182">
            <v>0</v>
          </cell>
          <cell r="G182">
            <v>0</v>
          </cell>
        </row>
        <row r="183">
          <cell r="A183" t="str">
            <v>법인세등</v>
          </cell>
          <cell r="B183">
            <v>218612929</v>
          </cell>
          <cell r="C183">
            <v>218612929</v>
          </cell>
          <cell r="D183">
            <v>218612929</v>
          </cell>
          <cell r="E183">
            <v>0</v>
          </cell>
          <cell r="F183">
            <v>0</v>
          </cell>
          <cell r="G183">
            <v>0</v>
          </cell>
        </row>
        <row r="184">
          <cell r="A184" t="str">
            <v>재료비</v>
          </cell>
          <cell r="B184">
            <v>0</v>
          </cell>
          <cell r="C184">
            <v>6165000896</v>
          </cell>
          <cell r="D184">
            <v>951190454</v>
          </cell>
          <cell r="E184">
            <v>951190454</v>
          </cell>
          <cell r="F184">
            <v>6165000896</v>
          </cell>
          <cell r="G184">
            <v>0</v>
          </cell>
        </row>
        <row r="185">
          <cell r="A185" t="str">
            <v>노무비</v>
          </cell>
          <cell r="B185">
            <v>0</v>
          </cell>
          <cell r="C185">
            <v>1381378058</v>
          </cell>
          <cell r="D185">
            <v>197385864</v>
          </cell>
          <cell r="E185">
            <v>197385864</v>
          </cell>
          <cell r="F185">
            <v>1381378058</v>
          </cell>
          <cell r="G185">
            <v>0</v>
          </cell>
        </row>
        <row r="186">
          <cell r="A186" t="str">
            <v>제-급여및수당</v>
          </cell>
          <cell r="B186">
            <v>0</v>
          </cell>
          <cell r="C186">
            <v>208883029</v>
          </cell>
          <cell r="D186">
            <v>30875836</v>
          </cell>
          <cell r="E186">
            <v>30875836</v>
          </cell>
          <cell r="F186">
            <v>208883029</v>
          </cell>
          <cell r="G186">
            <v>0</v>
          </cell>
        </row>
        <row r="187">
          <cell r="A187" t="str">
            <v>제-임금</v>
          </cell>
          <cell r="B187">
            <v>0</v>
          </cell>
          <cell r="C187">
            <v>696396479</v>
          </cell>
          <cell r="D187">
            <v>98815281</v>
          </cell>
          <cell r="E187">
            <v>98815281</v>
          </cell>
          <cell r="F187">
            <v>696396479</v>
          </cell>
          <cell r="G187">
            <v>0</v>
          </cell>
        </row>
        <row r="188">
          <cell r="A188" t="str">
            <v>제-잡급</v>
          </cell>
          <cell r="B188">
            <v>0</v>
          </cell>
          <cell r="C188">
            <v>14697650</v>
          </cell>
          <cell r="D188">
            <v>446250</v>
          </cell>
          <cell r="E188">
            <v>446250</v>
          </cell>
          <cell r="F188">
            <v>14697650</v>
          </cell>
          <cell r="G188">
            <v>0</v>
          </cell>
        </row>
        <row r="189">
          <cell r="A189" t="str">
            <v>제-상여금</v>
          </cell>
          <cell r="B189">
            <v>0</v>
          </cell>
          <cell r="C189">
            <v>324629384</v>
          </cell>
          <cell r="D189">
            <v>50945831</v>
          </cell>
          <cell r="E189">
            <v>50945831</v>
          </cell>
          <cell r="F189">
            <v>324629384</v>
          </cell>
          <cell r="G189">
            <v>0</v>
          </cell>
        </row>
        <row r="190">
          <cell r="A190" t="str">
            <v>제-퇴직충당금전입액</v>
          </cell>
          <cell r="B190">
            <v>0</v>
          </cell>
          <cell r="C190">
            <v>136771516</v>
          </cell>
          <cell r="D190">
            <v>16302666</v>
          </cell>
          <cell r="E190">
            <v>16302666</v>
          </cell>
          <cell r="F190">
            <v>136771516</v>
          </cell>
          <cell r="G190">
            <v>0</v>
          </cell>
        </row>
        <row r="191">
          <cell r="A191" t="str">
            <v>제조경비</v>
          </cell>
          <cell r="B191">
            <v>0</v>
          </cell>
          <cell r="C191">
            <v>6966687420</v>
          </cell>
          <cell r="D191">
            <v>1188661641</v>
          </cell>
          <cell r="E191">
            <v>1188661641</v>
          </cell>
          <cell r="F191">
            <v>6966687420</v>
          </cell>
          <cell r="G191">
            <v>0</v>
          </cell>
        </row>
        <row r="192">
          <cell r="A192" t="str">
            <v>제-복리후생비</v>
          </cell>
          <cell r="B192">
            <v>0</v>
          </cell>
          <cell r="C192">
            <v>122648623</v>
          </cell>
          <cell r="D192">
            <v>23643571</v>
          </cell>
          <cell r="E192">
            <v>23643571</v>
          </cell>
          <cell r="F192">
            <v>122648623</v>
          </cell>
          <cell r="G192">
            <v>0</v>
          </cell>
        </row>
        <row r="193">
          <cell r="A193" t="str">
            <v>제-여비교통비</v>
          </cell>
          <cell r="B193">
            <v>0</v>
          </cell>
          <cell r="C193">
            <v>4368280</v>
          </cell>
          <cell r="D193">
            <v>967630</v>
          </cell>
          <cell r="E193">
            <v>967630</v>
          </cell>
          <cell r="F193">
            <v>4368280</v>
          </cell>
          <cell r="G193">
            <v>0</v>
          </cell>
        </row>
        <row r="194">
          <cell r="A194" t="str">
            <v>제-통신비</v>
          </cell>
          <cell r="B194">
            <v>0</v>
          </cell>
          <cell r="C194">
            <v>27769357</v>
          </cell>
          <cell r="D194">
            <v>5725226</v>
          </cell>
          <cell r="E194">
            <v>5725226</v>
          </cell>
          <cell r="F194">
            <v>27769357</v>
          </cell>
          <cell r="G194">
            <v>0</v>
          </cell>
        </row>
        <row r="195">
          <cell r="A195" t="str">
            <v>제-수도광열비</v>
          </cell>
          <cell r="B195">
            <v>0</v>
          </cell>
          <cell r="C195">
            <v>0</v>
          </cell>
          <cell r="D195">
            <v>0</v>
          </cell>
          <cell r="E195">
            <v>0</v>
          </cell>
          <cell r="F195">
            <v>0</v>
          </cell>
          <cell r="G195">
            <v>0</v>
          </cell>
        </row>
        <row r="196">
          <cell r="A196" t="str">
            <v>제-세금과공과</v>
          </cell>
          <cell r="B196">
            <v>0</v>
          </cell>
          <cell r="C196">
            <v>59640120</v>
          </cell>
          <cell r="D196">
            <v>17507180</v>
          </cell>
          <cell r="E196">
            <v>19476080</v>
          </cell>
          <cell r="F196">
            <v>59640120</v>
          </cell>
          <cell r="G196">
            <v>0</v>
          </cell>
        </row>
        <row r="197">
          <cell r="A197" t="str">
            <v>제-지급임차료</v>
          </cell>
          <cell r="B197">
            <v>0</v>
          </cell>
          <cell r="C197">
            <v>20741802</v>
          </cell>
          <cell r="D197">
            <v>2940000</v>
          </cell>
          <cell r="E197">
            <v>2940000</v>
          </cell>
          <cell r="F197">
            <v>20741802</v>
          </cell>
          <cell r="G197">
            <v>0</v>
          </cell>
        </row>
        <row r="198">
          <cell r="A198" t="str">
            <v>제-감가상각비</v>
          </cell>
          <cell r="B198">
            <v>0</v>
          </cell>
          <cell r="C198">
            <v>465706519</v>
          </cell>
          <cell r="D198">
            <v>78658194</v>
          </cell>
          <cell r="E198">
            <v>80267553</v>
          </cell>
          <cell r="F198">
            <v>465706519</v>
          </cell>
          <cell r="G198">
            <v>0</v>
          </cell>
        </row>
        <row r="199">
          <cell r="A199" t="str">
            <v>제-수선비</v>
          </cell>
          <cell r="B199">
            <v>0</v>
          </cell>
          <cell r="C199">
            <v>24136810</v>
          </cell>
          <cell r="D199">
            <v>8547500</v>
          </cell>
          <cell r="E199">
            <v>8547500</v>
          </cell>
          <cell r="F199">
            <v>24136810</v>
          </cell>
          <cell r="G199">
            <v>0</v>
          </cell>
        </row>
        <row r="200">
          <cell r="A200" t="str">
            <v>제-보험료</v>
          </cell>
          <cell r="B200">
            <v>0</v>
          </cell>
          <cell r="C200">
            <v>19251815</v>
          </cell>
          <cell r="D200">
            <v>681731</v>
          </cell>
          <cell r="E200">
            <v>681731</v>
          </cell>
          <cell r="F200">
            <v>19251815</v>
          </cell>
          <cell r="G200">
            <v>0</v>
          </cell>
        </row>
        <row r="201">
          <cell r="A201" t="str">
            <v>제-경상개발연구비</v>
          </cell>
          <cell r="B201">
            <v>0</v>
          </cell>
          <cell r="C201">
            <v>8577180</v>
          </cell>
          <cell r="D201">
            <v>1767700</v>
          </cell>
          <cell r="E201">
            <v>1767700</v>
          </cell>
          <cell r="F201">
            <v>8577180</v>
          </cell>
          <cell r="G201">
            <v>0</v>
          </cell>
        </row>
        <row r="202">
          <cell r="A202" t="str">
            <v>제-운송보관료</v>
          </cell>
          <cell r="B202">
            <v>0</v>
          </cell>
          <cell r="C202">
            <v>5847310</v>
          </cell>
          <cell r="D202">
            <v>1384000</v>
          </cell>
          <cell r="E202">
            <v>1384000</v>
          </cell>
          <cell r="F202">
            <v>5847310</v>
          </cell>
          <cell r="G202">
            <v>0</v>
          </cell>
        </row>
        <row r="203">
          <cell r="A203" t="str">
            <v>제-소모품비</v>
          </cell>
          <cell r="B203">
            <v>0</v>
          </cell>
          <cell r="C203">
            <v>183133690</v>
          </cell>
          <cell r="D203">
            <v>29973655</v>
          </cell>
          <cell r="E203">
            <v>29973655</v>
          </cell>
          <cell r="F203">
            <v>183133690</v>
          </cell>
          <cell r="G203">
            <v>0</v>
          </cell>
        </row>
        <row r="204">
          <cell r="A204" t="str">
            <v>제-교육훈련비</v>
          </cell>
          <cell r="B204">
            <v>0</v>
          </cell>
          <cell r="C204">
            <v>1735180</v>
          </cell>
          <cell r="D204">
            <v>216400</v>
          </cell>
          <cell r="E204">
            <v>216400</v>
          </cell>
          <cell r="F204">
            <v>1735180</v>
          </cell>
          <cell r="G204">
            <v>0</v>
          </cell>
        </row>
        <row r="205">
          <cell r="A205" t="str">
            <v>제-지급수수료</v>
          </cell>
          <cell r="B205">
            <v>0</v>
          </cell>
          <cell r="C205">
            <v>139562174</v>
          </cell>
          <cell r="D205">
            <v>25962342</v>
          </cell>
          <cell r="E205">
            <v>25962342</v>
          </cell>
          <cell r="F205">
            <v>139562174</v>
          </cell>
          <cell r="G205">
            <v>0</v>
          </cell>
        </row>
        <row r="206">
          <cell r="A206" t="str">
            <v>제-차량유지비</v>
          </cell>
          <cell r="B206">
            <v>0</v>
          </cell>
          <cell r="C206">
            <v>22083918</v>
          </cell>
          <cell r="D206">
            <v>6247079</v>
          </cell>
          <cell r="E206">
            <v>6247079</v>
          </cell>
          <cell r="F206">
            <v>22083918</v>
          </cell>
          <cell r="G206">
            <v>0</v>
          </cell>
        </row>
        <row r="207">
          <cell r="A207" t="str">
            <v>제-도서인쇄비</v>
          </cell>
          <cell r="B207">
            <v>0</v>
          </cell>
          <cell r="C207">
            <v>868500</v>
          </cell>
          <cell r="D207">
            <v>115000</v>
          </cell>
          <cell r="E207">
            <v>115000</v>
          </cell>
          <cell r="F207">
            <v>868500</v>
          </cell>
          <cell r="G207">
            <v>0</v>
          </cell>
        </row>
        <row r="208">
          <cell r="A208" t="str">
            <v>제-연료비</v>
          </cell>
          <cell r="B208">
            <v>0</v>
          </cell>
          <cell r="C208">
            <v>135939518</v>
          </cell>
          <cell r="D208">
            <v>8733714</v>
          </cell>
          <cell r="E208">
            <v>8733714</v>
          </cell>
          <cell r="F208">
            <v>135939518</v>
          </cell>
          <cell r="G208">
            <v>0</v>
          </cell>
        </row>
        <row r="209">
          <cell r="A209" t="str">
            <v>제-외주가공비</v>
          </cell>
          <cell r="B209">
            <v>0</v>
          </cell>
          <cell r="C209">
            <v>4578009333</v>
          </cell>
          <cell r="D209">
            <v>762006602</v>
          </cell>
          <cell r="E209">
            <v>762006602</v>
          </cell>
          <cell r="F209">
            <v>4578009333</v>
          </cell>
          <cell r="G209">
            <v>0</v>
          </cell>
        </row>
        <row r="210">
          <cell r="A210" t="str">
            <v>제-전력비</v>
          </cell>
          <cell r="B210">
            <v>0</v>
          </cell>
          <cell r="C210">
            <v>104104154</v>
          </cell>
          <cell r="D210">
            <v>19353536</v>
          </cell>
          <cell r="E210">
            <v>19353536</v>
          </cell>
          <cell r="F210">
            <v>104104154</v>
          </cell>
          <cell r="G210">
            <v>0</v>
          </cell>
        </row>
        <row r="211">
          <cell r="A211" t="str">
            <v>제-운용리스료</v>
          </cell>
          <cell r="B211">
            <v>0</v>
          </cell>
          <cell r="C211">
            <v>1042563137</v>
          </cell>
          <cell r="D211">
            <v>188046706</v>
          </cell>
          <cell r="E211">
            <v>190652322</v>
          </cell>
          <cell r="F211">
            <v>1042563137</v>
          </cell>
          <cell r="G211">
            <v>0</v>
          </cell>
        </row>
        <row r="212">
          <cell r="A212" t="str">
            <v>사내차입금-건생</v>
          </cell>
          <cell r="B212">
            <v>0</v>
          </cell>
          <cell r="C212">
            <v>0</v>
          </cell>
          <cell r="D212">
            <v>0</v>
          </cell>
          <cell r="E212">
            <v>0</v>
          </cell>
          <cell r="F212">
            <v>0</v>
          </cell>
          <cell r="G212">
            <v>0</v>
          </cell>
        </row>
        <row r="213">
          <cell r="A213" t="str">
            <v>사내차입금-식품</v>
          </cell>
          <cell r="B213">
            <v>0</v>
          </cell>
          <cell r="C213">
            <v>0</v>
          </cell>
          <cell r="D213">
            <v>0</v>
          </cell>
          <cell r="E213">
            <v>0</v>
          </cell>
          <cell r="F213">
            <v>0</v>
          </cell>
          <cell r="G213">
            <v>0</v>
          </cell>
        </row>
        <row r="214">
          <cell r="A214" t="str">
            <v>사내차입금-샘물</v>
          </cell>
          <cell r="B214">
            <v>0</v>
          </cell>
          <cell r="C214">
            <v>0</v>
          </cell>
          <cell r="D214">
            <v>0</v>
          </cell>
          <cell r="E214">
            <v>0</v>
          </cell>
          <cell r="F214">
            <v>0</v>
          </cell>
          <cell r="G214">
            <v>0</v>
          </cell>
        </row>
        <row r="215">
          <cell r="A215" t="str">
            <v>사내차입금-기단</v>
          </cell>
          <cell r="B215">
            <v>0</v>
          </cell>
          <cell r="C215">
            <v>0</v>
          </cell>
          <cell r="D215">
            <v>0</v>
          </cell>
          <cell r="E215">
            <v>0</v>
          </cell>
          <cell r="F215">
            <v>0</v>
          </cell>
          <cell r="G21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sheetData sheetId="921"/>
      <sheetData sheetId="922"/>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Intro2"/>
      <sheetName val="Id"/>
      <sheetName val="재무가정"/>
      <sheetName val="노무비"/>
      <sheetName val="GAAP Pr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reits.molit.go.kr/rbm/rbm/openReitsTargetView2.do" TargetMode="External"/><Relationship Id="rId1" Type="http://schemas.openxmlformats.org/officeDocument/2006/relationships/hyperlink" Target="http://reits.molit.go.kr/rbm/rbm/openReportProjectLst2.do"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226" Type="http://schemas.openxmlformats.org/officeDocument/2006/relationships/ctrlProp" Target="../ctrlProps/ctrlProp223.xml"/><Relationship Id="rId247" Type="http://schemas.openxmlformats.org/officeDocument/2006/relationships/ctrlProp" Target="../ctrlProps/ctrlProp244.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53" Type="http://schemas.openxmlformats.org/officeDocument/2006/relationships/ctrlProp" Target="../ctrlProps/ctrlProp50.xml"/><Relationship Id="rId74" Type="http://schemas.openxmlformats.org/officeDocument/2006/relationships/ctrlProp" Target="../ctrlProps/ctrlProp71.xml"/><Relationship Id="rId128" Type="http://schemas.openxmlformats.org/officeDocument/2006/relationships/ctrlProp" Target="../ctrlProps/ctrlProp125.xml"/><Relationship Id="rId149" Type="http://schemas.openxmlformats.org/officeDocument/2006/relationships/ctrlProp" Target="../ctrlProps/ctrlProp146.xml"/><Relationship Id="rId5" Type="http://schemas.openxmlformats.org/officeDocument/2006/relationships/ctrlProp" Target="../ctrlProps/ctrlProp2.xml"/><Relationship Id="rId95" Type="http://schemas.openxmlformats.org/officeDocument/2006/relationships/ctrlProp" Target="../ctrlProps/ctrlProp92.xml"/><Relationship Id="rId160" Type="http://schemas.openxmlformats.org/officeDocument/2006/relationships/ctrlProp" Target="../ctrlProps/ctrlProp157.xml"/><Relationship Id="rId181" Type="http://schemas.openxmlformats.org/officeDocument/2006/relationships/ctrlProp" Target="../ctrlProps/ctrlProp178.xml"/><Relationship Id="rId216" Type="http://schemas.openxmlformats.org/officeDocument/2006/relationships/ctrlProp" Target="../ctrlProps/ctrlProp213.xml"/><Relationship Id="rId237" Type="http://schemas.openxmlformats.org/officeDocument/2006/relationships/ctrlProp" Target="../ctrlProps/ctrlProp234.xml"/><Relationship Id="rId258" Type="http://schemas.openxmlformats.org/officeDocument/2006/relationships/ctrlProp" Target="../ctrlProps/ctrlProp255.xml"/><Relationship Id="rId22" Type="http://schemas.openxmlformats.org/officeDocument/2006/relationships/ctrlProp" Target="../ctrlProps/ctrlProp19.xml"/><Relationship Id="rId43" Type="http://schemas.openxmlformats.org/officeDocument/2006/relationships/ctrlProp" Target="../ctrlProps/ctrlProp40.xml"/><Relationship Id="rId64" Type="http://schemas.openxmlformats.org/officeDocument/2006/relationships/ctrlProp" Target="../ctrlProps/ctrlProp61.xml"/><Relationship Id="rId118" Type="http://schemas.openxmlformats.org/officeDocument/2006/relationships/ctrlProp" Target="../ctrlProps/ctrlProp115.xml"/><Relationship Id="rId139" Type="http://schemas.openxmlformats.org/officeDocument/2006/relationships/ctrlProp" Target="../ctrlProps/ctrlProp136.xml"/><Relationship Id="rId85" Type="http://schemas.openxmlformats.org/officeDocument/2006/relationships/ctrlProp" Target="../ctrlProps/ctrlProp82.xml"/><Relationship Id="rId150" Type="http://schemas.openxmlformats.org/officeDocument/2006/relationships/ctrlProp" Target="../ctrlProps/ctrlProp147.xml"/><Relationship Id="rId171" Type="http://schemas.openxmlformats.org/officeDocument/2006/relationships/ctrlProp" Target="../ctrlProps/ctrlProp168.xml"/><Relationship Id="rId192" Type="http://schemas.openxmlformats.org/officeDocument/2006/relationships/ctrlProp" Target="../ctrlProps/ctrlProp189.xml"/><Relationship Id="rId206" Type="http://schemas.openxmlformats.org/officeDocument/2006/relationships/ctrlProp" Target="../ctrlProps/ctrlProp203.xml"/><Relationship Id="rId227" Type="http://schemas.openxmlformats.org/officeDocument/2006/relationships/ctrlProp" Target="../ctrlProps/ctrlProp224.xml"/><Relationship Id="rId248" Type="http://schemas.openxmlformats.org/officeDocument/2006/relationships/ctrlProp" Target="../ctrlProps/ctrlProp245.xml"/><Relationship Id="rId12" Type="http://schemas.openxmlformats.org/officeDocument/2006/relationships/ctrlProp" Target="../ctrlProps/ctrlProp9.xml"/><Relationship Id="rId33" Type="http://schemas.openxmlformats.org/officeDocument/2006/relationships/ctrlProp" Target="../ctrlProps/ctrlProp30.xml"/><Relationship Id="rId108" Type="http://schemas.openxmlformats.org/officeDocument/2006/relationships/ctrlProp" Target="../ctrlProps/ctrlProp105.xml"/><Relationship Id="rId129" Type="http://schemas.openxmlformats.org/officeDocument/2006/relationships/ctrlProp" Target="../ctrlProps/ctrlProp126.xml"/><Relationship Id="rId54" Type="http://schemas.openxmlformats.org/officeDocument/2006/relationships/ctrlProp" Target="../ctrlProps/ctrlProp51.xml"/><Relationship Id="rId75" Type="http://schemas.openxmlformats.org/officeDocument/2006/relationships/ctrlProp" Target="../ctrlProps/ctrlProp72.xml"/><Relationship Id="rId96" Type="http://schemas.openxmlformats.org/officeDocument/2006/relationships/ctrlProp" Target="../ctrlProps/ctrlProp93.xml"/><Relationship Id="rId140" Type="http://schemas.openxmlformats.org/officeDocument/2006/relationships/ctrlProp" Target="../ctrlProps/ctrlProp137.xml"/><Relationship Id="rId161" Type="http://schemas.openxmlformats.org/officeDocument/2006/relationships/ctrlProp" Target="../ctrlProps/ctrlProp158.xml"/><Relationship Id="rId182" Type="http://schemas.openxmlformats.org/officeDocument/2006/relationships/ctrlProp" Target="../ctrlProps/ctrlProp179.xml"/><Relationship Id="rId217" Type="http://schemas.openxmlformats.org/officeDocument/2006/relationships/ctrlProp" Target="../ctrlProps/ctrlProp214.xml"/><Relationship Id="rId1" Type="http://schemas.openxmlformats.org/officeDocument/2006/relationships/printerSettings" Target="../printerSettings/printerSettings6.bin"/><Relationship Id="rId6" Type="http://schemas.openxmlformats.org/officeDocument/2006/relationships/ctrlProp" Target="../ctrlProps/ctrlProp3.xml"/><Relationship Id="rId212" Type="http://schemas.openxmlformats.org/officeDocument/2006/relationships/ctrlProp" Target="../ctrlProps/ctrlProp209.xml"/><Relationship Id="rId233" Type="http://schemas.openxmlformats.org/officeDocument/2006/relationships/ctrlProp" Target="../ctrlProps/ctrlProp230.xml"/><Relationship Id="rId238" Type="http://schemas.openxmlformats.org/officeDocument/2006/relationships/ctrlProp" Target="../ctrlProps/ctrlProp235.xml"/><Relationship Id="rId254" Type="http://schemas.openxmlformats.org/officeDocument/2006/relationships/ctrlProp" Target="../ctrlProps/ctrlProp251.xml"/><Relationship Id="rId259" Type="http://schemas.openxmlformats.org/officeDocument/2006/relationships/ctrlProp" Target="../ctrlProps/ctrlProp256.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223" Type="http://schemas.openxmlformats.org/officeDocument/2006/relationships/ctrlProp" Target="../ctrlProps/ctrlProp220.xml"/><Relationship Id="rId228" Type="http://schemas.openxmlformats.org/officeDocument/2006/relationships/ctrlProp" Target="../ctrlProps/ctrlProp225.xml"/><Relationship Id="rId244" Type="http://schemas.openxmlformats.org/officeDocument/2006/relationships/ctrlProp" Target="../ctrlProps/ctrlProp241.xml"/><Relationship Id="rId249" Type="http://schemas.openxmlformats.org/officeDocument/2006/relationships/ctrlProp" Target="../ctrlProps/ctrlProp24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260" Type="http://schemas.openxmlformats.org/officeDocument/2006/relationships/ctrlProp" Target="../ctrlProps/ctrlProp257.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18" Type="http://schemas.openxmlformats.org/officeDocument/2006/relationships/ctrlProp" Target="../ctrlProps/ctrlProp215.xml"/><Relationship Id="rId234" Type="http://schemas.openxmlformats.org/officeDocument/2006/relationships/ctrlProp" Target="../ctrlProps/ctrlProp231.xml"/><Relationship Id="rId239" Type="http://schemas.openxmlformats.org/officeDocument/2006/relationships/ctrlProp" Target="../ctrlProps/ctrlProp236.xml"/><Relationship Id="rId2" Type="http://schemas.openxmlformats.org/officeDocument/2006/relationships/drawing" Target="../drawings/drawing5.xml"/><Relationship Id="rId29" Type="http://schemas.openxmlformats.org/officeDocument/2006/relationships/ctrlProp" Target="../ctrlProps/ctrlProp26.xml"/><Relationship Id="rId250" Type="http://schemas.openxmlformats.org/officeDocument/2006/relationships/ctrlProp" Target="../ctrlProps/ctrlProp247.xml"/><Relationship Id="rId255" Type="http://schemas.openxmlformats.org/officeDocument/2006/relationships/ctrlProp" Target="../ctrlProps/ctrlProp252.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229" Type="http://schemas.openxmlformats.org/officeDocument/2006/relationships/ctrlProp" Target="../ctrlProps/ctrlProp226.xml"/><Relationship Id="rId19" Type="http://schemas.openxmlformats.org/officeDocument/2006/relationships/ctrlProp" Target="../ctrlProps/ctrlProp16.xml"/><Relationship Id="rId224" Type="http://schemas.openxmlformats.org/officeDocument/2006/relationships/ctrlProp" Target="../ctrlProps/ctrlProp221.xml"/><Relationship Id="rId240" Type="http://schemas.openxmlformats.org/officeDocument/2006/relationships/ctrlProp" Target="../ctrlProps/ctrlProp237.xml"/><Relationship Id="rId245" Type="http://schemas.openxmlformats.org/officeDocument/2006/relationships/ctrlProp" Target="../ctrlProps/ctrlProp242.xml"/><Relationship Id="rId261" Type="http://schemas.openxmlformats.org/officeDocument/2006/relationships/ctrlProp" Target="../ctrlProps/ctrlProp258.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219" Type="http://schemas.openxmlformats.org/officeDocument/2006/relationships/ctrlProp" Target="../ctrlProps/ctrlProp216.xml"/><Relationship Id="rId3" Type="http://schemas.openxmlformats.org/officeDocument/2006/relationships/vmlDrawing" Target="../drawings/vmlDrawing5.vml"/><Relationship Id="rId214" Type="http://schemas.openxmlformats.org/officeDocument/2006/relationships/ctrlProp" Target="../ctrlProps/ctrlProp211.xml"/><Relationship Id="rId230" Type="http://schemas.openxmlformats.org/officeDocument/2006/relationships/ctrlProp" Target="../ctrlProps/ctrlProp227.xml"/><Relationship Id="rId235" Type="http://schemas.openxmlformats.org/officeDocument/2006/relationships/ctrlProp" Target="../ctrlProps/ctrlProp232.xml"/><Relationship Id="rId251" Type="http://schemas.openxmlformats.org/officeDocument/2006/relationships/ctrlProp" Target="../ctrlProps/ctrlProp248.xml"/><Relationship Id="rId256" Type="http://schemas.openxmlformats.org/officeDocument/2006/relationships/ctrlProp" Target="../ctrlProps/ctrlProp253.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220" Type="http://schemas.openxmlformats.org/officeDocument/2006/relationships/ctrlProp" Target="../ctrlProps/ctrlProp217.xml"/><Relationship Id="rId225" Type="http://schemas.openxmlformats.org/officeDocument/2006/relationships/ctrlProp" Target="../ctrlProps/ctrlProp222.xml"/><Relationship Id="rId241" Type="http://schemas.openxmlformats.org/officeDocument/2006/relationships/ctrlProp" Target="../ctrlProps/ctrlProp238.xml"/><Relationship Id="rId246" Type="http://schemas.openxmlformats.org/officeDocument/2006/relationships/ctrlProp" Target="../ctrlProps/ctrlProp243.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262" Type="http://schemas.openxmlformats.org/officeDocument/2006/relationships/comments" Target="../comments5.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reits.molit.go.kr/public/svc/svc/openPage.do?pageId=020302"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reits.molit.go.kr/public/svc/svc/openPage.do?pageId=020302"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reits.molit.go.kr/public/svc/svc/openPage.do?pageId=020302"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reits.molit.go.kr/svc/svc/openPage.do?pageId=020302"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reits.molit.go.kr/svc/svc/openPage.do?pageId=020302"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reits.molit.go.kr/svc/svc/openPage.do?pageId=02030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reits.molit.go.kr/svc/svc/openPage.do?pageId=020302"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reits.molit.go.kr/svc/svc/openPage.do?pageId=020302"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reits.molit.go.kr/svc/svc/openPage.do?pageId=020302"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reits.molit.go.kr/svc/svc/openPage.do?pageId=0203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2:U129"/>
  <sheetViews>
    <sheetView showGridLines="0" topLeftCell="A85" zoomScaleNormal="100" workbookViewId="0">
      <selection activeCell="D107" sqref="D107"/>
    </sheetView>
  </sheetViews>
  <sheetFormatPr defaultRowHeight="13.5"/>
  <cols>
    <col min="1" max="1" width="4.375" style="330" customWidth="1"/>
    <col min="2" max="2" width="26.25" style="330" customWidth="1"/>
    <col min="3" max="3" width="21.5" style="330" customWidth="1"/>
    <col min="4" max="4" width="16.375" style="330" customWidth="1"/>
    <col min="5" max="5" width="14.875" style="330" bestFit="1" customWidth="1"/>
    <col min="6" max="6" width="18.75" style="330" customWidth="1"/>
    <col min="7" max="7" width="19.375" style="330" customWidth="1"/>
    <col min="8" max="8" width="23.375" style="330" customWidth="1"/>
    <col min="9" max="10" width="15.25" style="330" bestFit="1" customWidth="1"/>
    <col min="11" max="16" width="9.875" style="330" customWidth="1"/>
    <col min="17" max="17" width="9.75" style="330" bestFit="1" customWidth="1"/>
    <col min="18" max="18" width="10" style="330" bestFit="1" customWidth="1"/>
    <col min="19" max="19" width="10.75" style="330" customWidth="1"/>
    <col min="20" max="20" width="69.125" style="330" customWidth="1"/>
    <col min="21" max="16384" width="9" style="330"/>
  </cols>
  <sheetData>
    <row r="2" spans="2:21">
      <c r="B2" s="331" t="s">
        <v>389</v>
      </c>
      <c r="H2" s="330" t="s">
        <v>390</v>
      </c>
    </row>
    <row r="4" spans="2:21" ht="16.5">
      <c r="B4" s="541" t="s">
        <v>391</v>
      </c>
      <c r="C4" s="542">
        <f>C5+C6</f>
        <v>3836000</v>
      </c>
      <c r="D4" s="330" t="s">
        <v>392</v>
      </c>
      <c r="E4" s="543">
        <f>E5+E6</f>
        <v>19180000000</v>
      </c>
    </row>
    <row r="5" spans="2:21" ht="16.5">
      <c r="B5" s="541" t="s">
        <v>81</v>
      </c>
      <c r="C5" s="542">
        <v>700000</v>
      </c>
      <c r="E5" s="543">
        <v>3500000000</v>
      </c>
      <c r="F5" s="330">
        <f>E5/C5</f>
        <v>5000</v>
      </c>
    </row>
    <row r="6" spans="2:21" ht="16.5">
      <c r="B6" s="541" t="s">
        <v>393</v>
      </c>
      <c r="C6" s="542">
        <v>3136000</v>
      </c>
      <c r="E6" s="544">
        <v>15680000000</v>
      </c>
      <c r="F6" s="330">
        <f>E6/C6</f>
        <v>5000</v>
      </c>
      <c r="T6" s="331" t="s">
        <v>394</v>
      </c>
      <c r="U6" s="330" t="s">
        <v>395</v>
      </c>
    </row>
    <row r="7" spans="2:21" ht="16.5">
      <c r="B7" s="545" t="s">
        <v>396</v>
      </c>
      <c r="C7" s="546">
        <v>5000</v>
      </c>
      <c r="E7" s="547"/>
    </row>
    <row r="8" spans="2:21" ht="409.5" customHeight="1">
      <c r="B8" s="548" t="s">
        <v>397</v>
      </c>
      <c r="T8" s="549" t="s">
        <v>398</v>
      </c>
    </row>
    <row r="9" spans="2:21" ht="36">
      <c r="B9" s="550" t="s">
        <v>399</v>
      </c>
      <c r="C9" s="387"/>
      <c r="T9" s="551" t="s">
        <v>400</v>
      </c>
    </row>
    <row r="10" spans="2:21" ht="36">
      <c r="B10" s="552" t="s">
        <v>401</v>
      </c>
      <c r="C10" s="387" t="s">
        <v>402</v>
      </c>
      <c r="T10" s="551" t="s">
        <v>403</v>
      </c>
    </row>
    <row r="11" spans="2:21" ht="24">
      <c r="B11" s="553" t="s">
        <v>404</v>
      </c>
      <c r="C11" s="551" t="s">
        <v>405</v>
      </c>
      <c r="T11" s="551"/>
    </row>
    <row r="12" spans="2:21" ht="36">
      <c r="B12" s="553" t="s">
        <v>406</v>
      </c>
      <c r="C12" s="551" t="s">
        <v>407</v>
      </c>
      <c r="T12" s="551"/>
    </row>
    <row r="13" spans="2:21" ht="72">
      <c r="B13" s="553" t="s">
        <v>408</v>
      </c>
      <c r="C13" s="551" t="s">
        <v>409</v>
      </c>
      <c r="H13" s="554" t="s">
        <v>410</v>
      </c>
      <c r="T13" s="551"/>
    </row>
    <row r="14" spans="2:21">
      <c r="B14" s="553"/>
      <c r="C14" s="387"/>
      <c r="T14" s="551"/>
    </row>
    <row r="15" spans="2:21">
      <c r="B15" s="330" t="s">
        <v>411</v>
      </c>
      <c r="H15" s="330" t="s">
        <v>412</v>
      </c>
    </row>
    <row r="16" spans="2:21" ht="81">
      <c r="B16" s="555" t="s">
        <v>413</v>
      </c>
      <c r="H16" s="556" t="s">
        <v>414</v>
      </c>
    </row>
    <row r="17" spans="2:20">
      <c r="B17" s="557" t="s">
        <v>415</v>
      </c>
      <c r="T17" s="558" t="s">
        <v>416</v>
      </c>
    </row>
    <row r="18" spans="2:20">
      <c r="B18" s="330" t="s">
        <v>417</v>
      </c>
      <c r="F18" s="330" t="s">
        <v>418</v>
      </c>
      <c r="H18" s="557" t="s">
        <v>419</v>
      </c>
    </row>
    <row r="19" spans="2:20">
      <c r="B19" s="555" t="s">
        <v>420</v>
      </c>
      <c r="H19" s="330" t="str">
        <f>E50</f>
        <v>클릭 &gt;&gt; 왜 다른지 문의</v>
      </c>
    </row>
    <row r="20" spans="2:20">
      <c r="B20" s="330" t="s">
        <v>421</v>
      </c>
    </row>
    <row r="21" spans="2:20">
      <c r="B21" s="330" t="s">
        <v>422</v>
      </c>
    </row>
    <row r="22" spans="2:20">
      <c r="B22" s="330" t="s">
        <v>423</v>
      </c>
    </row>
    <row r="25" spans="2:20">
      <c r="B25" s="330" t="s">
        <v>424</v>
      </c>
    </row>
    <row r="26" spans="2:20">
      <c r="B26" s="330" t="s">
        <v>425</v>
      </c>
    </row>
    <row r="27" spans="2:20">
      <c r="B27" s="330" t="s">
        <v>426</v>
      </c>
      <c r="C27" s="559">
        <v>44377</v>
      </c>
    </row>
    <row r="28" spans="2:20">
      <c r="B28" s="330" t="s">
        <v>427</v>
      </c>
      <c r="C28" s="560">
        <v>44408</v>
      </c>
    </row>
    <row r="29" spans="2:20">
      <c r="B29" s="330" t="s">
        <v>428</v>
      </c>
      <c r="C29" s="561">
        <v>48029</v>
      </c>
      <c r="D29" s="330" t="s">
        <v>429</v>
      </c>
    </row>
    <row r="30" spans="2:20">
      <c r="B30" s="331" t="s">
        <v>430</v>
      </c>
      <c r="C30" s="562"/>
    </row>
    <row r="32" spans="2:20">
      <c r="B32" s="330" t="s">
        <v>431</v>
      </c>
    </row>
    <row r="33" spans="2:11">
      <c r="B33" s="330" t="s">
        <v>432</v>
      </c>
    </row>
    <row r="35" spans="2:11">
      <c r="B35" s="330" t="s">
        <v>433</v>
      </c>
      <c r="G35" s="563" t="s">
        <v>434</v>
      </c>
    </row>
    <row r="36" spans="2:11">
      <c r="B36" s="564" t="s">
        <v>435</v>
      </c>
      <c r="C36" s="564" t="s">
        <v>436</v>
      </c>
      <c r="D36" s="564" t="s">
        <v>437</v>
      </c>
      <c r="E36" s="564" t="s">
        <v>438</v>
      </c>
      <c r="F36" s="564" t="s">
        <v>439</v>
      </c>
      <c r="G36" s="564" t="s">
        <v>440</v>
      </c>
    </row>
    <row r="37" spans="2:11" ht="16.5">
      <c r="B37" s="565" t="s">
        <v>441</v>
      </c>
      <c r="C37" s="564" t="s">
        <v>442</v>
      </c>
      <c r="D37" s="542">
        <v>1000000</v>
      </c>
      <c r="E37" s="566">
        <f>D37/$D$46</f>
        <v>0.26068821689259647</v>
      </c>
      <c r="F37" s="567">
        <f>D37*G37</f>
        <v>50000000000</v>
      </c>
      <c r="G37" s="542">
        <v>50000</v>
      </c>
    </row>
    <row r="38" spans="2:11" ht="16.5">
      <c r="B38" s="565" t="s">
        <v>443</v>
      </c>
      <c r="C38" s="564" t="s">
        <v>444</v>
      </c>
      <c r="D38" s="542">
        <v>800000</v>
      </c>
      <c r="E38" s="566">
        <f t="shared" ref="E38:E45" si="0">D38/$D$46</f>
        <v>0.20855057351407716</v>
      </c>
      <c r="F38" s="567">
        <f t="shared" ref="F38:F45" si="1">D38*G38</f>
        <v>40000000000</v>
      </c>
      <c r="G38" s="542">
        <v>50000</v>
      </c>
    </row>
    <row r="39" spans="2:11" ht="16.5">
      <c r="B39" s="565" t="s">
        <v>445</v>
      </c>
      <c r="C39" s="564" t="s">
        <v>446</v>
      </c>
      <c r="D39" s="542">
        <v>800000</v>
      </c>
      <c r="E39" s="566">
        <f t="shared" si="0"/>
        <v>0.20855057351407716</v>
      </c>
      <c r="F39" s="567">
        <f t="shared" si="1"/>
        <v>40000000000</v>
      </c>
      <c r="G39" s="542">
        <v>50000</v>
      </c>
    </row>
    <row r="40" spans="2:11" ht="16.5">
      <c r="B40" s="565" t="s">
        <v>447</v>
      </c>
      <c r="C40" s="564" t="s">
        <v>444</v>
      </c>
      <c r="D40" s="542">
        <v>300000</v>
      </c>
      <c r="E40" s="566">
        <f t="shared" si="0"/>
        <v>7.8206465067778938E-2</v>
      </c>
      <c r="F40" s="567">
        <f t="shared" si="1"/>
        <v>15000000000</v>
      </c>
      <c r="G40" s="542">
        <v>50000</v>
      </c>
    </row>
    <row r="41" spans="2:11" ht="16.5">
      <c r="B41" s="568" t="s">
        <v>448</v>
      </c>
      <c r="C41" s="569" t="s">
        <v>446</v>
      </c>
      <c r="D41" s="570">
        <v>236000</v>
      </c>
      <c r="E41" s="571">
        <f>D41/$D$46</f>
        <v>6.1522419186652764E-2</v>
      </c>
      <c r="F41" s="567">
        <f>D41*G41</f>
        <v>11800000000</v>
      </c>
      <c r="G41" s="542">
        <v>50000</v>
      </c>
    </row>
    <row r="42" spans="2:11" ht="16.5">
      <c r="B42" s="565" t="s">
        <v>449</v>
      </c>
      <c r="C42" s="564" t="s">
        <v>450</v>
      </c>
      <c r="D42" s="542">
        <v>570000</v>
      </c>
      <c r="E42" s="566">
        <f t="shared" si="0"/>
        <v>0.14859228362877999</v>
      </c>
      <c r="F42" s="542">
        <f t="shared" si="1"/>
        <v>28500000000</v>
      </c>
      <c r="G42" s="542">
        <v>50000</v>
      </c>
      <c r="I42" s="2131">
        <v>242800</v>
      </c>
    </row>
    <row r="43" spans="2:11" ht="16.5">
      <c r="B43" s="572" t="s">
        <v>451</v>
      </c>
      <c r="C43" s="573" t="s">
        <v>81</v>
      </c>
      <c r="D43" s="574">
        <v>80000</v>
      </c>
      <c r="E43" s="575">
        <f t="shared" si="0"/>
        <v>2.0855057351407715E-2</v>
      </c>
      <c r="F43" s="574">
        <f t="shared" si="1"/>
        <v>4000000000</v>
      </c>
      <c r="G43" s="574">
        <v>50000</v>
      </c>
      <c r="I43" s="1570">
        <v>0</v>
      </c>
    </row>
    <row r="44" spans="2:11" ht="16.5">
      <c r="B44" s="565" t="s">
        <v>452</v>
      </c>
      <c r="C44" s="564" t="s">
        <v>450</v>
      </c>
      <c r="D44" s="542">
        <v>30000</v>
      </c>
      <c r="E44" s="566">
        <f t="shared" si="0"/>
        <v>7.8206465067778945E-3</v>
      </c>
      <c r="F44" s="542">
        <f t="shared" si="1"/>
        <v>1500000000</v>
      </c>
      <c r="G44" s="542">
        <v>50000</v>
      </c>
      <c r="I44" s="2138">
        <v>35000</v>
      </c>
    </row>
    <row r="45" spans="2:11" ht="16.5">
      <c r="B45" s="568" t="s">
        <v>453</v>
      </c>
      <c r="C45" s="569" t="s">
        <v>81</v>
      </c>
      <c r="D45" s="570">
        <v>20000</v>
      </c>
      <c r="E45" s="571">
        <f t="shared" si="0"/>
        <v>5.2137643378519288E-3</v>
      </c>
      <c r="F45" s="570">
        <f t="shared" si="1"/>
        <v>1000000000</v>
      </c>
      <c r="G45" s="542">
        <v>50000</v>
      </c>
    </row>
    <row r="46" spans="2:11" ht="16.5">
      <c r="B46" s="576" t="s">
        <v>454</v>
      </c>
      <c r="C46" s="565"/>
      <c r="D46" s="577">
        <f>SUM(D37:D45)</f>
        <v>3836000</v>
      </c>
      <c r="E46" s="578">
        <f>SUM(E37:E45)</f>
        <v>1</v>
      </c>
      <c r="F46" s="577">
        <f>SUM(F37:F45)</f>
        <v>191800000000</v>
      </c>
      <c r="G46" s="542"/>
    </row>
    <row r="47" spans="2:11">
      <c r="I47" s="563" t="s">
        <v>455</v>
      </c>
      <c r="J47" s="563" t="s">
        <v>456</v>
      </c>
    </row>
    <row r="48" spans="2:11">
      <c r="H48" s="579" t="s">
        <v>457</v>
      </c>
      <c r="I48" s="580">
        <f>SUM(D62:D69)</f>
        <v>4856000</v>
      </c>
      <c r="J48" s="580">
        <f>SUM(G62:G69)</f>
        <v>242800000000</v>
      </c>
      <c r="K48" s="610"/>
    </row>
    <row r="49" spans="2:10">
      <c r="F49" s="579" t="s">
        <v>458</v>
      </c>
      <c r="H49" s="579" t="s">
        <v>459</v>
      </c>
      <c r="I49" s="580">
        <f>SUM(D42:D45)</f>
        <v>700000</v>
      </c>
      <c r="J49" s="580">
        <f>SUM(F42:F45)</f>
        <v>35000000000</v>
      </c>
    </row>
    <row r="50" spans="2:10">
      <c r="D50" s="581"/>
      <c r="E50" s="582" t="s">
        <v>460</v>
      </c>
      <c r="F50" s="583">
        <v>242800</v>
      </c>
    </row>
    <row r="51" spans="2:10">
      <c r="E51" s="330" t="s">
        <v>461</v>
      </c>
      <c r="F51" s="584">
        <f>SUM(F37:F41)/1000000</f>
        <v>156800</v>
      </c>
      <c r="G51" s="330" t="s">
        <v>462</v>
      </c>
    </row>
    <row r="52" spans="2:10">
      <c r="F52" s="585" t="b">
        <f>F50=F51</f>
        <v>0</v>
      </c>
    </row>
    <row r="58" spans="2:10" ht="16.5">
      <c r="B58" t="s">
        <v>463</v>
      </c>
      <c r="C58"/>
      <c r="D58"/>
      <c r="E58"/>
      <c r="F58"/>
      <c r="G58"/>
    </row>
    <row r="59" spans="2:10" ht="16.5">
      <c r="B59"/>
      <c r="C59"/>
      <c r="D59"/>
      <c r="E59"/>
      <c r="F59"/>
      <c r="G59" s="586" t="s">
        <v>464</v>
      </c>
    </row>
    <row r="60" spans="2:10" ht="16.5">
      <c r="B60"/>
      <c r="C60"/>
      <c r="D60"/>
      <c r="E60"/>
      <c r="F60"/>
      <c r="G60" s="586" t="s">
        <v>465</v>
      </c>
    </row>
    <row r="61" spans="2:10" ht="17.25" thickBot="1">
      <c r="B61" s="587" t="s">
        <v>466</v>
      </c>
      <c r="C61" s="587" t="s">
        <v>467</v>
      </c>
      <c r="D61" s="587" t="s">
        <v>468</v>
      </c>
      <c r="E61" s="587" t="s">
        <v>438</v>
      </c>
      <c r="F61" s="587" t="s">
        <v>469</v>
      </c>
      <c r="G61" s="587" t="s">
        <v>470</v>
      </c>
      <c r="H61" s="564" t="s">
        <v>471</v>
      </c>
    </row>
    <row r="62" spans="2:10" ht="41.25" thickTop="1">
      <c r="B62" s="588" t="s">
        <v>472</v>
      </c>
      <c r="C62" s="589" t="s">
        <v>473</v>
      </c>
      <c r="D62" s="590">
        <v>1200000</v>
      </c>
      <c r="E62" s="591">
        <f>D62/$D$74</f>
        <v>0.21598272138228941</v>
      </c>
      <c r="F62" s="590">
        <f>D62*5000</f>
        <v>6000000000</v>
      </c>
      <c r="G62" s="590">
        <f>D62*50000</f>
        <v>60000000000</v>
      </c>
      <c r="H62" s="592">
        <f>G62</f>
        <v>60000000000</v>
      </c>
    </row>
    <row r="63" spans="2:10" ht="40.5">
      <c r="B63" s="593" t="s">
        <v>474</v>
      </c>
      <c r="C63" s="594" t="s">
        <v>475</v>
      </c>
      <c r="D63" s="595">
        <v>1000000</v>
      </c>
      <c r="E63" s="591">
        <f t="shared" ref="E63:E73" si="2">D63/$D$74</f>
        <v>0.17998560115190784</v>
      </c>
      <c r="F63" s="595">
        <f t="shared" ref="F63:F73" si="3">D63*5000</f>
        <v>5000000000</v>
      </c>
      <c r="G63" s="595">
        <f t="shared" ref="G63:G73" si="4">D63*50000</f>
        <v>50000000000</v>
      </c>
      <c r="H63" s="565"/>
    </row>
    <row r="64" spans="2:10" ht="16.5">
      <c r="B64" s="596" t="s">
        <v>476</v>
      </c>
      <c r="C64" s="596" t="s">
        <v>477</v>
      </c>
      <c r="D64" s="597">
        <v>800000</v>
      </c>
      <c r="E64" s="591">
        <f t="shared" si="2"/>
        <v>0.14398848092152627</v>
      </c>
      <c r="F64" s="597">
        <f t="shared" si="3"/>
        <v>4000000000</v>
      </c>
      <c r="G64" s="597">
        <f t="shared" si="4"/>
        <v>40000000000</v>
      </c>
      <c r="H64" s="565"/>
    </row>
    <row r="65" spans="2:10" ht="16.5">
      <c r="B65" s="596" t="s">
        <v>478</v>
      </c>
      <c r="C65" s="596" t="s">
        <v>477</v>
      </c>
      <c r="D65" s="597">
        <v>800000</v>
      </c>
      <c r="E65" s="591">
        <f t="shared" si="2"/>
        <v>0.14398848092152627</v>
      </c>
      <c r="F65" s="597">
        <f t="shared" si="3"/>
        <v>4000000000</v>
      </c>
      <c r="G65" s="597">
        <f t="shared" si="4"/>
        <v>40000000000</v>
      </c>
      <c r="H65" s="565"/>
    </row>
    <row r="66" spans="2:10" ht="16.5">
      <c r="B66" s="598" t="s">
        <v>479</v>
      </c>
      <c r="C66" s="598" t="s">
        <v>480</v>
      </c>
      <c r="D66" s="599">
        <f>300000+200000</f>
        <v>500000</v>
      </c>
      <c r="E66" s="591">
        <f t="shared" si="2"/>
        <v>8.9992800575953921E-2</v>
      </c>
      <c r="F66" s="599">
        <f t="shared" si="3"/>
        <v>2500000000</v>
      </c>
      <c r="G66" s="599">
        <f t="shared" si="4"/>
        <v>25000000000</v>
      </c>
      <c r="H66" s="592">
        <f>G66-F40</f>
        <v>10000000000</v>
      </c>
    </row>
    <row r="67" spans="2:10" ht="16.5">
      <c r="B67" s="1040" t="s">
        <v>481</v>
      </c>
      <c r="C67" s="1040" t="s">
        <v>477</v>
      </c>
      <c r="D67" s="1041">
        <f>136000+500800-200000</f>
        <v>436800</v>
      </c>
      <c r="E67" s="591">
        <f t="shared" si="2"/>
        <v>7.8617710583153352E-2</v>
      </c>
      <c r="F67" s="599">
        <f t="shared" si="3"/>
        <v>2184000000</v>
      </c>
      <c r="G67" s="599">
        <f t="shared" si="4"/>
        <v>21840000000</v>
      </c>
      <c r="H67" s="592">
        <f>G67-F41</f>
        <v>10040000000</v>
      </c>
    </row>
    <row r="68" spans="2:10" ht="16.5">
      <c r="B68" s="1042" t="s">
        <v>482</v>
      </c>
      <c r="C68" s="1042" t="s">
        <v>475</v>
      </c>
      <c r="D68" s="1043">
        <v>100000</v>
      </c>
      <c r="E68" s="591">
        <f t="shared" si="2"/>
        <v>1.7998560115190784E-2</v>
      </c>
      <c r="F68" s="601">
        <f t="shared" si="3"/>
        <v>500000000</v>
      </c>
      <c r="G68" s="601">
        <f t="shared" si="4"/>
        <v>5000000000</v>
      </c>
      <c r="H68" s="592">
        <f>G68</f>
        <v>5000000000</v>
      </c>
    </row>
    <row r="69" spans="2:10" ht="16.5">
      <c r="B69" s="600" t="s">
        <v>483</v>
      </c>
      <c r="C69" s="600" t="s">
        <v>475</v>
      </c>
      <c r="D69" s="601">
        <v>19200</v>
      </c>
      <c r="E69" s="591">
        <f t="shared" si="2"/>
        <v>3.4557235421166306E-3</v>
      </c>
      <c r="F69" s="601">
        <f t="shared" si="3"/>
        <v>96000000</v>
      </c>
      <c r="G69" s="601">
        <f t="shared" si="4"/>
        <v>960000000</v>
      </c>
      <c r="H69" s="592">
        <f>G69</f>
        <v>960000000</v>
      </c>
    </row>
    <row r="70" spans="2:10" ht="16.5">
      <c r="B70" s="602" t="s">
        <v>484</v>
      </c>
      <c r="C70" s="602" t="s">
        <v>485</v>
      </c>
      <c r="D70" s="603">
        <v>570000</v>
      </c>
      <c r="E70" s="591">
        <f t="shared" si="2"/>
        <v>0.10259179265658748</v>
      </c>
      <c r="F70" s="603">
        <f t="shared" si="3"/>
        <v>2850000000</v>
      </c>
      <c r="G70" s="603">
        <f t="shared" si="4"/>
        <v>28500000000</v>
      </c>
      <c r="H70" s="604">
        <f>G70-F42</f>
        <v>0</v>
      </c>
    </row>
    <row r="71" spans="2:10" ht="16.5">
      <c r="B71" s="1044" t="s">
        <v>486</v>
      </c>
      <c r="C71" s="1044" t="s">
        <v>485</v>
      </c>
      <c r="D71" s="1045">
        <v>80000</v>
      </c>
      <c r="E71" s="591">
        <f t="shared" si="2"/>
        <v>1.4398848092152628E-2</v>
      </c>
      <c r="F71" s="603">
        <f t="shared" si="3"/>
        <v>400000000</v>
      </c>
      <c r="G71" s="603">
        <f t="shared" si="4"/>
        <v>4000000000</v>
      </c>
      <c r="H71" s="604">
        <f>G71-F43</f>
        <v>0</v>
      </c>
    </row>
    <row r="72" spans="2:10" ht="16.5">
      <c r="B72" s="602" t="s">
        <v>487</v>
      </c>
      <c r="C72" s="602" t="s">
        <v>485</v>
      </c>
      <c r="D72" s="603">
        <v>30000</v>
      </c>
      <c r="E72" s="591">
        <f t="shared" si="2"/>
        <v>5.3995680345572351E-3</v>
      </c>
      <c r="F72" s="603">
        <f t="shared" si="3"/>
        <v>150000000</v>
      </c>
      <c r="G72" s="603">
        <f t="shared" si="4"/>
        <v>1500000000</v>
      </c>
      <c r="H72" s="604">
        <f>G72-F44</f>
        <v>0</v>
      </c>
    </row>
    <row r="73" spans="2:10" ht="17.25" thickBot="1">
      <c r="B73" s="1046" t="s">
        <v>481</v>
      </c>
      <c r="C73" s="1046" t="s">
        <v>485</v>
      </c>
      <c r="D73" s="1047">
        <v>20000</v>
      </c>
      <c r="E73" s="591">
        <f t="shared" si="2"/>
        <v>3.599712023038157E-3</v>
      </c>
      <c r="F73" s="605">
        <f t="shared" si="3"/>
        <v>100000000</v>
      </c>
      <c r="G73" s="605">
        <f t="shared" si="4"/>
        <v>1000000000</v>
      </c>
      <c r="H73" s="604">
        <f>G73-F45</f>
        <v>0</v>
      </c>
    </row>
    <row r="74" spans="2:10" ht="17.25" thickTop="1">
      <c r="B74" s="606" t="s">
        <v>134</v>
      </c>
      <c r="C74" s="606"/>
      <c r="D74" s="607">
        <f>SUM(D62:D73)</f>
        <v>5556000</v>
      </c>
      <c r="E74" s="608">
        <f>D74/D74</f>
        <v>1</v>
      </c>
      <c r="F74" s="607">
        <f>SUM(F62:F73)</f>
        <v>27780000000</v>
      </c>
      <c r="G74" s="607">
        <f>SUM(G62:G73)</f>
        <v>277800000000</v>
      </c>
      <c r="H74" s="609">
        <f>SUM(H62:H73)</f>
        <v>86000000000</v>
      </c>
      <c r="I74" s="398" t="s">
        <v>488</v>
      </c>
    </row>
    <row r="78" spans="2:10">
      <c r="D78" s="330" t="s">
        <v>437</v>
      </c>
    </row>
    <row r="79" spans="2:10" ht="14.25" thickBot="1"/>
    <row r="80" spans="2:10" ht="14.25" thickBot="1">
      <c r="C80" s="565" t="str">
        <f>C70</f>
        <v>보통주식</v>
      </c>
      <c r="D80" s="604">
        <f>SUM(D70:D73)</f>
        <v>700000</v>
      </c>
      <c r="E80" s="547">
        <f>D80*5000</f>
        <v>3500000000</v>
      </c>
      <c r="G80" s="109" t="s">
        <v>118</v>
      </c>
      <c r="H80" s="110" t="s">
        <v>120</v>
      </c>
      <c r="I80" s="110" t="s">
        <v>800</v>
      </c>
      <c r="J80" s="110" t="s">
        <v>801</v>
      </c>
    </row>
    <row r="81" spans="1:20" ht="14.25" thickBot="1">
      <c r="C81" s="565" t="str">
        <f>C62</f>
        <v>제1종종류주식</v>
      </c>
      <c r="D81" s="604">
        <f>SUM(D62:D69)</f>
        <v>4856000</v>
      </c>
      <c r="E81" s="547">
        <f>D81*5000</f>
        <v>24280000000</v>
      </c>
      <c r="G81" s="117" t="s">
        <v>129</v>
      </c>
      <c r="H81" s="118">
        <v>700000</v>
      </c>
      <c r="I81" s="118">
        <f>H81*J81</f>
        <v>35000000000</v>
      </c>
      <c r="J81" s="118">
        <v>50000</v>
      </c>
    </row>
    <row r="82" spans="1:20" ht="14.25" thickBot="1">
      <c r="D82" s="610">
        <f>SUM(D80:D81)</f>
        <v>5556000</v>
      </c>
      <c r="E82" s="547">
        <f>SUM(E80:E81)</f>
        <v>27780000000</v>
      </c>
      <c r="G82" s="117" t="s">
        <v>802</v>
      </c>
      <c r="H82" s="118">
        <v>4856000</v>
      </c>
      <c r="I82" s="118">
        <f>H82*J82</f>
        <v>242800000000</v>
      </c>
      <c r="J82" s="118">
        <v>50000</v>
      </c>
    </row>
    <row r="83" spans="1:20" ht="24.75" thickBot="1">
      <c r="G83" s="125" t="s">
        <v>803</v>
      </c>
      <c r="H83" s="126"/>
      <c r="I83" s="127"/>
      <c r="J83" s="126">
        <v>50000</v>
      </c>
    </row>
    <row r="84" spans="1:20" ht="17.25" thickBot="1">
      <c r="G84" s="130" t="s">
        <v>134</v>
      </c>
      <c r="H84" s="131">
        <v>5556000</v>
      </c>
      <c r="I84" s="120">
        <f>SUM(I81:I82)</f>
        <v>277800000000</v>
      </c>
      <c r="J84" s="1"/>
    </row>
    <row r="88" spans="1:20">
      <c r="B88" s="557" t="s">
        <v>2325</v>
      </c>
    </row>
    <row r="89" spans="1:20" ht="14.25" thickBot="1">
      <c r="R89" s="1836"/>
      <c r="S89" s="1836"/>
    </row>
    <row r="90" spans="1:20" ht="14.25" thickBot="1">
      <c r="B90" s="611" t="s">
        <v>489</v>
      </c>
      <c r="C90" s="612" t="s">
        <v>118</v>
      </c>
      <c r="D90" s="612" t="s">
        <v>120</v>
      </c>
      <c r="E90" s="612" t="s">
        <v>490</v>
      </c>
      <c r="J90" s="200" t="s">
        <v>160</v>
      </c>
      <c r="K90" s="201">
        <v>44469</v>
      </c>
      <c r="L90" s="201">
        <v>44500</v>
      </c>
      <c r="M90" s="201">
        <v>44620</v>
      </c>
      <c r="N90" s="201">
        <v>44712</v>
      </c>
      <c r="O90" s="201">
        <v>44804</v>
      </c>
      <c r="P90" s="201">
        <v>44865</v>
      </c>
      <c r="Q90" s="201">
        <v>44985</v>
      </c>
      <c r="R90" s="202">
        <v>45077</v>
      </c>
      <c r="S90" s="201">
        <v>45230</v>
      </c>
      <c r="T90" s="202">
        <v>45351</v>
      </c>
    </row>
    <row r="91" spans="1:20" ht="14.25" thickBot="1">
      <c r="A91" s="330">
        <v>1</v>
      </c>
      <c r="B91" s="613" t="s">
        <v>491</v>
      </c>
      <c r="C91" s="206" t="str">
        <f>C62</f>
        <v>제1종종류주식</v>
      </c>
      <c r="D91" s="208">
        <f>D62</f>
        <v>1200000</v>
      </c>
      <c r="E91" s="614">
        <f t="shared" ref="E91:E103" si="5">D91/$D$104</f>
        <v>0.21598272138228941</v>
      </c>
      <c r="J91" s="203" t="s">
        <v>187</v>
      </c>
      <c r="K91" s="204">
        <v>788190</v>
      </c>
      <c r="L91" s="204">
        <v>788607</v>
      </c>
      <c r="M91" s="204">
        <v>784398</v>
      </c>
      <c r="N91" s="204">
        <v>783990</v>
      </c>
      <c r="O91" s="204">
        <v>776556</v>
      </c>
      <c r="P91" s="204">
        <v>774866.5</v>
      </c>
      <c r="Q91" s="204">
        <v>767965.95900000003</v>
      </c>
      <c r="R91" s="205">
        <v>767816.31200000003</v>
      </c>
      <c r="S91" s="1913">
        <v>758629</v>
      </c>
      <c r="T91" s="1914">
        <v>752442</v>
      </c>
    </row>
    <row r="92" spans="1:20" ht="14.25" thickBot="1">
      <c r="A92" s="330">
        <v>2</v>
      </c>
      <c r="B92" s="613" t="s">
        <v>492</v>
      </c>
      <c r="C92" s="206" t="str">
        <f t="shared" ref="B92:D95" si="6">C63</f>
        <v>제1종종류주식</v>
      </c>
      <c r="D92" s="208">
        <f t="shared" si="6"/>
        <v>1000000</v>
      </c>
      <c r="E92" s="614">
        <f t="shared" si="5"/>
        <v>0.17998560115190784</v>
      </c>
      <c r="J92" s="203" t="s">
        <v>188</v>
      </c>
      <c r="K92" s="204">
        <v>605718</v>
      </c>
      <c r="L92" s="204">
        <v>606745</v>
      </c>
      <c r="M92" s="204">
        <v>523182</v>
      </c>
      <c r="N92" s="204">
        <v>523596</v>
      </c>
      <c r="O92" s="204">
        <v>523838</v>
      </c>
      <c r="P92" s="204">
        <v>522331.1</v>
      </c>
      <c r="Q92" s="204">
        <v>524194.56199999998</v>
      </c>
      <c r="R92" s="205">
        <v>523813</v>
      </c>
      <c r="S92" s="1913">
        <v>522206</v>
      </c>
      <c r="T92" s="205">
        <v>523575</v>
      </c>
    </row>
    <row r="93" spans="1:20" ht="14.25" thickBot="1">
      <c r="A93" s="330">
        <v>3</v>
      </c>
      <c r="B93" s="613" t="str">
        <f t="shared" si="6"/>
        <v>스마일게이트홀딩스</v>
      </c>
      <c r="C93" s="206" t="str">
        <f t="shared" si="6"/>
        <v>제1종종류주식</v>
      </c>
      <c r="D93" s="208">
        <f t="shared" si="6"/>
        <v>800000</v>
      </c>
      <c r="E93" s="614">
        <f t="shared" si="5"/>
        <v>0.14398848092152627</v>
      </c>
      <c r="J93" s="203" t="s">
        <v>189</v>
      </c>
      <c r="K93" s="204">
        <v>182471</v>
      </c>
      <c r="L93" s="204">
        <v>181863</v>
      </c>
      <c r="M93" s="204">
        <v>261216</v>
      </c>
      <c r="N93" s="204">
        <v>260394</v>
      </c>
      <c r="O93" s="204">
        <v>252717</v>
      </c>
      <c r="P93" s="204">
        <f>P91-P92</f>
        <v>252535.40000000002</v>
      </c>
      <c r="Q93" s="204">
        <f>Q91-Q92</f>
        <v>243771.39700000006</v>
      </c>
      <c r="R93" s="204">
        <f>R91-R92</f>
        <v>244003.31200000003</v>
      </c>
      <c r="S93" s="1913">
        <v>236423</v>
      </c>
      <c r="T93" s="1914">
        <v>228867</v>
      </c>
    </row>
    <row r="94" spans="1:20" ht="14.25" thickBot="1">
      <c r="A94" s="330">
        <v>4</v>
      </c>
      <c r="B94" s="613" t="str">
        <f t="shared" si="6"/>
        <v>건설공제조합</v>
      </c>
      <c r="C94" s="206" t="str">
        <f t="shared" si="6"/>
        <v>제1종종류주식</v>
      </c>
      <c r="D94" s="208">
        <f t="shared" si="6"/>
        <v>800000</v>
      </c>
      <c r="E94" s="614">
        <f t="shared" si="5"/>
        <v>0.14398848092152627</v>
      </c>
      <c r="J94" s="203" t="s">
        <v>190</v>
      </c>
      <c r="K94" s="204">
        <v>788190</v>
      </c>
      <c r="L94" s="204">
        <v>788607</v>
      </c>
      <c r="M94" s="204">
        <v>784398</v>
      </c>
      <c r="N94" s="204">
        <v>783990</v>
      </c>
      <c r="O94" s="204">
        <v>776556</v>
      </c>
      <c r="P94" s="204">
        <f>P92+P93</f>
        <v>774866.5</v>
      </c>
      <c r="Q94" s="204">
        <f>Q92+Q93</f>
        <v>767965.95900000003</v>
      </c>
      <c r="R94" s="205">
        <f>R92+R93</f>
        <v>767816.31200000003</v>
      </c>
      <c r="S94" s="1913">
        <v>758629</v>
      </c>
      <c r="T94" s="1914">
        <v>752442</v>
      </c>
    </row>
    <row r="95" spans="1:20" ht="14.25" thickBot="1">
      <c r="A95" s="330">
        <v>5</v>
      </c>
      <c r="B95" s="613" t="str">
        <f t="shared" si="6"/>
        <v>재단법인 대우재단</v>
      </c>
      <c r="C95" s="206" t="str">
        <f t="shared" si="6"/>
        <v>제1종종류주식</v>
      </c>
      <c r="D95" s="208">
        <f t="shared" si="6"/>
        <v>500000</v>
      </c>
      <c r="E95" s="614">
        <f t="shared" si="5"/>
        <v>8.9992800575953921E-2</v>
      </c>
      <c r="S95" s="1836"/>
    </row>
    <row r="96" spans="1:20" ht="14.25" thickBot="1">
      <c r="B96" s="613" t="s">
        <v>2324</v>
      </c>
      <c r="C96" s="206" t="str">
        <f>C67</f>
        <v>제1종종류주식</v>
      </c>
      <c r="D96" s="208">
        <v>200000</v>
      </c>
      <c r="E96" s="614">
        <f t="shared" si="5"/>
        <v>3.5997120230381568E-2</v>
      </c>
      <c r="S96" s="1836"/>
    </row>
    <row r="97" spans="1:20" ht="14.25" thickBot="1">
      <c r="A97" s="330">
        <v>6</v>
      </c>
      <c r="B97" s="613" t="str">
        <f>B68</f>
        <v>네오위즈홀딩스</v>
      </c>
      <c r="C97" s="206" t="str">
        <f>C68</f>
        <v>제1종종류주식</v>
      </c>
      <c r="D97" s="208">
        <f>D68</f>
        <v>100000</v>
      </c>
      <c r="E97" s="614">
        <f t="shared" si="5"/>
        <v>1.7998560115190784E-2</v>
      </c>
      <c r="S97" s="1836"/>
    </row>
    <row r="98" spans="1:20" ht="14.25" thickBot="1">
      <c r="A98" s="330">
        <v>7</v>
      </c>
      <c r="B98" s="613" t="str">
        <f t="shared" ref="B98:D102" si="7">B69</f>
        <v>개인(16인)</v>
      </c>
      <c r="C98" s="206" t="str">
        <f t="shared" si="7"/>
        <v>제1종종류주식</v>
      </c>
      <c r="D98" s="208">
        <f t="shared" si="7"/>
        <v>19200</v>
      </c>
      <c r="E98" s="614">
        <f t="shared" si="5"/>
        <v>3.4557235421166306E-3</v>
      </c>
      <c r="J98" s="200" t="s">
        <v>160</v>
      </c>
      <c r="K98" s="201">
        <v>44469</v>
      </c>
      <c r="L98" s="201">
        <v>44500</v>
      </c>
      <c r="M98" s="201">
        <v>44620</v>
      </c>
      <c r="N98" s="201">
        <v>44712</v>
      </c>
      <c r="O98" s="201">
        <v>44804</v>
      </c>
      <c r="P98" s="201">
        <v>44865</v>
      </c>
      <c r="Q98" s="201">
        <v>44985</v>
      </c>
      <c r="R98" s="202">
        <v>45077</v>
      </c>
      <c r="S98" s="201">
        <v>45230</v>
      </c>
      <c r="T98" s="202">
        <v>45351</v>
      </c>
    </row>
    <row r="99" spans="1:20" ht="14.25" thickBot="1">
      <c r="A99" s="330">
        <v>8</v>
      </c>
      <c r="B99" s="613" t="str">
        <f t="shared" si="7"/>
        <v>한국토지신탁</v>
      </c>
      <c r="C99" s="206" t="str">
        <f t="shared" si="7"/>
        <v>보통주식</v>
      </c>
      <c r="D99" s="208">
        <f t="shared" si="7"/>
        <v>570000</v>
      </c>
      <c r="E99" s="614">
        <f t="shared" si="5"/>
        <v>0.10259179265658748</v>
      </c>
      <c r="J99" s="206" t="s">
        <v>191</v>
      </c>
      <c r="K99" s="204">
        <v>2256</v>
      </c>
      <c r="L99" s="204">
        <v>2193</v>
      </c>
      <c r="M99" s="204">
        <v>2528</v>
      </c>
      <c r="N99" s="204">
        <v>2396</v>
      </c>
      <c r="O99" s="204">
        <v>2530</v>
      </c>
      <c r="P99" s="204">
        <v>13790.2</v>
      </c>
      <c r="Q99" s="204">
        <v>8847.7559999999994</v>
      </c>
      <c r="R99" s="205">
        <v>2841.3</v>
      </c>
      <c r="S99" s="1915">
        <v>2821</v>
      </c>
      <c r="T99" s="1916">
        <v>10324</v>
      </c>
    </row>
    <row r="100" spans="1:20" ht="14.25" thickBot="1">
      <c r="A100" s="330">
        <v>9</v>
      </c>
      <c r="B100" s="613" t="str">
        <f t="shared" si="7"/>
        <v>롯데물산</v>
      </c>
      <c r="C100" s="206" t="str">
        <f t="shared" si="7"/>
        <v>보통주식</v>
      </c>
      <c r="D100" s="208">
        <f t="shared" si="7"/>
        <v>80000</v>
      </c>
      <c r="E100" s="614">
        <f t="shared" si="5"/>
        <v>1.4398848092152628E-2</v>
      </c>
      <c r="J100" s="206" t="s">
        <v>192</v>
      </c>
      <c r="K100" s="204">
        <v>1392</v>
      </c>
      <c r="L100" s="204">
        <v>1392</v>
      </c>
      <c r="M100" s="204">
        <v>1465</v>
      </c>
      <c r="N100" s="204">
        <v>1474</v>
      </c>
      <c r="O100" s="204">
        <v>1498</v>
      </c>
      <c r="P100" s="204">
        <v>8943</v>
      </c>
      <c r="Q100" s="204">
        <v>5982.9849999999997</v>
      </c>
      <c r="R100" s="205">
        <v>1470.7</v>
      </c>
      <c r="S100" s="1915">
        <v>1524</v>
      </c>
      <c r="T100" s="1916">
        <v>6150</v>
      </c>
    </row>
    <row r="101" spans="1:20" ht="14.25" thickBot="1">
      <c r="A101" s="330">
        <v>10</v>
      </c>
      <c r="B101" s="613" t="str">
        <f t="shared" si="7"/>
        <v>성진자산관리</v>
      </c>
      <c r="C101" s="206" t="str">
        <f>C72</f>
        <v>보통주식</v>
      </c>
      <c r="D101" s="208">
        <f t="shared" si="7"/>
        <v>30000</v>
      </c>
      <c r="E101" s="614">
        <f t="shared" si="5"/>
        <v>5.3995680345572351E-3</v>
      </c>
      <c r="J101" s="206" t="s">
        <v>35</v>
      </c>
      <c r="K101" s="204">
        <v>864</v>
      </c>
      <c r="L101" s="204">
        <v>801</v>
      </c>
      <c r="M101" s="204">
        <v>1063</v>
      </c>
      <c r="N101" s="204">
        <v>922</v>
      </c>
      <c r="O101" s="204">
        <v>1032</v>
      </c>
      <c r="P101" s="204">
        <f>P99-P100</f>
        <v>4847.2000000000007</v>
      </c>
      <c r="Q101" s="204">
        <f>Q99-Q100</f>
        <v>2864.7709999999997</v>
      </c>
      <c r="R101" s="205">
        <f>R99-R100</f>
        <v>1370.6000000000001</v>
      </c>
      <c r="S101" s="208">
        <v>1297</v>
      </c>
      <c r="T101" s="209">
        <v>4174</v>
      </c>
    </row>
    <row r="102" spans="1:20" ht="14.25" thickBot="1">
      <c r="A102" s="330">
        <v>11</v>
      </c>
      <c r="B102" s="2397" t="str">
        <f t="shared" si="7"/>
        <v>삼성증권</v>
      </c>
      <c r="C102" s="206" t="str">
        <f>C73</f>
        <v>보통주식</v>
      </c>
      <c r="D102" s="208">
        <f>D73</f>
        <v>20000</v>
      </c>
      <c r="E102" s="614">
        <f t="shared" si="5"/>
        <v>3.599712023038157E-3</v>
      </c>
      <c r="R102" s="1836"/>
      <c r="S102" s="1836"/>
    </row>
    <row r="103" spans="1:20" ht="17.25" customHeight="1" thickBot="1">
      <c r="A103" s="330">
        <v>12</v>
      </c>
      <c r="B103" s="2398"/>
      <c r="C103" s="206" t="str">
        <f>C67</f>
        <v>제1종종류주식</v>
      </c>
      <c r="D103" s="208">
        <f>D67-200000</f>
        <v>236800</v>
      </c>
      <c r="E103" s="614">
        <f t="shared" si="5"/>
        <v>4.2620590352771777E-2</v>
      </c>
      <c r="R103" s="1836"/>
      <c r="S103" s="1836"/>
    </row>
    <row r="104" spans="1:20" ht="14.25" thickBot="1">
      <c r="B104" s="615" t="s">
        <v>493</v>
      </c>
      <c r="C104" s="616"/>
      <c r="D104" s="617">
        <f>SUM(D91:D103)</f>
        <v>5556000</v>
      </c>
      <c r="E104" s="2395">
        <f>SUM(E91:E103)</f>
        <v>0.99999999999999989</v>
      </c>
      <c r="R104" s="1836"/>
      <c r="S104" s="1836"/>
    </row>
    <row r="106" spans="1:20">
      <c r="D106" s="2396">
        <f>SUM(D91:D98,D103)</f>
        <v>4856000</v>
      </c>
    </row>
    <row r="107" spans="1:20" ht="14.25" thickBot="1">
      <c r="D107" s="617">
        <v>5556000</v>
      </c>
    </row>
    <row r="114" spans="2:8">
      <c r="B114" s="330" t="s">
        <v>813</v>
      </c>
    </row>
    <row r="116" spans="2:8" ht="14.25" thickBot="1"/>
    <row r="117" spans="2:8" ht="14.25" thickBot="1">
      <c r="B117" s="164" t="s">
        <v>160</v>
      </c>
      <c r="C117" s="166" t="s">
        <v>814</v>
      </c>
      <c r="D117" s="166" t="s">
        <v>161</v>
      </c>
      <c r="E117" s="166" t="s">
        <v>162</v>
      </c>
      <c r="F117" s="166" t="s">
        <v>163</v>
      </c>
      <c r="G117" s="166" t="s">
        <v>164</v>
      </c>
      <c r="H117" s="167" t="s">
        <v>165</v>
      </c>
    </row>
    <row r="118" spans="2:8" ht="14.25" thickBot="1">
      <c r="B118" s="168" t="s">
        <v>31</v>
      </c>
      <c r="C118" s="169">
        <v>44773</v>
      </c>
      <c r="D118" s="169">
        <v>44957</v>
      </c>
      <c r="E118" s="169">
        <v>45138</v>
      </c>
      <c r="F118" s="169">
        <v>45322</v>
      </c>
      <c r="G118" s="169">
        <v>45504</v>
      </c>
      <c r="H118" s="170">
        <v>45688</v>
      </c>
    </row>
    <row r="119" spans="2:8" ht="14.25" thickBot="1">
      <c r="B119" s="171" t="s">
        <v>166</v>
      </c>
      <c r="C119" s="172">
        <v>11688</v>
      </c>
      <c r="D119" s="172">
        <v>13535</v>
      </c>
      <c r="E119" s="172">
        <v>13812</v>
      </c>
      <c r="F119" s="172">
        <v>14544</v>
      </c>
      <c r="G119" s="172">
        <v>14810</v>
      </c>
      <c r="H119" s="173">
        <v>14974</v>
      </c>
    </row>
    <row r="120" spans="2:8" ht="14.25" thickBot="1">
      <c r="B120" s="168" t="s">
        <v>167</v>
      </c>
      <c r="C120" s="172">
        <v>8362</v>
      </c>
      <c r="D120" s="172">
        <v>8672</v>
      </c>
      <c r="E120" s="172">
        <v>8824</v>
      </c>
      <c r="F120" s="172">
        <v>8837</v>
      </c>
      <c r="G120" s="172">
        <v>8843</v>
      </c>
      <c r="H120" s="173">
        <v>8856</v>
      </c>
    </row>
    <row r="121" spans="2:8" ht="14.25" thickBot="1">
      <c r="B121" s="168" t="s">
        <v>168</v>
      </c>
      <c r="C121" s="174">
        <v>3325</v>
      </c>
      <c r="D121" s="174">
        <v>4863</v>
      </c>
      <c r="E121" s="174">
        <v>4988</v>
      </c>
      <c r="F121" s="174">
        <v>5707</v>
      </c>
      <c r="G121" s="174">
        <v>5967</v>
      </c>
      <c r="H121" s="175">
        <v>6118</v>
      </c>
    </row>
    <row r="122" spans="2:8" ht="14.25" thickBot="1">
      <c r="B122" s="168" t="s">
        <v>36</v>
      </c>
      <c r="C122" s="178">
        <v>173</v>
      </c>
      <c r="D122" s="178">
        <v>166</v>
      </c>
      <c r="E122" s="178">
        <v>147</v>
      </c>
      <c r="F122" s="178">
        <v>130</v>
      </c>
      <c r="G122" s="178">
        <v>112</v>
      </c>
      <c r="H122" s="179">
        <v>99</v>
      </c>
    </row>
    <row r="123" spans="2:8" ht="14.25" thickBot="1">
      <c r="B123" s="168" t="s">
        <v>37</v>
      </c>
      <c r="C123" s="172">
        <v>7197</v>
      </c>
      <c r="D123" s="172">
        <v>6911</v>
      </c>
      <c r="E123" s="172">
        <v>6911</v>
      </c>
      <c r="F123" s="172">
        <v>6911</v>
      </c>
      <c r="G123" s="172">
        <v>6911</v>
      </c>
      <c r="H123" s="173">
        <v>6911</v>
      </c>
    </row>
    <row r="124" spans="2:8" ht="14.25" thickBot="1">
      <c r="B124" s="168" t="s">
        <v>38</v>
      </c>
      <c r="C124" s="174">
        <v>-3699</v>
      </c>
      <c r="D124" s="174">
        <v>-1881</v>
      </c>
      <c r="E124" s="174">
        <v>-1776</v>
      </c>
      <c r="F124" s="174">
        <v>-1074</v>
      </c>
      <c r="G124" s="182">
        <v>-832</v>
      </c>
      <c r="H124" s="183">
        <v>-694</v>
      </c>
    </row>
    <row r="125" spans="2:8" ht="14.25" thickBot="1">
      <c r="B125" s="168" t="s">
        <v>39</v>
      </c>
      <c r="C125" s="184">
        <v>5423</v>
      </c>
      <c r="D125" s="184">
        <v>5423</v>
      </c>
      <c r="E125" s="184">
        <v>5423</v>
      </c>
      <c r="F125" s="184">
        <v>5423</v>
      </c>
      <c r="G125" s="184">
        <v>5423</v>
      </c>
      <c r="H125" s="185">
        <v>5423</v>
      </c>
    </row>
    <row r="126" spans="2:8" ht="14.25" thickBot="1">
      <c r="B126" s="168" t="s">
        <v>40</v>
      </c>
      <c r="C126" s="174">
        <v>1724</v>
      </c>
      <c r="D126" s="174">
        <v>3542</v>
      </c>
      <c r="E126" s="174">
        <v>3647</v>
      </c>
      <c r="F126" s="174">
        <v>4349</v>
      </c>
      <c r="G126" s="174">
        <v>4592</v>
      </c>
      <c r="H126" s="175">
        <v>4730</v>
      </c>
    </row>
    <row r="127" spans="2:8" ht="14.25" thickBot="1">
      <c r="B127" s="186" t="s">
        <v>172</v>
      </c>
      <c r="C127" s="187">
        <v>6900</v>
      </c>
      <c r="D127" s="187">
        <v>7405</v>
      </c>
      <c r="E127" s="187">
        <v>7405</v>
      </c>
      <c r="F127" s="187">
        <v>7405</v>
      </c>
      <c r="G127" s="187">
        <v>7405</v>
      </c>
      <c r="H127" s="188">
        <v>7405</v>
      </c>
    </row>
    <row r="128" spans="2:8" ht="14.25" thickBot="1">
      <c r="B128" s="189" t="s">
        <v>174</v>
      </c>
      <c r="C128" s="186" t="s">
        <v>175</v>
      </c>
      <c r="D128" s="186" t="s">
        <v>175</v>
      </c>
      <c r="E128" s="186" t="s">
        <v>175</v>
      </c>
      <c r="F128" s="186" t="s">
        <v>175</v>
      </c>
      <c r="G128" s="186" t="s">
        <v>175</v>
      </c>
      <c r="H128" s="190" t="s">
        <v>175</v>
      </c>
    </row>
    <row r="129" spans="2:8" ht="14.25" thickBot="1">
      <c r="B129" s="186" t="s">
        <v>176</v>
      </c>
      <c r="C129" s="187">
        <v>6900</v>
      </c>
      <c r="D129" s="187">
        <v>7405</v>
      </c>
      <c r="E129" s="187">
        <v>7405</v>
      </c>
      <c r="F129" s="187">
        <v>7405</v>
      </c>
      <c r="G129" s="187">
        <v>7405</v>
      </c>
      <c r="H129" s="188">
        <v>7405</v>
      </c>
    </row>
  </sheetData>
  <mergeCells count="1">
    <mergeCell ref="B102:B103"/>
  </mergeCells>
  <phoneticPr fontId="3"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B2:U121"/>
  <sheetViews>
    <sheetView showGridLines="0" topLeftCell="A19" zoomScale="55" zoomScaleNormal="55" workbookViewId="0">
      <selection activeCell="L30" sqref="L30"/>
    </sheetView>
  </sheetViews>
  <sheetFormatPr defaultRowHeight="16.5"/>
  <cols>
    <col min="1" max="1" width="9" style="619"/>
    <col min="2" max="2" width="19.75" style="619" customWidth="1"/>
    <col min="3" max="4" width="21.25" style="619" customWidth="1"/>
    <col min="5" max="5" width="29.375" style="619" customWidth="1"/>
    <col min="6" max="6" width="16.5" style="619" bestFit="1" customWidth="1"/>
    <col min="7" max="7" width="17.25" style="619" customWidth="1"/>
    <col min="8" max="8" width="16" style="619" customWidth="1"/>
    <col min="9" max="9" width="1.375" style="620" customWidth="1"/>
    <col min="10" max="10" width="22.375" style="619" customWidth="1"/>
    <col min="11" max="13" width="13.625" style="619" customWidth="1"/>
    <col min="14" max="14" width="17.75" style="619" customWidth="1"/>
    <col min="15" max="16" width="12.125" style="619" customWidth="1"/>
    <col min="17" max="17" width="33.75" style="619" customWidth="1"/>
    <col min="18" max="21" width="13.625" style="619" customWidth="1"/>
    <col min="22" max="16384" width="9" style="619"/>
  </cols>
  <sheetData>
    <row r="2" spans="2:17">
      <c r="B2" s="618" t="s">
        <v>494</v>
      </c>
      <c r="J2" s="621" t="s">
        <v>495</v>
      </c>
    </row>
    <row r="3" spans="2:17" ht="17.25" thickBot="1">
      <c r="B3" s="622" t="s">
        <v>496</v>
      </c>
      <c r="C3" s="623" t="s">
        <v>453</v>
      </c>
      <c r="J3" s="624" t="s">
        <v>497</v>
      </c>
    </row>
    <row r="4" spans="2:17" ht="27.75" thickBot="1">
      <c r="B4" s="625" t="s">
        <v>498</v>
      </c>
      <c r="C4" s="626" t="s">
        <v>499</v>
      </c>
      <c r="D4" s="625" t="s">
        <v>500</v>
      </c>
      <c r="E4" s="627" t="s">
        <v>501</v>
      </c>
      <c r="K4" s="621" t="s">
        <v>502</v>
      </c>
      <c r="O4" s="621" t="s">
        <v>81</v>
      </c>
    </row>
    <row r="5" spans="2:17" ht="17.25" thickBot="1">
      <c r="B5" s="628" t="s">
        <v>503</v>
      </c>
      <c r="C5" s="629">
        <v>44469</v>
      </c>
      <c r="D5" s="630" t="s">
        <v>504</v>
      </c>
      <c r="E5" s="631" t="s">
        <v>505</v>
      </c>
      <c r="J5" s="632" t="s">
        <v>506</v>
      </c>
      <c r="K5" s="633">
        <v>242800</v>
      </c>
      <c r="L5" s="633"/>
      <c r="N5" s="632" t="s">
        <v>506</v>
      </c>
      <c r="O5" s="633">
        <v>35000</v>
      </c>
      <c r="P5" s="633"/>
    </row>
    <row r="6" spans="2:17" ht="17.25" thickBot="1">
      <c r="B6" s="628" t="s">
        <v>507</v>
      </c>
      <c r="C6" s="631" t="s">
        <v>508</v>
      </c>
      <c r="D6" s="630" t="s">
        <v>509</v>
      </c>
      <c r="E6" s="631" t="s">
        <v>510</v>
      </c>
      <c r="J6" s="634" t="s">
        <v>194</v>
      </c>
      <c r="K6" s="635" t="s">
        <v>511</v>
      </c>
      <c r="L6" s="635" t="s">
        <v>91</v>
      </c>
      <c r="N6" s="634" t="s">
        <v>512</v>
      </c>
      <c r="O6" s="635" t="s">
        <v>511</v>
      </c>
      <c r="P6" s="635" t="s">
        <v>91</v>
      </c>
    </row>
    <row r="7" spans="2:17" ht="17.25" thickBot="1">
      <c r="B7" s="628" t="s">
        <v>513</v>
      </c>
      <c r="C7" s="2400" t="s">
        <v>514</v>
      </c>
      <c r="D7" s="2401"/>
      <c r="E7" s="2402"/>
      <c r="J7" s="636" t="s">
        <v>515</v>
      </c>
      <c r="K7" s="637">
        <v>8.2529248462404281E-2</v>
      </c>
      <c r="L7" s="638">
        <f>K5*K7*9/12</f>
        <v>15028.576145003819</v>
      </c>
      <c r="M7" s="639">
        <f>K5*K7</f>
        <v>20038.101526671759</v>
      </c>
      <c r="N7" s="636" t="s">
        <v>515</v>
      </c>
      <c r="O7" s="637">
        <v>0.10874019268129342</v>
      </c>
      <c r="P7" s="638">
        <f>O5*O7*9/12</f>
        <v>2854.4300578839525</v>
      </c>
    </row>
    <row r="8" spans="2:17" ht="17.25" thickBot="1">
      <c r="C8" s="640"/>
      <c r="D8" s="640"/>
      <c r="E8" s="640"/>
      <c r="J8" s="641" t="s">
        <v>516</v>
      </c>
      <c r="K8" s="642"/>
      <c r="L8" s="643"/>
      <c r="N8" s="641" t="s">
        <v>516</v>
      </c>
      <c r="O8" s="642"/>
      <c r="P8" s="643"/>
      <c r="Q8" s="621" t="s">
        <v>517</v>
      </c>
    </row>
    <row r="9" spans="2:17" s="620" customFormat="1" ht="11.25" customHeight="1"/>
    <row r="10" spans="2:17" ht="20.25">
      <c r="B10" s="2403" t="s">
        <v>518</v>
      </c>
      <c r="C10" s="2403"/>
      <c r="D10" s="2403"/>
      <c r="E10" s="2403"/>
      <c r="F10" s="2403"/>
      <c r="G10" s="644"/>
    </row>
    <row r="11" spans="2:17" ht="20.25">
      <c r="B11" s="2403" t="s">
        <v>519</v>
      </c>
      <c r="C11" s="2403"/>
      <c r="D11" s="2403"/>
      <c r="E11" s="2403"/>
      <c r="F11" s="2403"/>
      <c r="G11" s="644"/>
    </row>
    <row r="12" spans="2:17" ht="18" thickBot="1">
      <c r="B12" s="645" t="s">
        <v>520</v>
      </c>
      <c r="C12" s="646"/>
      <c r="D12" s="646"/>
      <c r="E12" s="646"/>
    </row>
    <row r="13" spans="2:17" ht="27">
      <c r="B13" s="625" t="s">
        <v>256</v>
      </c>
      <c r="C13" s="647" t="str">
        <f>C4</f>
        <v>케이원제15호판교
위탁관리부동산투자회사</v>
      </c>
      <c r="D13" s="625" t="s">
        <v>521</v>
      </c>
      <c r="E13" s="648" t="s">
        <v>522</v>
      </c>
      <c r="F13" s="649" t="s">
        <v>387</v>
      </c>
      <c r="G13" s="621" t="s">
        <v>523</v>
      </c>
    </row>
    <row r="14" spans="2:17" ht="17.25" thickBot="1">
      <c r="B14" s="628" t="s">
        <v>524</v>
      </c>
      <c r="C14" s="650" t="s">
        <v>525</v>
      </c>
      <c r="D14" s="630" t="s">
        <v>526</v>
      </c>
      <c r="E14" s="651">
        <v>44314</v>
      </c>
      <c r="F14" s="649" t="s">
        <v>527</v>
      </c>
      <c r="G14" s="621" t="s">
        <v>528</v>
      </c>
    </row>
    <row r="15" spans="2:17" ht="17.25" thickBot="1">
      <c r="B15" s="628" t="s">
        <v>529</v>
      </c>
      <c r="C15" s="650" t="s">
        <v>236</v>
      </c>
      <c r="D15" s="630" t="s">
        <v>530</v>
      </c>
      <c r="E15" s="652" t="s">
        <v>531</v>
      </c>
    </row>
    <row r="16" spans="2:17" ht="17.25" thickBot="1">
      <c r="B16" s="628" t="s">
        <v>532</v>
      </c>
      <c r="C16" s="2404" t="s">
        <v>533</v>
      </c>
      <c r="D16" s="2405"/>
      <c r="E16" s="2406"/>
    </row>
    <row r="17" spans="2:17" ht="17.25" thickBot="1">
      <c r="B17" s="628" t="s">
        <v>534</v>
      </c>
      <c r="C17" s="2407" t="s">
        <v>535</v>
      </c>
      <c r="D17" s="2408"/>
      <c r="E17" s="2409"/>
    </row>
    <row r="19" spans="2:17" ht="72.75" customHeight="1">
      <c r="B19" s="2399" t="s">
        <v>536</v>
      </c>
      <c r="C19" s="2399"/>
      <c r="D19" s="2399"/>
      <c r="E19" s="2399"/>
      <c r="J19" s="619" t="s">
        <v>537</v>
      </c>
    </row>
    <row r="20" spans="2:17">
      <c r="B20" s="653"/>
    </row>
    <row r="21" spans="2:17">
      <c r="B21" s="654" t="s">
        <v>538</v>
      </c>
      <c r="E21" s="621" t="s">
        <v>539</v>
      </c>
    </row>
    <row r="23" spans="2:17" ht="17.25" thickBot="1"/>
    <row r="24" spans="2:17" ht="20.25" thickBot="1">
      <c r="B24" s="645" t="s">
        <v>540</v>
      </c>
      <c r="C24" s="646"/>
      <c r="D24" s="646"/>
      <c r="J24" s="645" t="s">
        <v>541</v>
      </c>
      <c r="K24" s="655">
        <f ca="1">평가_DDM!E120</f>
        <v>104048.93522714285</v>
      </c>
      <c r="Q24" s="656"/>
    </row>
    <row r="25" spans="2:17" ht="17.25" thickBot="1">
      <c r="C25" s="646"/>
      <c r="E25" s="657" t="s">
        <v>542</v>
      </c>
      <c r="Q25" s="656"/>
    </row>
    <row r="26" spans="2:17" ht="17.25" thickBot="1">
      <c r="B26" s="658" t="s">
        <v>543</v>
      </c>
      <c r="C26" s="658" t="s">
        <v>118</v>
      </c>
      <c r="D26" s="659" t="s">
        <v>120</v>
      </c>
      <c r="E26" s="659" t="s">
        <v>544</v>
      </c>
      <c r="F26" s="659" t="s">
        <v>545</v>
      </c>
      <c r="G26" s="649" t="s">
        <v>127</v>
      </c>
      <c r="H26" s="621" t="s">
        <v>546</v>
      </c>
      <c r="Q26" s="656"/>
    </row>
    <row r="27" spans="2:17" ht="17.25" thickBot="1">
      <c r="B27" s="660" t="s">
        <v>547</v>
      </c>
      <c r="C27" s="661" t="s">
        <v>548</v>
      </c>
      <c r="D27" s="662">
        <v>1000000</v>
      </c>
      <c r="E27" s="663">
        <f t="shared" ref="E27:E33" si="0">D27/$D$36*100</f>
        <v>26.068821689259646</v>
      </c>
      <c r="F27" s="664">
        <f t="shared" ref="F27:F35" si="1">D27*$G$27</f>
        <v>50000000000</v>
      </c>
      <c r="G27" s="665">
        <v>50000</v>
      </c>
      <c r="H27" s="665">
        <v>5000</v>
      </c>
      <c r="Q27" s="656"/>
    </row>
    <row r="28" spans="2:17" ht="17.25" thickBot="1">
      <c r="B28" s="660" t="s">
        <v>476</v>
      </c>
      <c r="C28" s="661" t="s">
        <v>548</v>
      </c>
      <c r="D28" s="666">
        <v>800000</v>
      </c>
      <c r="E28" s="663">
        <f t="shared" si="0"/>
        <v>20.855057351407716</v>
      </c>
      <c r="F28" s="664">
        <f t="shared" si="1"/>
        <v>40000000000</v>
      </c>
      <c r="G28" s="622"/>
      <c r="Q28" s="656"/>
    </row>
    <row r="29" spans="2:17" ht="20.25" thickBot="1">
      <c r="B29" s="667" t="s">
        <v>478</v>
      </c>
      <c r="C29" s="668" t="s">
        <v>548</v>
      </c>
      <c r="D29" s="666">
        <v>800000</v>
      </c>
      <c r="E29" s="663">
        <f t="shared" si="0"/>
        <v>20.855057351407716</v>
      </c>
      <c r="F29" s="664">
        <f t="shared" si="1"/>
        <v>40000000000</v>
      </c>
      <c r="G29" s="622"/>
      <c r="J29" s="645" t="s">
        <v>549</v>
      </c>
      <c r="K29" s="669">
        <f ca="1">평가_DDM!E121</f>
        <v>55309.136369645799</v>
      </c>
      <c r="Q29" s="656"/>
    </row>
    <row r="30" spans="2:17" ht="17.25" thickBot="1">
      <c r="B30" s="660" t="s">
        <v>479</v>
      </c>
      <c r="C30" s="661" t="s">
        <v>548</v>
      </c>
      <c r="D30" s="662">
        <v>300000</v>
      </c>
      <c r="E30" s="663">
        <f t="shared" si="0"/>
        <v>7.8206465067778934</v>
      </c>
      <c r="F30" s="664">
        <f t="shared" si="1"/>
        <v>15000000000</v>
      </c>
      <c r="G30" s="649" t="s">
        <v>502</v>
      </c>
      <c r="Q30" s="656"/>
    </row>
    <row r="31" spans="2:17" ht="17.25" thickBot="1">
      <c r="B31" s="2410" t="s">
        <v>481</v>
      </c>
      <c r="C31" s="670" t="s">
        <v>548</v>
      </c>
      <c r="D31" s="671">
        <v>236000</v>
      </c>
      <c r="E31" s="672">
        <f t="shared" si="0"/>
        <v>6.1522419186652764</v>
      </c>
      <c r="F31" s="664">
        <f t="shared" si="1"/>
        <v>11800000000</v>
      </c>
      <c r="G31" s="673">
        <f>SUM(F27:F31)</f>
        <v>156800000000</v>
      </c>
    </row>
    <row r="32" spans="2:17" ht="17.25" thickBot="1">
      <c r="B32" s="2411"/>
      <c r="C32" s="670" t="s">
        <v>550</v>
      </c>
      <c r="D32" s="671">
        <v>20000</v>
      </c>
      <c r="E32" s="672">
        <f t="shared" si="0"/>
        <v>0.52137643378519283</v>
      </c>
      <c r="F32" s="664">
        <f t="shared" si="1"/>
        <v>1000000000</v>
      </c>
      <c r="G32" s="622"/>
    </row>
    <row r="33" spans="2:16" ht="17.25" thickBot="1">
      <c r="B33" s="667" t="s">
        <v>484</v>
      </c>
      <c r="C33" s="661" t="s">
        <v>129</v>
      </c>
      <c r="D33" s="666">
        <v>570000</v>
      </c>
      <c r="E33" s="663">
        <f t="shared" si="0"/>
        <v>14.859228362878</v>
      </c>
      <c r="F33" s="664">
        <f t="shared" si="1"/>
        <v>28500000000</v>
      </c>
      <c r="G33" s="622"/>
    </row>
    <row r="34" spans="2:16" ht="17.25" thickBot="1">
      <c r="B34" s="667" t="s">
        <v>486</v>
      </c>
      <c r="C34" s="661" t="s">
        <v>129</v>
      </c>
      <c r="D34" s="666">
        <v>80000</v>
      </c>
      <c r="E34" s="663">
        <f>D34/$D$36*100</f>
        <v>2.0855057351407713</v>
      </c>
      <c r="F34" s="664">
        <f t="shared" si="1"/>
        <v>4000000000</v>
      </c>
      <c r="G34" s="649" t="s">
        <v>81</v>
      </c>
    </row>
    <row r="35" spans="2:16" ht="17.25" thickBot="1">
      <c r="B35" s="660" t="s">
        <v>487</v>
      </c>
      <c r="C35" s="661" t="s">
        <v>129</v>
      </c>
      <c r="D35" s="662">
        <v>30000</v>
      </c>
      <c r="E35" s="663">
        <f>D35/$D$36*100</f>
        <v>0.78206465067778941</v>
      </c>
      <c r="F35" s="664">
        <f t="shared" si="1"/>
        <v>1500000000</v>
      </c>
      <c r="G35" s="673">
        <f>SUM(F32:F35)</f>
        <v>35000000000</v>
      </c>
    </row>
    <row r="36" spans="2:16" ht="17.25" thickBot="1">
      <c r="B36" s="674" t="s">
        <v>134</v>
      </c>
      <c r="C36" s="674"/>
      <c r="D36" s="675">
        <f>SUM(D27:D35)</f>
        <v>3836000</v>
      </c>
      <c r="E36" s="676">
        <f>SUM(E27:E35)</f>
        <v>100.00000000000001</v>
      </c>
      <c r="F36" s="677">
        <f>SUM(F27:F35)</f>
        <v>191800000000</v>
      </c>
    </row>
    <row r="38" spans="2:16" ht="18" thickBot="1">
      <c r="B38" s="645" t="s">
        <v>551</v>
      </c>
      <c r="C38" s="678" t="s">
        <v>552</v>
      </c>
      <c r="G38" s="622"/>
    </row>
    <row r="39" spans="2:16" ht="17.25" customHeight="1" thickBot="1">
      <c r="B39" s="2412"/>
      <c r="C39" s="2413"/>
      <c r="D39" s="2413"/>
      <c r="E39" s="2414"/>
      <c r="G39" s="622"/>
      <c r="J39" s="619" t="s">
        <v>553</v>
      </c>
    </row>
    <row r="40" spans="2:16" ht="28.5" customHeight="1" thickBot="1">
      <c r="B40" s="679" t="s">
        <v>554</v>
      </c>
      <c r="C40" s="679" t="str">
        <f>C4</f>
        <v>케이원제15호판교
위탁관리부동산투자회사</v>
      </c>
      <c r="D40" s="679" t="str">
        <f>C40</f>
        <v>케이원제15호판교
위탁관리부동산투자회사</v>
      </c>
      <c r="E40" s="680"/>
      <c r="G40" s="622"/>
      <c r="J40" s="681" t="s">
        <v>555</v>
      </c>
    </row>
    <row r="41" spans="2:16" ht="24.75" thickBot="1">
      <c r="B41" s="682" t="s">
        <v>556</v>
      </c>
      <c r="C41" s="682" t="s">
        <v>557</v>
      </c>
      <c r="D41" s="682" t="s">
        <v>558</v>
      </c>
      <c r="E41" s="683"/>
      <c r="G41" s="622"/>
      <c r="J41" s="684" t="s">
        <v>559</v>
      </c>
      <c r="P41"/>
    </row>
    <row r="42" spans="2:16" ht="17.25" thickBot="1">
      <c r="B42" s="682" t="s">
        <v>560</v>
      </c>
      <c r="C42" s="685" t="s">
        <v>561</v>
      </c>
      <c r="D42" s="685" t="s">
        <v>562</v>
      </c>
      <c r="E42" s="683"/>
      <c r="G42" s="622"/>
      <c r="J42" s="619" t="s">
        <v>563</v>
      </c>
    </row>
    <row r="43" spans="2:16" ht="24.75" thickBot="1">
      <c r="B43" s="682" t="s">
        <v>564</v>
      </c>
      <c r="C43" s="685" t="s">
        <v>565</v>
      </c>
      <c r="D43" s="685" t="s">
        <v>566</v>
      </c>
      <c r="E43" s="683"/>
      <c r="G43" s="686"/>
    </row>
    <row r="44" spans="2:16" ht="17.25" thickBot="1">
      <c r="B44" s="682" t="s">
        <v>567</v>
      </c>
      <c r="C44" s="682" t="s">
        <v>568</v>
      </c>
      <c r="D44" s="682" t="s">
        <v>569</v>
      </c>
      <c r="E44" s="683"/>
      <c r="G44" s="687"/>
    </row>
    <row r="45" spans="2:16" ht="17.25" customHeight="1" thickBot="1">
      <c r="B45" s="682" t="s">
        <v>570</v>
      </c>
      <c r="C45" s="688"/>
      <c r="D45" s="688"/>
      <c r="E45" s="683"/>
      <c r="G45" s="622"/>
    </row>
    <row r="46" spans="2:16" ht="17.25" thickBot="1">
      <c r="B46" s="682" t="s">
        <v>571</v>
      </c>
      <c r="C46" s="689">
        <f>E14</f>
        <v>44314</v>
      </c>
      <c r="D46" s="689">
        <f>C46</f>
        <v>44314</v>
      </c>
      <c r="E46" s="683"/>
      <c r="G46" s="687"/>
    </row>
    <row r="47" spans="2:16" ht="17.25" thickBot="1">
      <c r="B47" s="682" t="s">
        <v>572</v>
      </c>
      <c r="C47" s="688"/>
      <c r="D47" s="688"/>
      <c r="E47" s="683"/>
      <c r="G47" s="622"/>
    </row>
    <row r="48" spans="2:16" ht="17.25" thickBot="1">
      <c r="B48" s="682" t="s">
        <v>573</v>
      </c>
      <c r="C48" s="690">
        <v>0.46050000000000002</v>
      </c>
      <c r="D48" s="690">
        <v>0.47170000000000001</v>
      </c>
      <c r="E48" s="691"/>
      <c r="G48" s="622"/>
    </row>
    <row r="49" spans="2:21">
      <c r="B49" s="653"/>
      <c r="C49" s="653"/>
      <c r="D49" s="653"/>
      <c r="G49" s="622"/>
    </row>
    <row r="50" spans="2:21">
      <c r="B50" s="653"/>
      <c r="C50" s="646"/>
      <c r="G50" s="692"/>
    </row>
    <row r="52" spans="2:21" s="620" customFormat="1" ht="6.75" customHeight="1"/>
    <row r="55" spans="2:21" ht="20.25">
      <c r="B55" s="2403" t="s">
        <v>574</v>
      </c>
      <c r="C55" s="2403"/>
      <c r="D55" s="2403"/>
      <c r="E55" s="2403"/>
      <c r="F55" s="2403"/>
      <c r="G55" s="644"/>
    </row>
    <row r="56" spans="2:21">
      <c r="B56" s="645" t="s">
        <v>575</v>
      </c>
      <c r="C56" s="645" t="s">
        <v>576</v>
      </c>
      <c r="J56" s="693"/>
      <c r="K56" s="693"/>
      <c r="L56" s="693"/>
      <c r="M56" s="693"/>
      <c r="N56" s="693"/>
      <c r="O56" s="693"/>
      <c r="P56" s="693"/>
      <c r="Q56" s="693"/>
      <c r="R56" s="693"/>
      <c r="S56" s="693"/>
      <c r="T56" s="693"/>
      <c r="U56" s="693"/>
    </row>
    <row r="57" spans="2:21" ht="17.25" thickBot="1">
      <c r="C57" s="694"/>
      <c r="G57" s="694" t="s">
        <v>577</v>
      </c>
      <c r="J57" s="695" t="s">
        <v>578</v>
      </c>
      <c r="K57" s="695"/>
      <c r="L57" s="695"/>
      <c r="M57" s="695"/>
      <c r="N57" s="695"/>
      <c r="O57" s="695"/>
      <c r="P57" s="695"/>
      <c r="Q57" s="693"/>
      <c r="R57" s="693"/>
      <c r="S57" s="693"/>
      <c r="T57" s="693"/>
      <c r="U57" s="693"/>
    </row>
    <row r="58" spans="2:21" ht="17.25" thickBot="1">
      <c r="B58" s="2415" t="s">
        <v>160</v>
      </c>
      <c r="C58" s="696"/>
      <c r="D58" s="696"/>
      <c r="E58" s="696"/>
      <c r="F58" s="696"/>
      <c r="G58" s="696"/>
      <c r="J58" s="695" t="s">
        <v>579</v>
      </c>
      <c r="K58" s="695"/>
      <c r="L58" s="695"/>
      <c r="M58" s="695"/>
      <c r="N58" s="695"/>
      <c r="O58" s="695"/>
      <c r="P58" s="695"/>
      <c r="Q58" s="693"/>
      <c r="R58" s="693"/>
      <c r="S58" s="693"/>
      <c r="T58" s="693"/>
      <c r="U58" s="693"/>
    </row>
    <row r="59" spans="2:21" ht="17.25" thickBot="1">
      <c r="B59" s="2416"/>
      <c r="C59" s="697">
        <v>44316</v>
      </c>
      <c r="D59" s="697">
        <v>44347</v>
      </c>
      <c r="E59" s="697" t="s">
        <v>580</v>
      </c>
      <c r="F59" s="697">
        <v>44407</v>
      </c>
      <c r="G59" s="697">
        <v>44439</v>
      </c>
      <c r="J59" s="695" t="s">
        <v>581</v>
      </c>
      <c r="K59" s="695"/>
      <c r="L59" s="695"/>
      <c r="M59" s="695"/>
      <c r="N59" s="695"/>
      <c r="O59" s="695"/>
      <c r="P59" s="695"/>
      <c r="Q59" s="693"/>
      <c r="R59" s="693"/>
      <c r="S59" s="693"/>
      <c r="T59" s="693"/>
      <c r="U59" s="693"/>
    </row>
    <row r="60" spans="2:21" ht="17.25" thickBot="1">
      <c r="B60" s="698" t="s">
        <v>582</v>
      </c>
      <c r="C60" s="699"/>
      <c r="D60" s="700"/>
      <c r="E60" s="700"/>
      <c r="F60" s="700"/>
      <c r="G60" s="700"/>
      <c r="J60" s="701"/>
      <c r="K60" s="701"/>
      <c r="L60" s="701"/>
      <c r="M60" s="701"/>
      <c r="N60" s="702" t="s">
        <v>583</v>
      </c>
      <c r="O60" s="701"/>
      <c r="P60" s="701"/>
      <c r="Q60" s="701"/>
      <c r="R60" s="701"/>
      <c r="S60" s="701"/>
      <c r="T60" s="701"/>
      <c r="U60" s="701"/>
    </row>
    <row r="61" spans="2:21" ht="17.25" thickBot="1">
      <c r="B61" s="698" t="s">
        <v>584</v>
      </c>
      <c r="C61" s="700"/>
      <c r="D61" s="700"/>
      <c r="E61" s="700"/>
      <c r="F61" s="700"/>
      <c r="G61" s="700"/>
      <c r="J61" s="703" t="s">
        <v>585</v>
      </c>
      <c r="K61" s="701"/>
      <c r="L61" s="701"/>
      <c r="M61" s="701"/>
      <c r="N61" s="701"/>
      <c r="O61" s="701"/>
      <c r="P61" s="701"/>
      <c r="Q61" s="703" t="s">
        <v>586</v>
      </c>
      <c r="R61" s="701"/>
      <c r="S61" s="701"/>
      <c r="T61" s="701"/>
      <c r="U61" s="701"/>
    </row>
    <row r="62" spans="2:21" ht="27.75" thickBot="1">
      <c r="B62" s="698" t="s">
        <v>187</v>
      </c>
      <c r="C62" s="700">
        <v>300</v>
      </c>
      <c r="D62" s="700">
        <v>300</v>
      </c>
      <c r="E62" s="700">
        <v>833402</v>
      </c>
      <c r="F62" s="700">
        <v>834084</v>
      </c>
      <c r="G62" s="700">
        <v>794837</v>
      </c>
      <c r="J62" s="704" t="s">
        <v>587</v>
      </c>
      <c r="K62" s="705" t="s">
        <v>588</v>
      </c>
      <c r="L62" s="705" t="s">
        <v>589</v>
      </c>
      <c r="M62" s="705" t="s">
        <v>590</v>
      </c>
      <c r="N62" s="705" t="s">
        <v>591</v>
      </c>
      <c r="O62" s="701"/>
      <c r="P62" s="701"/>
      <c r="Q62" s="704" t="s">
        <v>592</v>
      </c>
      <c r="R62" s="705" t="s">
        <v>588</v>
      </c>
      <c r="S62" s="705" t="s">
        <v>589</v>
      </c>
      <c r="T62" s="705" t="s">
        <v>590</v>
      </c>
      <c r="U62" s="705" t="s">
        <v>591</v>
      </c>
    </row>
    <row r="63" spans="2:21" ht="17.25" thickBot="1">
      <c r="B63" s="698" t="s">
        <v>593</v>
      </c>
      <c r="C63" s="700">
        <v>0</v>
      </c>
      <c r="D63" s="700">
        <v>0</v>
      </c>
      <c r="E63" s="700"/>
      <c r="F63" s="700"/>
      <c r="G63" s="700"/>
      <c r="J63" s="704" t="s">
        <v>594</v>
      </c>
      <c r="K63" s="706">
        <v>2071</v>
      </c>
      <c r="L63" s="706">
        <v>2449</v>
      </c>
      <c r="M63" s="706">
        <v>2915</v>
      </c>
      <c r="N63" s="706">
        <v>2144</v>
      </c>
      <c r="O63" s="701"/>
      <c r="P63" s="701"/>
      <c r="Q63" s="704" t="s">
        <v>595</v>
      </c>
      <c r="R63" s="707">
        <v>1594</v>
      </c>
      <c r="S63" s="707">
        <v>3850</v>
      </c>
      <c r="T63" s="707">
        <v>3898</v>
      </c>
      <c r="U63" s="707">
        <v>3850</v>
      </c>
    </row>
    <row r="64" spans="2:21" ht="17.25" thickBot="1">
      <c r="B64" s="698" t="s">
        <v>596</v>
      </c>
      <c r="C64" s="700">
        <v>0</v>
      </c>
      <c r="D64" s="700">
        <v>0</v>
      </c>
      <c r="E64" s="700"/>
      <c r="F64" s="700"/>
      <c r="G64" s="700"/>
      <c r="J64" s="704" t="s">
        <v>597</v>
      </c>
      <c r="K64" s="706">
        <v>2071</v>
      </c>
      <c r="L64" s="706">
        <v>2449</v>
      </c>
      <c r="M64" s="706">
        <v>2915</v>
      </c>
      <c r="N64" s="706">
        <v>2144</v>
      </c>
      <c r="O64" s="701"/>
      <c r="P64" s="701"/>
      <c r="Q64" s="704" t="s">
        <v>598</v>
      </c>
      <c r="R64" s="707">
        <v>1594</v>
      </c>
      <c r="S64" s="707">
        <v>3850</v>
      </c>
      <c r="T64" s="707">
        <v>3898</v>
      </c>
      <c r="U64" s="707">
        <v>3850</v>
      </c>
    </row>
    <row r="65" spans="2:21" ht="17.25" thickBot="1">
      <c r="B65" s="698" t="s">
        <v>188</v>
      </c>
      <c r="C65" s="700">
        <v>0</v>
      </c>
      <c r="D65" s="700">
        <v>0</v>
      </c>
      <c r="E65" s="700">
        <v>646559</v>
      </c>
      <c r="F65" s="700">
        <v>647693</v>
      </c>
      <c r="G65" s="700">
        <v>609176</v>
      </c>
      <c r="J65" s="704" t="s">
        <v>599</v>
      </c>
      <c r="K65" s="706">
        <v>2031</v>
      </c>
      <c r="L65" s="706">
        <v>2423</v>
      </c>
      <c r="M65" s="706">
        <v>2753</v>
      </c>
      <c r="N65" s="706">
        <v>2118</v>
      </c>
      <c r="O65" s="701"/>
      <c r="P65" s="701"/>
      <c r="Q65" s="704" t="s">
        <v>600</v>
      </c>
      <c r="R65" s="707">
        <v>1594</v>
      </c>
      <c r="S65" s="707">
        <v>3850</v>
      </c>
      <c r="T65" s="707">
        <v>3898</v>
      </c>
      <c r="U65" s="707">
        <v>3850</v>
      </c>
    </row>
    <row r="66" spans="2:21" ht="17.25" thickBot="1">
      <c r="B66" s="698" t="s">
        <v>189</v>
      </c>
      <c r="C66" s="700">
        <f>C62-C65</f>
        <v>300</v>
      </c>
      <c r="D66" s="700">
        <f>D62-D65</f>
        <v>300</v>
      </c>
      <c r="E66" s="700">
        <f>E62-E65</f>
        <v>186843</v>
      </c>
      <c r="F66" s="700">
        <f>F62-F65</f>
        <v>186391</v>
      </c>
      <c r="G66" s="700">
        <f>G62-G65</f>
        <v>185661</v>
      </c>
      <c r="J66" s="704" t="s">
        <v>601</v>
      </c>
      <c r="K66" s="706">
        <v>2031</v>
      </c>
      <c r="L66" s="706">
        <v>2423</v>
      </c>
      <c r="M66" s="706">
        <v>2753</v>
      </c>
      <c r="N66" s="706">
        <v>2118</v>
      </c>
      <c r="O66" s="701"/>
      <c r="P66" s="701"/>
      <c r="Q66" s="704" t="s">
        <v>602</v>
      </c>
      <c r="R66" s="707">
        <v>1594</v>
      </c>
      <c r="S66" s="707">
        <v>3850</v>
      </c>
      <c r="T66" s="707">
        <v>3898</v>
      </c>
      <c r="U66" s="707">
        <v>3850</v>
      </c>
    </row>
    <row r="67" spans="2:21" ht="17.25" thickBot="1">
      <c r="B67" s="698" t="s">
        <v>603</v>
      </c>
      <c r="C67" s="700">
        <f>C65+C66</f>
        <v>300</v>
      </c>
      <c r="D67" s="700">
        <f>D65+D66</f>
        <v>300</v>
      </c>
      <c r="E67" s="700">
        <f>E65+E66</f>
        <v>833402</v>
      </c>
      <c r="F67" s="700">
        <f>F65+F66</f>
        <v>834084</v>
      </c>
      <c r="G67" s="700">
        <f>G65+G66</f>
        <v>794837</v>
      </c>
      <c r="J67" s="704" t="s">
        <v>604</v>
      </c>
      <c r="K67" s="706">
        <v>2031</v>
      </c>
      <c r="L67" s="706">
        <v>2423</v>
      </c>
      <c r="M67" s="706">
        <v>2753</v>
      </c>
      <c r="N67" s="706">
        <v>2118</v>
      </c>
      <c r="O67" s="701"/>
      <c r="P67" s="701"/>
      <c r="Q67" s="704" t="s">
        <v>605</v>
      </c>
      <c r="R67" s="707">
        <v>1594</v>
      </c>
      <c r="S67" s="707">
        <v>3850</v>
      </c>
      <c r="T67" s="707">
        <v>3898</v>
      </c>
      <c r="U67" s="707">
        <v>3850</v>
      </c>
    </row>
    <row r="68" spans="2:21">
      <c r="B68" s="653"/>
      <c r="C68" s="653"/>
      <c r="J68" s="704" t="s">
        <v>606</v>
      </c>
      <c r="K68" s="706">
        <v>10</v>
      </c>
      <c r="L68" s="706">
        <v>11</v>
      </c>
      <c r="M68" s="706">
        <v>12</v>
      </c>
      <c r="N68" s="706">
        <v>11</v>
      </c>
      <c r="O68" s="701"/>
      <c r="P68" s="701"/>
      <c r="Q68" s="704" t="s">
        <v>607</v>
      </c>
      <c r="R68" s="707">
        <v>509</v>
      </c>
      <c r="S68" s="707">
        <v>1093</v>
      </c>
      <c r="T68" s="707">
        <v>1243</v>
      </c>
      <c r="U68" s="707">
        <v>1263</v>
      </c>
    </row>
    <row r="69" spans="2:21">
      <c r="B69" s="645" t="s">
        <v>608</v>
      </c>
      <c r="C69" s="645" t="s">
        <v>576</v>
      </c>
      <c r="J69" s="704" t="s">
        <v>609</v>
      </c>
      <c r="K69" s="706">
        <v>10</v>
      </c>
      <c r="L69" s="706">
        <v>11</v>
      </c>
      <c r="M69" s="706">
        <v>12</v>
      </c>
      <c r="N69" s="706">
        <v>11</v>
      </c>
      <c r="O69" s="701"/>
      <c r="P69" s="701"/>
      <c r="Q69" s="704" t="s">
        <v>610</v>
      </c>
      <c r="R69" s="707">
        <v>2</v>
      </c>
      <c r="S69" s="707">
        <v>6</v>
      </c>
      <c r="T69" s="707">
        <v>6</v>
      </c>
      <c r="U69" s="707">
        <v>6</v>
      </c>
    </row>
    <row r="70" spans="2:21" ht="17.25" thickBot="1">
      <c r="C70" s="694"/>
      <c r="G70" s="694" t="s">
        <v>577</v>
      </c>
      <c r="J70" s="704" t="s">
        <v>611</v>
      </c>
      <c r="K70" s="706">
        <v>3</v>
      </c>
      <c r="L70" s="706">
        <v>4</v>
      </c>
      <c r="M70" s="706">
        <v>3</v>
      </c>
      <c r="N70" s="706">
        <v>3</v>
      </c>
      <c r="O70" s="701"/>
      <c r="P70" s="701"/>
      <c r="Q70" s="704" t="s">
        <v>612</v>
      </c>
      <c r="R70" s="707">
        <v>2</v>
      </c>
      <c r="S70" s="707">
        <v>6</v>
      </c>
      <c r="T70" s="707">
        <v>6</v>
      </c>
      <c r="U70" s="707">
        <v>6</v>
      </c>
    </row>
    <row r="71" spans="2:21" ht="17.25" customHeight="1" thickBot="1">
      <c r="B71" s="2415" t="s">
        <v>160</v>
      </c>
      <c r="C71" s="696"/>
      <c r="D71" s="696"/>
      <c r="E71" s="696"/>
      <c r="F71" s="696"/>
      <c r="G71" s="696"/>
      <c r="J71" s="704" t="s">
        <v>613</v>
      </c>
      <c r="K71" s="706">
        <v>3</v>
      </c>
      <c r="L71" s="706">
        <v>4</v>
      </c>
      <c r="M71" s="706">
        <v>3</v>
      </c>
      <c r="N71" s="706">
        <v>3</v>
      </c>
      <c r="O71" s="701"/>
      <c r="P71" s="701"/>
      <c r="Q71" s="704" t="s">
        <v>614</v>
      </c>
      <c r="R71" s="707">
        <v>507</v>
      </c>
      <c r="S71" s="707">
        <v>1086</v>
      </c>
      <c r="T71" s="707">
        <v>1237</v>
      </c>
      <c r="U71" s="707">
        <v>1257</v>
      </c>
    </row>
    <row r="72" spans="2:21" ht="17.25" customHeight="1" thickBot="1">
      <c r="B72" s="2416"/>
      <c r="C72" s="697">
        <v>44316</v>
      </c>
      <c r="D72" s="697">
        <v>44347</v>
      </c>
      <c r="E72" s="697" t="s">
        <v>580</v>
      </c>
      <c r="F72" s="697">
        <v>44407</v>
      </c>
      <c r="G72" s="697">
        <v>44439</v>
      </c>
      <c r="J72" s="704" t="s">
        <v>615</v>
      </c>
      <c r="K72" s="706">
        <v>27</v>
      </c>
      <c r="L72" s="706">
        <v>10</v>
      </c>
      <c r="M72" s="706">
        <v>147</v>
      </c>
      <c r="N72" s="706">
        <v>12</v>
      </c>
      <c r="O72" s="701"/>
      <c r="P72" s="701"/>
      <c r="Q72" s="704" t="s">
        <v>616</v>
      </c>
      <c r="R72" s="707">
        <v>7</v>
      </c>
      <c r="S72" s="707">
        <v>89</v>
      </c>
      <c r="T72" s="707">
        <v>230</v>
      </c>
      <c r="U72" s="707">
        <v>229</v>
      </c>
    </row>
    <row r="73" spans="2:21" ht="17.25" customHeight="1" thickBot="1">
      <c r="B73" s="698" t="s">
        <v>191</v>
      </c>
      <c r="C73" s="699">
        <v>0</v>
      </c>
      <c r="D73" s="699">
        <v>0</v>
      </c>
      <c r="E73" s="699">
        <v>39</v>
      </c>
      <c r="F73" s="699">
        <v>2199</v>
      </c>
      <c r="G73" s="699">
        <v>2203</v>
      </c>
      <c r="J73" s="704" t="s">
        <v>617</v>
      </c>
      <c r="K73" s="706">
        <v>157842</v>
      </c>
      <c r="L73" s="706">
        <v>157004</v>
      </c>
      <c r="M73" s="706">
        <v>156166</v>
      </c>
      <c r="N73" s="706">
        <v>155328</v>
      </c>
      <c r="O73" s="701"/>
      <c r="P73" s="701"/>
      <c r="Q73" s="704" t="s">
        <v>618</v>
      </c>
      <c r="R73" s="707">
        <v>419</v>
      </c>
      <c r="S73" s="707">
        <v>838</v>
      </c>
      <c r="T73" s="707">
        <v>838</v>
      </c>
      <c r="U73" s="707">
        <v>838</v>
      </c>
    </row>
    <row r="74" spans="2:21" ht="17.25" customHeight="1" thickBot="1">
      <c r="B74" s="698" t="s">
        <v>192</v>
      </c>
      <c r="C74" s="699">
        <v>0</v>
      </c>
      <c r="D74" s="699">
        <v>0</v>
      </c>
      <c r="E74" s="699">
        <v>58</v>
      </c>
      <c r="F74" s="699">
        <v>1052</v>
      </c>
      <c r="G74" s="699">
        <v>1421</v>
      </c>
      <c r="J74" s="704" t="s">
        <v>619</v>
      </c>
      <c r="K74" s="706">
        <v>157842</v>
      </c>
      <c r="L74" s="706">
        <v>157004</v>
      </c>
      <c r="M74" s="706">
        <v>156166</v>
      </c>
      <c r="N74" s="706">
        <v>155328</v>
      </c>
      <c r="O74" s="701"/>
      <c r="P74" s="701"/>
      <c r="Q74" s="704" t="s">
        <v>620</v>
      </c>
      <c r="R74" s="707">
        <v>7</v>
      </c>
      <c r="S74" s="707">
        <v>17</v>
      </c>
      <c r="T74" s="707">
        <v>17</v>
      </c>
      <c r="U74" s="707">
        <v>19</v>
      </c>
    </row>
    <row r="75" spans="2:21" ht="17.25" customHeight="1" thickBot="1">
      <c r="B75" s="698" t="s">
        <v>35</v>
      </c>
      <c r="C75" s="699">
        <v>0</v>
      </c>
      <c r="D75" s="699">
        <v>0</v>
      </c>
      <c r="E75" s="699">
        <f>E73-E74</f>
        <v>-19</v>
      </c>
      <c r="F75" s="699">
        <f>F73-F74</f>
        <v>1147</v>
      </c>
      <c r="G75" s="699">
        <v>783</v>
      </c>
      <c r="J75" s="704" t="s">
        <v>621</v>
      </c>
      <c r="K75" s="706">
        <v>419</v>
      </c>
      <c r="L75" s="706">
        <v>1257</v>
      </c>
      <c r="M75" s="706">
        <v>2095</v>
      </c>
      <c r="N75" s="706">
        <v>2932</v>
      </c>
      <c r="O75" s="701"/>
      <c r="P75" s="701"/>
      <c r="Q75" s="704" t="s">
        <v>622</v>
      </c>
      <c r="R75" s="707">
        <v>74</v>
      </c>
      <c r="S75" s="707">
        <v>143</v>
      </c>
      <c r="T75" s="707">
        <v>149</v>
      </c>
      <c r="U75" s="707">
        <v>163</v>
      </c>
    </row>
    <row r="76" spans="2:21">
      <c r="J76" s="704" t="s">
        <v>623</v>
      </c>
      <c r="K76" s="706">
        <v>91236</v>
      </c>
      <c r="L76" s="706">
        <v>91236</v>
      </c>
      <c r="M76" s="706">
        <v>91236</v>
      </c>
      <c r="N76" s="706">
        <v>91236</v>
      </c>
      <c r="O76" s="701"/>
      <c r="P76" s="701"/>
      <c r="Q76" s="704" t="s">
        <v>624</v>
      </c>
      <c r="R76" s="707"/>
      <c r="S76" s="707"/>
      <c r="T76" s="707">
        <v>3</v>
      </c>
      <c r="U76" s="707">
        <v>9</v>
      </c>
    </row>
    <row r="77" spans="2:21">
      <c r="J77" s="704" t="s">
        <v>625</v>
      </c>
      <c r="K77" s="706">
        <v>66606</v>
      </c>
      <c r="L77" s="706">
        <v>65768</v>
      </c>
      <c r="M77" s="706">
        <v>64931</v>
      </c>
      <c r="N77" s="706">
        <v>64093</v>
      </c>
      <c r="O77" s="701"/>
      <c r="P77" s="701"/>
      <c r="Q77" s="704" t="s">
        <v>626</v>
      </c>
      <c r="R77" s="707"/>
      <c r="S77" s="707">
        <v>1</v>
      </c>
      <c r="T77" s="707"/>
      <c r="U77" s="707"/>
    </row>
    <row r="78" spans="2:21">
      <c r="J78" s="704" t="s">
        <v>627</v>
      </c>
      <c r="K78" s="706">
        <v>419</v>
      </c>
      <c r="L78" s="706">
        <v>1257</v>
      </c>
      <c r="M78" s="706">
        <v>2095</v>
      </c>
      <c r="N78" s="706">
        <v>2932</v>
      </c>
      <c r="O78" s="701"/>
      <c r="P78" s="701"/>
      <c r="Q78" s="704" t="s">
        <v>628</v>
      </c>
      <c r="R78" s="707"/>
      <c r="S78" s="707">
        <v>1</v>
      </c>
      <c r="T78" s="707"/>
      <c r="U78" s="707"/>
    </row>
    <row r="79" spans="2:21">
      <c r="J79" s="704" t="s">
        <v>187</v>
      </c>
      <c r="K79" s="706">
        <v>159913</v>
      </c>
      <c r="L79" s="706">
        <v>159453</v>
      </c>
      <c r="M79" s="706">
        <v>159081</v>
      </c>
      <c r="N79" s="706">
        <v>157473</v>
      </c>
      <c r="O79" s="701"/>
      <c r="P79" s="701"/>
      <c r="Q79" s="704" t="s">
        <v>629</v>
      </c>
      <c r="R79" s="707">
        <v>1085</v>
      </c>
      <c r="S79" s="707">
        <v>2757</v>
      </c>
      <c r="T79" s="707">
        <v>2655</v>
      </c>
      <c r="U79" s="707">
        <v>2587</v>
      </c>
    </row>
    <row r="80" spans="2:21">
      <c r="J80" s="704" t="s">
        <v>630</v>
      </c>
      <c r="K80" s="706">
        <v>1511</v>
      </c>
      <c r="L80" s="706">
        <v>1041</v>
      </c>
      <c r="M80" s="706">
        <v>1802</v>
      </c>
      <c r="N80" s="706">
        <v>1075</v>
      </c>
      <c r="O80" s="701"/>
      <c r="P80" s="701"/>
      <c r="Q80" s="704" t="s">
        <v>631</v>
      </c>
      <c r="R80" s="707">
        <v>3</v>
      </c>
      <c r="S80" s="707">
        <v>9</v>
      </c>
      <c r="T80" s="707">
        <v>8</v>
      </c>
      <c r="U80" s="707">
        <v>8</v>
      </c>
    </row>
    <row r="81" spans="2:21">
      <c r="B81" s="621" t="s">
        <v>632</v>
      </c>
      <c r="J81" s="704" t="s">
        <v>633</v>
      </c>
      <c r="K81" s="706">
        <v>55</v>
      </c>
      <c r="L81" s="706">
        <v>152</v>
      </c>
      <c r="M81" s="706">
        <v>167</v>
      </c>
      <c r="N81" s="706">
        <v>259</v>
      </c>
      <c r="O81" s="701"/>
      <c r="P81" s="701"/>
      <c r="Q81" s="704" t="s">
        <v>634</v>
      </c>
      <c r="R81" s="707">
        <v>3</v>
      </c>
      <c r="S81" s="707">
        <v>9</v>
      </c>
      <c r="T81" s="707">
        <v>8</v>
      </c>
      <c r="U81" s="707">
        <v>7</v>
      </c>
    </row>
    <row r="82" spans="2:21">
      <c r="J82" s="704" t="s">
        <v>635</v>
      </c>
      <c r="K82" s="706">
        <v>55</v>
      </c>
      <c r="L82" s="706">
        <v>152</v>
      </c>
      <c r="M82" s="706">
        <v>167</v>
      </c>
      <c r="N82" s="706">
        <v>259</v>
      </c>
      <c r="O82" s="701"/>
      <c r="P82" s="701"/>
      <c r="Q82" s="704" t="s">
        <v>636</v>
      </c>
      <c r="R82" s="707">
        <v>0</v>
      </c>
      <c r="S82" s="707">
        <v>0</v>
      </c>
      <c r="T82" s="707">
        <v>0</v>
      </c>
      <c r="U82" s="707">
        <v>1</v>
      </c>
    </row>
    <row r="83" spans="2:21">
      <c r="J83" s="704" t="s">
        <v>637</v>
      </c>
      <c r="K83" s="706">
        <v>1144</v>
      </c>
      <c r="L83" s="706">
        <v>620</v>
      </c>
      <c r="M83" s="706">
        <v>1247</v>
      </c>
      <c r="N83" s="706">
        <v>540</v>
      </c>
      <c r="O83" s="701"/>
      <c r="P83" s="701"/>
      <c r="Q83" s="704" t="s">
        <v>638</v>
      </c>
      <c r="R83" s="707">
        <v>874</v>
      </c>
      <c r="S83" s="707">
        <v>2124</v>
      </c>
      <c r="T83" s="707">
        <v>2159</v>
      </c>
      <c r="U83" s="707">
        <v>2134</v>
      </c>
    </row>
    <row r="84" spans="2:21">
      <c r="J84" s="704" t="s">
        <v>639</v>
      </c>
      <c r="K84" s="706">
        <v>1144</v>
      </c>
      <c r="L84" s="706">
        <v>620</v>
      </c>
      <c r="M84" s="706">
        <v>1247</v>
      </c>
      <c r="N84" s="706">
        <v>540</v>
      </c>
      <c r="O84" s="701"/>
      <c r="P84" s="701"/>
      <c r="Q84" s="704" t="s">
        <v>640</v>
      </c>
      <c r="R84" s="707">
        <v>874</v>
      </c>
      <c r="S84" s="707">
        <v>2124</v>
      </c>
      <c r="T84" s="707">
        <v>2159</v>
      </c>
      <c r="U84" s="707">
        <v>2134</v>
      </c>
    </row>
    <row r="85" spans="2:21">
      <c r="J85" s="704" t="s">
        <v>641</v>
      </c>
      <c r="K85" s="706">
        <v>194</v>
      </c>
      <c r="L85" s="706">
        <v>118</v>
      </c>
      <c r="M85" s="706">
        <v>232</v>
      </c>
      <c r="N85" s="706">
        <v>114</v>
      </c>
      <c r="O85" s="701"/>
      <c r="P85" s="701"/>
      <c r="Q85" s="704" t="s">
        <v>642</v>
      </c>
      <c r="R85" s="707">
        <v>213</v>
      </c>
      <c r="S85" s="707">
        <v>642</v>
      </c>
      <c r="T85" s="707">
        <v>504</v>
      </c>
      <c r="U85" s="707">
        <v>461</v>
      </c>
    </row>
    <row r="86" spans="2:21">
      <c r="J86" s="704" t="s">
        <v>643</v>
      </c>
      <c r="K86" s="706">
        <v>192</v>
      </c>
      <c r="L86" s="706">
        <v>118</v>
      </c>
      <c r="M86" s="706">
        <v>232</v>
      </c>
      <c r="N86" s="706">
        <v>114</v>
      </c>
      <c r="O86" s="701"/>
      <c r="P86" s="701"/>
      <c r="Q86" s="704" t="s">
        <v>644</v>
      </c>
      <c r="R86" s="707">
        <v>213</v>
      </c>
      <c r="S86" s="707">
        <v>642</v>
      </c>
      <c r="T86" s="707">
        <v>504</v>
      </c>
      <c r="U86" s="707">
        <v>461</v>
      </c>
    </row>
    <row r="87" spans="2:21">
      <c r="J87" s="704" t="s">
        <v>645</v>
      </c>
      <c r="K87" s="706">
        <v>2</v>
      </c>
      <c r="L87" s="706"/>
      <c r="M87" s="706"/>
      <c r="N87" s="706"/>
      <c r="O87" s="701"/>
      <c r="P87" s="701"/>
      <c r="Q87" s="704" t="s">
        <v>646</v>
      </c>
      <c r="R87" s="707">
        <v>213</v>
      </c>
      <c r="S87" s="707">
        <v>642</v>
      </c>
      <c r="T87" s="707">
        <v>504</v>
      </c>
      <c r="U87" s="707">
        <v>461</v>
      </c>
    </row>
    <row r="88" spans="2:21">
      <c r="J88" s="704" t="s">
        <v>647</v>
      </c>
      <c r="K88" s="706">
        <v>117</v>
      </c>
      <c r="L88" s="706">
        <v>151</v>
      </c>
      <c r="M88" s="706">
        <v>157</v>
      </c>
      <c r="N88" s="706">
        <v>163</v>
      </c>
      <c r="O88" s="701"/>
      <c r="P88" s="701"/>
      <c r="Q88" s="704" t="s">
        <v>648</v>
      </c>
      <c r="R88" s="707">
        <v>0</v>
      </c>
      <c r="S88" s="707">
        <v>0</v>
      </c>
      <c r="T88" s="707">
        <v>0</v>
      </c>
      <c r="U88" s="707">
        <v>0</v>
      </c>
    </row>
    <row r="89" spans="2:21">
      <c r="J89" s="704" t="s">
        <v>649</v>
      </c>
      <c r="K89" s="706">
        <v>121794</v>
      </c>
      <c r="L89" s="706">
        <v>121794</v>
      </c>
      <c r="M89" s="706">
        <v>121637</v>
      </c>
      <c r="N89" s="706">
        <v>121637</v>
      </c>
      <c r="O89" s="701"/>
      <c r="P89" s="701"/>
      <c r="Q89" s="704" t="s">
        <v>650</v>
      </c>
      <c r="R89" s="707">
        <v>0</v>
      </c>
      <c r="S89" s="707">
        <v>0</v>
      </c>
      <c r="T89" s="707">
        <v>0</v>
      </c>
      <c r="U89" s="707">
        <v>0</v>
      </c>
    </row>
    <row r="90" spans="2:21">
      <c r="J90" s="704" t="s">
        <v>651</v>
      </c>
      <c r="K90" s="706">
        <v>100500</v>
      </c>
      <c r="L90" s="706">
        <v>100500</v>
      </c>
      <c r="M90" s="706">
        <v>100500</v>
      </c>
      <c r="N90" s="706">
        <v>100500</v>
      </c>
      <c r="O90" s="701"/>
      <c r="P90" s="701"/>
      <c r="Q90" s="704"/>
      <c r="R90" s="707"/>
      <c r="S90" s="707"/>
      <c r="T90" s="707"/>
      <c r="U90" s="707"/>
    </row>
    <row r="91" spans="2:21">
      <c r="J91" s="704" t="s">
        <v>652</v>
      </c>
      <c r="K91" s="706">
        <v>100500</v>
      </c>
      <c r="L91" s="706">
        <v>97600</v>
      </c>
      <c r="M91" s="706">
        <v>97600</v>
      </c>
      <c r="N91" s="706">
        <v>97600</v>
      </c>
      <c r="O91" s="701"/>
      <c r="P91" s="701"/>
      <c r="Q91" s="704"/>
      <c r="R91" s="707"/>
      <c r="S91" s="707"/>
      <c r="T91" s="707"/>
      <c r="U91" s="707"/>
    </row>
    <row r="92" spans="2:21">
      <c r="J92" s="704" t="s">
        <v>653</v>
      </c>
      <c r="K92" s="706"/>
      <c r="L92" s="706">
        <v>2900</v>
      </c>
      <c r="M92" s="706">
        <v>2900</v>
      </c>
      <c r="N92" s="706">
        <v>2900</v>
      </c>
      <c r="O92" s="701"/>
      <c r="P92" s="701"/>
      <c r="Q92" s="701"/>
      <c r="R92" s="701"/>
      <c r="S92" s="701"/>
      <c r="T92" s="701"/>
      <c r="U92" s="701"/>
    </row>
    <row r="93" spans="2:21">
      <c r="J93" s="704" t="s">
        <v>654</v>
      </c>
      <c r="K93" s="706">
        <v>21294</v>
      </c>
      <c r="L93" s="706">
        <v>21294</v>
      </c>
      <c r="M93" s="706">
        <v>21137</v>
      </c>
      <c r="N93" s="706">
        <v>21137</v>
      </c>
      <c r="O93" s="701"/>
      <c r="P93" s="701"/>
      <c r="Q93" s="701"/>
      <c r="R93" s="701"/>
      <c r="S93" s="701"/>
      <c r="T93" s="701"/>
      <c r="U93" s="701"/>
    </row>
    <row r="94" spans="2:21">
      <c r="J94" s="704" t="s">
        <v>655</v>
      </c>
      <c r="K94" s="706">
        <v>21294</v>
      </c>
      <c r="L94" s="706">
        <v>21294</v>
      </c>
      <c r="M94" s="706">
        <v>21137</v>
      </c>
      <c r="N94" s="706">
        <v>21137</v>
      </c>
      <c r="O94" s="701"/>
      <c r="P94" s="701"/>
      <c r="Q94" s="701"/>
      <c r="R94" s="701"/>
      <c r="S94" s="701"/>
      <c r="T94" s="701"/>
      <c r="U94" s="701"/>
    </row>
    <row r="95" spans="2:21">
      <c r="J95" s="704" t="s">
        <v>188</v>
      </c>
      <c r="K95" s="706">
        <v>123305</v>
      </c>
      <c r="L95" s="706">
        <v>122835</v>
      </c>
      <c r="M95" s="706">
        <v>123439</v>
      </c>
      <c r="N95" s="706">
        <v>122711</v>
      </c>
      <c r="O95" s="701"/>
      <c r="P95" s="701"/>
      <c r="Q95" s="701"/>
      <c r="R95" s="701"/>
      <c r="S95" s="701"/>
      <c r="T95" s="701"/>
      <c r="U95" s="701"/>
    </row>
    <row r="96" spans="2:21">
      <c r="J96" s="704" t="s">
        <v>656</v>
      </c>
      <c r="K96" s="706">
        <v>36573</v>
      </c>
      <c r="L96" s="706">
        <v>36573</v>
      </c>
      <c r="M96" s="706">
        <v>36573</v>
      </c>
      <c r="N96" s="706">
        <v>36573</v>
      </c>
      <c r="O96" s="701"/>
      <c r="P96" s="701"/>
      <c r="Q96" s="701"/>
      <c r="R96" s="701"/>
      <c r="S96" s="701"/>
      <c r="T96" s="701"/>
      <c r="U96" s="701"/>
    </row>
    <row r="97" spans="10:21">
      <c r="J97" s="704" t="s">
        <v>657</v>
      </c>
      <c r="K97" s="706">
        <v>7315</v>
      </c>
      <c r="L97" s="706">
        <v>7315</v>
      </c>
      <c r="M97" s="706">
        <v>7315</v>
      </c>
      <c r="N97" s="706">
        <v>7315</v>
      </c>
      <c r="O97" s="701"/>
      <c r="P97" s="701"/>
      <c r="Q97" s="701"/>
      <c r="R97" s="701"/>
      <c r="S97" s="701"/>
      <c r="T97" s="701"/>
      <c r="U97" s="701"/>
    </row>
    <row r="98" spans="10:21">
      <c r="J98" s="704" t="s">
        <v>658</v>
      </c>
      <c r="K98" s="706">
        <v>5</v>
      </c>
      <c r="L98" s="706">
        <v>5</v>
      </c>
      <c r="M98" s="706">
        <v>5</v>
      </c>
      <c r="N98" s="706">
        <v>5</v>
      </c>
      <c r="O98" s="701"/>
      <c r="P98" s="701"/>
      <c r="Q98" s="701"/>
      <c r="R98" s="701"/>
      <c r="S98" s="701"/>
      <c r="T98" s="701"/>
      <c r="U98" s="701"/>
    </row>
    <row r="99" spans="10:21">
      <c r="J99" s="704" t="s">
        <v>659</v>
      </c>
      <c r="K99" s="706">
        <v>33073</v>
      </c>
      <c r="L99" s="706">
        <v>33073</v>
      </c>
      <c r="M99" s="706">
        <v>33073</v>
      </c>
      <c r="N99" s="706">
        <v>33073</v>
      </c>
      <c r="O99" s="701"/>
      <c r="P99" s="701"/>
      <c r="Q99" s="701"/>
      <c r="R99" s="701"/>
      <c r="S99" s="701"/>
      <c r="T99" s="701"/>
      <c r="U99" s="701"/>
    </row>
    <row r="100" spans="10:21">
      <c r="J100" s="704" t="s">
        <v>660</v>
      </c>
      <c r="K100" s="706">
        <v>6615</v>
      </c>
      <c r="L100" s="706">
        <v>6615</v>
      </c>
      <c r="M100" s="706">
        <v>6615</v>
      </c>
      <c r="N100" s="706">
        <v>6615</v>
      </c>
      <c r="O100" s="701"/>
      <c r="P100" s="701"/>
      <c r="Q100" s="701"/>
      <c r="R100" s="701"/>
      <c r="S100" s="701"/>
      <c r="T100" s="701"/>
      <c r="U100" s="701"/>
    </row>
    <row r="101" spans="10:21">
      <c r="J101" s="704" t="s">
        <v>661</v>
      </c>
      <c r="K101" s="706">
        <v>3500</v>
      </c>
      <c r="L101" s="706">
        <v>3500</v>
      </c>
      <c r="M101" s="706">
        <v>3500</v>
      </c>
      <c r="N101" s="706">
        <v>3500</v>
      </c>
      <c r="O101" s="701"/>
      <c r="P101" s="701"/>
      <c r="Q101" s="701"/>
      <c r="R101" s="701"/>
      <c r="S101" s="701"/>
      <c r="T101" s="701"/>
      <c r="U101" s="701"/>
    </row>
    <row r="102" spans="10:21">
      <c r="J102" s="704" t="s">
        <v>662</v>
      </c>
      <c r="K102" s="706">
        <v>700</v>
      </c>
      <c r="L102" s="706">
        <v>700</v>
      </c>
      <c r="M102" s="706">
        <v>700</v>
      </c>
      <c r="N102" s="706">
        <v>700</v>
      </c>
      <c r="O102" s="701"/>
      <c r="P102" s="701"/>
      <c r="Q102" s="701"/>
      <c r="R102" s="701"/>
      <c r="S102" s="701"/>
      <c r="T102" s="701"/>
      <c r="U102" s="701"/>
    </row>
    <row r="103" spans="10:21">
      <c r="J103" s="704" t="s">
        <v>663</v>
      </c>
      <c r="K103" s="706">
        <v>-178</v>
      </c>
      <c r="L103" s="706">
        <v>-178</v>
      </c>
      <c r="M103" s="706">
        <v>-178</v>
      </c>
      <c r="N103" s="706">
        <v>-178</v>
      </c>
      <c r="O103" s="701"/>
      <c r="P103" s="701"/>
      <c r="Q103" s="701"/>
      <c r="R103" s="701"/>
      <c r="S103" s="701"/>
      <c r="T103" s="701"/>
      <c r="U103" s="701"/>
    </row>
    <row r="104" spans="10:21">
      <c r="J104" s="704" t="s">
        <v>664</v>
      </c>
      <c r="K104" s="706">
        <v>178</v>
      </c>
      <c r="L104" s="706">
        <v>178</v>
      </c>
      <c r="M104" s="706">
        <v>178</v>
      </c>
      <c r="N104" s="706">
        <v>178</v>
      </c>
      <c r="O104" s="701"/>
      <c r="P104" s="701"/>
      <c r="Q104" s="701"/>
      <c r="R104" s="701"/>
      <c r="S104" s="701"/>
      <c r="T104" s="701"/>
      <c r="U104" s="701"/>
    </row>
    <row r="105" spans="10:21">
      <c r="J105" s="704" t="s">
        <v>665</v>
      </c>
      <c r="K105" s="706">
        <v>213</v>
      </c>
      <c r="L105" s="706">
        <v>223</v>
      </c>
      <c r="M105" s="706">
        <v>-753</v>
      </c>
      <c r="N105" s="706">
        <v>-1634</v>
      </c>
      <c r="O105" s="701"/>
      <c r="P105" s="701"/>
      <c r="Q105" s="701"/>
      <c r="R105" s="701"/>
      <c r="S105" s="701"/>
      <c r="T105" s="701"/>
      <c r="U105" s="701"/>
    </row>
    <row r="106" spans="10:21">
      <c r="J106" s="704" t="s">
        <v>666</v>
      </c>
      <c r="K106" s="706">
        <v>213</v>
      </c>
      <c r="L106" s="706">
        <v>223</v>
      </c>
      <c r="M106" s="706">
        <v>-753</v>
      </c>
      <c r="N106" s="706">
        <v>-1634</v>
      </c>
      <c r="O106" s="701"/>
      <c r="P106" s="701"/>
      <c r="Q106" s="701"/>
      <c r="R106" s="701"/>
      <c r="S106" s="701"/>
      <c r="T106" s="701"/>
      <c r="U106" s="701"/>
    </row>
    <row r="107" spans="10:21">
      <c r="J107" s="704" t="s">
        <v>667</v>
      </c>
      <c r="K107" s="706">
        <v>213</v>
      </c>
      <c r="L107" s="706">
        <v>642</v>
      </c>
      <c r="M107" s="706">
        <v>504</v>
      </c>
      <c r="N107" s="706">
        <v>461</v>
      </c>
      <c r="O107" s="701"/>
      <c r="P107" s="701"/>
      <c r="Q107" s="701"/>
      <c r="R107" s="701"/>
      <c r="S107" s="701"/>
      <c r="T107" s="701"/>
      <c r="U107" s="701"/>
    </row>
    <row r="108" spans="10:21">
      <c r="J108" s="704" t="s">
        <v>189</v>
      </c>
      <c r="K108" s="706">
        <v>36608</v>
      </c>
      <c r="L108" s="706">
        <v>36618</v>
      </c>
      <c r="M108" s="706">
        <v>35642</v>
      </c>
      <c r="N108" s="706">
        <v>34761</v>
      </c>
      <c r="O108" s="701"/>
      <c r="P108" s="701"/>
      <c r="Q108" s="701"/>
      <c r="R108" s="701"/>
      <c r="S108" s="701"/>
      <c r="T108" s="701"/>
      <c r="U108" s="701"/>
    </row>
    <row r="109" spans="10:21">
      <c r="J109" s="704" t="s">
        <v>668</v>
      </c>
      <c r="K109" s="706">
        <v>159913</v>
      </c>
      <c r="L109" s="706">
        <v>159453</v>
      </c>
      <c r="M109" s="706">
        <v>159081</v>
      </c>
      <c r="N109" s="706">
        <v>157473</v>
      </c>
      <c r="O109" s="701"/>
      <c r="P109" s="701"/>
      <c r="Q109" s="701"/>
      <c r="R109" s="701"/>
      <c r="S109" s="701"/>
      <c r="T109" s="701"/>
      <c r="U109" s="701"/>
    </row>
    <row r="110" spans="10:21">
      <c r="J110" s="704" t="s">
        <v>669</v>
      </c>
      <c r="K110" s="706">
        <v>2614</v>
      </c>
      <c r="L110" s="706">
        <v>6615</v>
      </c>
      <c r="M110" s="706">
        <v>6615</v>
      </c>
      <c r="N110" s="706">
        <v>6615</v>
      </c>
      <c r="O110" s="701"/>
      <c r="P110" s="701"/>
      <c r="Q110" s="701"/>
      <c r="R110" s="701"/>
      <c r="S110" s="701"/>
      <c r="T110" s="701"/>
      <c r="U110" s="701"/>
    </row>
    <row r="111" spans="10:21">
      <c r="J111" s="704"/>
      <c r="K111" s="706"/>
      <c r="L111" s="706"/>
      <c r="M111" s="706"/>
      <c r="N111" s="706"/>
      <c r="O111" s="701"/>
      <c r="P111" s="701"/>
      <c r="Q111" s="701"/>
      <c r="R111" s="701"/>
      <c r="S111" s="701"/>
      <c r="T111" s="701"/>
      <c r="U111" s="701"/>
    </row>
    <row r="112" spans="10:21">
      <c r="J112" s="678"/>
      <c r="K112" s="708"/>
      <c r="L112" s="708"/>
      <c r="M112" s="708"/>
      <c r="N112" s="708"/>
    </row>
    <row r="113" spans="10:14">
      <c r="J113" s="678"/>
      <c r="K113" s="708"/>
      <c r="L113" s="708"/>
      <c r="M113" s="708"/>
      <c r="N113" s="708"/>
    </row>
    <row r="114" spans="10:14">
      <c r="J114" s="678"/>
      <c r="K114" s="708"/>
      <c r="L114" s="708"/>
      <c r="M114" s="708"/>
      <c r="N114" s="708"/>
    </row>
    <row r="115" spans="10:14">
      <c r="J115" s="678"/>
      <c r="K115" s="708"/>
      <c r="L115" s="708"/>
      <c r="M115" s="708"/>
      <c r="N115" s="708"/>
    </row>
    <row r="116" spans="10:14">
      <c r="J116" s="678"/>
      <c r="K116" s="708"/>
      <c r="L116" s="708"/>
      <c r="M116" s="708"/>
      <c r="N116" s="708"/>
    </row>
    <row r="117" spans="10:14">
      <c r="J117" s="678"/>
      <c r="K117" s="708"/>
      <c r="L117" s="708"/>
      <c r="M117" s="708"/>
      <c r="N117" s="708"/>
    </row>
    <row r="118" spans="10:14">
      <c r="J118" s="678"/>
      <c r="K118" s="708"/>
      <c r="L118" s="708"/>
      <c r="M118" s="708"/>
      <c r="N118" s="708"/>
    </row>
    <row r="119" spans="10:14">
      <c r="J119" s="678"/>
      <c r="K119" s="708"/>
      <c r="L119" s="708"/>
      <c r="M119" s="708"/>
      <c r="N119" s="708"/>
    </row>
    <row r="120" spans="10:14">
      <c r="J120" s="678"/>
      <c r="K120" s="708"/>
      <c r="L120" s="708"/>
      <c r="M120" s="708"/>
      <c r="N120" s="708"/>
    </row>
    <row r="121" spans="10:14">
      <c r="J121" s="678"/>
      <c r="K121" s="708"/>
      <c r="L121" s="708"/>
      <c r="M121" s="708"/>
      <c r="N121" s="708"/>
    </row>
  </sheetData>
  <mergeCells count="11">
    <mergeCell ref="B31:B32"/>
    <mergeCell ref="B39:E39"/>
    <mergeCell ref="B55:F55"/>
    <mergeCell ref="B58:B59"/>
    <mergeCell ref="B71:B72"/>
    <mergeCell ref="B19:E19"/>
    <mergeCell ref="C7:E7"/>
    <mergeCell ref="B10:F10"/>
    <mergeCell ref="B11:F11"/>
    <mergeCell ref="C16:E16"/>
    <mergeCell ref="C17:E17"/>
  </mergeCells>
  <phoneticPr fontId="3" type="noConversion"/>
  <hyperlinks>
    <hyperlink ref="J40" r:id="rId1"/>
    <hyperlink ref="J41" r:id="rId2"/>
  </hyperlinks>
  <pageMargins left="0.7" right="0.7" top="0.75" bottom="0.75" header="0.3" footer="0.3"/>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Z216"/>
  <sheetViews>
    <sheetView showGridLines="0" zoomScale="70" zoomScaleNormal="70" workbookViewId="0">
      <pane xSplit="3" ySplit="7" topLeftCell="G8" activePane="bottomRight" state="frozen"/>
      <selection pane="topRight" activeCell="D1" sqref="D1"/>
      <selection pane="bottomLeft" activeCell="A8" sqref="A8"/>
      <selection pane="bottomRight" activeCell="J17" sqref="J17"/>
    </sheetView>
  </sheetViews>
  <sheetFormatPr defaultRowHeight="21" customHeight="1"/>
  <cols>
    <col min="1" max="2" width="9.5" customWidth="1"/>
    <col min="3" max="3" width="29" customWidth="1"/>
    <col min="4" max="4" width="16.875" customWidth="1"/>
    <col min="5" max="5" width="16.25" customWidth="1"/>
    <col min="6" max="6" width="19.5" customWidth="1"/>
    <col min="7" max="7" width="19.125" customWidth="1"/>
    <col min="8" max="8" width="15.5" customWidth="1"/>
    <col min="9" max="9" width="20.625" customWidth="1"/>
    <col min="10" max="10" width="18.75" customWidth="1"/>
    <col min="11" max="12" width="15.875" customWidth="1"/>
    <col min="13" max="13" width="15.75" customWidth="1"/>
    <col min="14" max="15" width="14.5" customWidth="1"/>
    <col min="16" max="16" width="15.125" bestFit="1" customWidth="1"/>
    <col min="17" max="17" width="15.125" customWidth="1"/>
    <col min="18" max="18" width="16" customWidth="1"/>
    <col min="19" max="24" width="15.125" customWidth="1"/>
    <col min="25" max="25" width="17.625" customWidth="1"/>
    <col min="26" max="26" width="15.125" customWidth="1"/>
    <col min="27" max="27" width="8.75" customWidth="1"/>
    <col min="28" max="28" width="1.25" customWidth="1"/>
    <col min="29" max="29" width="16.5" customWidth="1"/>
    <col min="30" max="30" width="17.125" customWidth="1"/>
    <col min="31" max="31" width="11.625" bestFit="1" customWidth="1"/>
    <col min="33" max="33" width="9.125" customWidth="1"/>
    <col min="34" max="34" width="9" bestFit="1" customWidth="1"/>
  </cols>
  <sheetData>
    <row r="1" spans="2:52" ht="21" customHeight="1">
      <c r="B1" s="1"/>
      <c r="C1" s="1"/>
      <c r="D1" s="1"/>
      <c r="E1" s="1"/>
      <c r="F1" s="1"/>
      <c r="G1" s="1"/>
      <c r="H1" s="1"/>
      <c r="I1" s="1"/>
      <c r="J1" s="1"/>
      <c r="K1" s="1"/>
      <c r="O1" s="1"/>
      <c r="P1" s="1"/>
      <c r="Q1" s="1"/>
      <c r="R1" s="1"/>
      <c r="S1" s="1"/>
      <c r="T1" s="1"/>
      <c r="U1" s="1"/>
      <c r="V1" s="1"/>
      <c r="W1" s="1"/>
      <c r="X1" s="1"/>
      <c r="Y1" s="1"/>
      <c r="Z1" s="1"/>
      <c r="AA1" s="1"/>
      <c r="AB1" s="3"/>
      <c r="AC1" s="1"/>
      <c r="AD1" s="1"/>
      <c r="AE1" s="1"/>
      <c r="AF1" s="1"/>
      <c r="AG1" s="1"/>
      <c r="AH1" s="1"/>
      <c r="AI1" s="1"/>
      <c r="AJ1" s="1"/>
      <c r="AK1" s="1"/>
      <c r="AL1" s="1"/>
      <c r="AM1" s="1"/>
      <c r="AN1" s="1"/>
      <c r="AO1" s="1"/>
      <c r="AP1" s="1"/>
      <c r="AQ1" s="1"/>
      <c r="AR1" s="1"/>
      <c r="AS1" s="1"/>
      <c r="AT1" s="1"/>
      <c r="AU1" s="1"/>
      <c r="AV1" s="1"/>
      <c r="AW1" s="1"/>
      <c r="AX1" s="1"/>
      <c r="AY1" s="1"/>
      <c r="AZ1" s="1"/>
    </row>
    <row r="2" spans="2:52" ht="21" customHeight="1" thickBot="1">
      <c r="B2" s="1"/>
      <c r="C2" s="4" t="s">
        <v>1</v>
      </c>
      <c r="D2" s="5" t="s">
        <v>2</v>
      </c>
      <c r="E2" s="1031">
        <v>45565</v>
      </c>
      <c r="F2" s="6" t="s">
        <v>3</v>
      </c>
      <c r="G2" s="1815" t="s">
        <v>2311</v>
      </c>
      <c r="H2" s="7" t="s">
        <v>2153</v>
      </c>
      <c r="I2" s="1"/>
      <c r="J2" s="1"/>
      <c r="K2" s="1"/>
      <c r="L2" s="2" t="s">
        <v>0</v>
      </c>
      <c r="M2" s="2" t="s">
        <v>2321</v>
      </c>
      <c r="N2" s="2391" t="s">
        <v>2322</v>
      </c>
      <c r="O2" s="1"/>
      <c r="P2" s="1"/>
      <c r="Q2" s="1"/>
      <c r="R2" s="1"/>
      <c r="S2" s="1"/>
      <c r="T2" s="1"/>
      <c r="U2" s="1"/>
      <c r="V2" s="1"/>
      <c r="W2" s="1"/>
      <c r="X2" s="1"/>
      <c r="Y2" s="1"/>
      <c r="Z2" s="1"/>
      <c r="AA2" s="1"/>
      <c r="AB2" s="3"/>
      <c r="AC2" s="1"/>
      <c r="AD2" s="1"/>
      <c r="AE2" s="1"/>
      <c r="AF2" s="1"/>
      <c r="AG2" s="1"/>
      <c r="AH2" s="1"/>
      <c r="AI2" s="1"/>
      <c r="AJ2" s="1"/>
      <c r="AK2" s="1"/>
      <c r="AL2" s="1"/>
      <c r="AM2" s="1"/>
      <c r="AN2" s="1"/>
      <c r="AO2" s="1"/>
      <c r="AP2" s="1"/>
      <c r="AQ2" s="1"/>
      <c r="AR2" s="1"/>
      <c r="AS2" s="1"/>
      <c r="AT2" s="1"/>
      <c r="AU2" s="1"/>
      <c r="AV2" s="1"/>
      <c r="AW2" s="1"/>
      <c r="AX2" s="1"/>
      <c r="AY2" s="1"/>
      <c r="AZ2" s="1"/>
    </row>
    <row r="3" spans="2:52" ht="21" customHeight="1">
      <c r="B3" s="1"/>
      <c r="C3" s="1" t="s">
        <v>4</v>
      </c>
      <c r="D3" s="1"/>
      <c r="E3" s="1"/>
      <c r="F3" s="1"/>
      <c r="G3" s="1"/>
      <c r="H3" s="1"/>
      <c r="I3" s="1"/>
      <c r="J3" s="1"/>
      <c r="K3" s="1"/>
      <c r="L3" s="1"/>
      <c r="M3" s="1"/>
      <c r="N3" s="1"/>
      <c r="O3" s="1"/>
      <c r="P3" s="1"/>
      <c r="Q3" s="1"/>
      <c r="R3" s="1"/>
      <c r="S3" s="1"/>
      <c r="T3" s="1"/>
      <c r="U3" s="1"/>
      <c r="V3" s="1"/>
      <c r="W3" s="1"/>
      <c r="X3" s="1"/>
      <c r="Y3" s="1"/>
      <c r="Z3" s="1"/>
      <c r="AA3" s="1"/>
      <c r="AB3" s="3"/>
      <c r="AC3" s="1"/>
      <c r="AD3" s="1"/>
      <c r="AE3" s="1"/>
      <c r="AF3" s="1"/>
      <c r="AG3" s="1"/>
      <c r="AH3" s="1"/>
      <c r="AI3" s="1"/>
      <c r="AJ3" s="1"/>
      <c r="AK3" s="1"/>
      <c r="AL3" s="1"/>
      <c r="AM3" s="1"/>
      <c r="AN3" s="1"/>
      <c r="AO3" s="1"/>
      <c r="AP3" s="1"/>
      <c r="AQ3" s="1"/>
      <c r="AR3" s="1"/>
      <c r="AS3" s="1"/>
      <c r="AT3" s="1"/>
      <c r="AU3" s="1"/>
      <c r="AV3" s="1"/>
      <c r="AW3" s="1"/>
      <c r="AX3" s="1"/>
      <c r="AY3" s="1"/>
      <c r="AZ3" s="1"/>
    </row>
    <row r="4" spans="2:52" ht="21" customHeight="1" thickBot="1">
      <c r="B4" s="1"/>
      <c r="C4" s="11" t="s">
        <v>8</v>
      </c>
      <c r="D4" s="1">
        <f>'IS(Y)'!J134</f>
        <v>0</v>
      </c>
      <c r="F4" s="1"/>
      <c r="G4" s="1"/>
      <c r="H4" s="1"/>
      <c r="I4" s="1"/>
      <c r="J4" s="1"/>
      <c r="K4" s="1"/>
      <c r="L4" s="1"/>
      <c r="M4" s="1">
        <f>'IS(Y)'!S134</f>
        <v>0</v>
      </c>
      <c r="N4" s="1"/>
      <c r="O4" s="1"/>
      <c r="P4" s="1"/>
      <c r="Q4" s="1"/>
      <c r="R4" s="1"/>
      <c r="S4" s="1"/>
      <c r="T4" s="1"/>
      <c r="U4" s="1"/>
      <c r="V4" s="1"/>
      <c r="W4" s="1">
        <f>'IS(Y)'!AC134</f>
        <v>0</v>
      </c>
      <c r="X4" s="1">
        <f>'IS(Y)'!AD134</f>
        <v>0</v>
      </c>
      <c r="Y4" s="1"/>
      <c r="Z4" s="1"/>
      <c r="AA4" s="1"/>
      <c r="AB4" s="3"/>
      <c r="AC4" s="1"/>
      <c r="AD4" s="1"/>
      <c r="AE4" s="1"/>
      <c r="AF4" s="1"/>
      <c r="AG4" s="1"/>
      <c r="AH4" s="1"/>
      <c r="AI4" s="8" t="s">
        <v>5</v>
      </c>
      <c r="AJ4" s="9"/>
      <c r="AK4" s="9"/>
      <c r="AL4" s="9"/>
      <c r="AM4" s="9"/>
      <c r="AN4" s="9"/>
      <c r="AO4" s="9"/>
      <c r="AP4" s="9"/>
      <c r="AQ4" s="9"/>
      <c r="AR4" s="1"/>
      <c r="AS4" s="8" t="s">
        <v>6</v>
      </c>
      <c r="AT4" s="8"/>
      <c r="AU4" s="8"/>
      <c r="AV4" s="8"/>
      <c r="AW4" s="8"/>
      <c r="AX4" s="8"/>
      <c r="AY4" s="8"/>
      <c r="AZ4" s="8"/>
    </row>
    <row r="5" spans="2:52" ht="21" customHeight="1" thickBot="1">
      <c r="B5" s="1"/>
      <c r="C5" s="10" t="s">
        <v>7</v>
      </c>
      <c r="D5" t="b">
        <f>D7=RE!J80</f>
        <v>1</v>
      </c>
      <c r="E5" t="b">
        <f>E7=RE!K80</f>
        <v>1</v>
      </c>
      <c r="F5" t="b">
        <f>F7=RE!L80</f>
        <v>1</v>
      </c>
      <c r="G5" t="b">
        <f>G7=RE!M80</f>
        <v>1</v>
      </c>
      <c r="H5" t="b">
        <f>H7=RE!N80</f>
        <v>1</v>
      </c>
      <c r="I5" t="b">
        <f>I7=RE!O80</f>
        <v>1</v>
      </c>
      <c r="J5" t="b">
        <f>J7=RE!P80</f>
        <v>1</v>
      </c>
      <c r="K5" t="b">
        <f>K7=RE!Q80</f>
        <v>1</v>
      </c>
      <c r="L5" t="b">
        <f>L7=RE!R80</f>
        <v>1</v>
      </c>
      <c r="M5" t="b">
        <f>M7=RE!S80</f>
        <v>1</v>
      </c>
      <c r="N5" t="b">
        <f>N7=RE!T80</f>
        <v>1</v>
      </c>
      <c r="O5" t="b">
        <f>O7=RE!U80</f>
        <v>1</v>
      </c>
      <c r="P5" t="b">
        <f>P7=RE!V80</f>
        <v>1</v>
      </c>
      <c r="Q5" t="b">
        <f>Q7=RE!W80</f>
        <v>1</v>
      </c>
      <c r="R5" t="b">
        <f>R7=RE!X80</f>
        <v>1</v>
      </c>
      <c r="S5" t="b">
        <f>S7=RE!Y80</f>
        <v>1</v>
      </c>
      <c r="T5" t="b">
        <f>T7=RE!Z80</f>
        <v>1</v>
      </c>
      <c r="U5" t="b">
        <f>U7=RE!AA80</f>
        <v>1</v>
      </c>
      <c r="V5" t="b">
        <f>V7=RE!AB80</f>
        <v>1</v>
      </c>
      <c r="W5" t="b">
        <f>W7=RE!AC80</f>
        <v>1</v>
      </c>
      <c r="X5" t="b">
        <f>X7=RE!AD80</f>
        <v>1</v>
      </c>
      <c r="Y5" s="86" t="s">
        <v>901</v>
      </c>
      <c r="Z5" s="1"/>
      <c r="AA5" s="1"/>
      <c r="AB5" s="3"/>
      <c r="AC5" s="1"/>
      <c r="AD5" s="1"/>
      <c r="AE5" s="1"/>
      <c r="AF5" s="1"/>
      <c r="AG5" s="1"/>
      <c r="AH5" s="1"/>
      <c r="AI5" s="1"/>
      <c r="AJ5" s="1"/>
      <c r="AK5" s="1"/>
      <c r="AL5" s="1"/>
      <c r="AM5" s="1"/>
      <c r="AN5" s="1"/>
      <c r="AO5" s="1"/>
      <c r="AP5" s="1"/>
      <c r="AQ5" s="1"/>
      <c r="AR5" s="1"/>
      <c r="AS5" s="1"/>
      <c r="AT5" s="1"/>
      <c r="AU5" s="1"/>
      <c r="AV5" s="1"/>
      <c r="AW5" s="1"/>
      <c r="AX5" s="1"/>
      <c r="AY5" s="1"/>
      <c r="AZ5" s="1"/>
    </row>
    <row r="6" spans="2:52" ht="21" customHeight="1" thickBot="1">
      <c r="B6" s="1"/>
      <c r="C6" s="12" t="s">
        <v>9</v>
      </c>
      <c r="D6" s="71" t="s">
        <v>10</v>
      </c>
      <c r="E6" s="71" t="s">
        <v>11</v>
      </c>
      <c r="F6" s="71" t="s">
        <v>12</v>
      </c>
      <c r="G6" s="71" t="s">
        <v>13</v>
      </c>
      <c r="H6" s="71" t="s">
        <v>14</v>
      </c>
      <c r="I6" s="71" t="s">
        <v>15</v>
      </c>
      <c r="J6" s="13" t="s">
        <v>16</v>
      </c>
      <c r="K6" s="13" t="s">
        <v>17</v>
      </c>
      <c r="L6" s="13" t="s">
        <v>18</v>
      </c>
      <c r="M6" s="13" t="s">
        <v>19</v>
      </c>
      <c r="N6" s="13" t="s">
        <v>20</v>
      </c>
      <c r="O6" s="13" t="s">
        <v>21</v>
      </c>
      <c r="P6" s="13" t="s">
        <v>22</v>
      </c>
      <c r="Q6" s="13" t="s">
        <v>23</v>
      </c>
      <c r="R6" s="13" t="s">
        <v>24</v>
      </c>
      <c r="S6" s="13" t="s">
        <v>25</v>
      </c>
      <c r="T6" s="13" t="s">
        <v>26</v>
      </c>
      <c r="U6" s="13" t="s">
        <v>27</v>
      </c>
      <c r="V6" s="13" t="s">
        <v>28</v>
      </c>
      <c r="W6" s="13" t="s">
        <v>29</v>
      </c>
      <c r="X6" s="1819" t="s">
        <v>30</v>
      </c>
      <c r="Y6" s="81" t="s">
        <v>900</v>
      </c>
      <c r="Z6" s="1"/>
      <c r="AA6" s="1"/>
      <c r="AB6" s="3"/>
      <c r="AC6" s="1"/>
      <c r="AD6" s="1"/>
      <c r="AE6" s="1"/>
      <c r="AF6" s="1"/>
      <c r="AG6" s="1"/>
      <c r="AH6" s="1"/>
      <c r="AI6" s="1"/>
      <c r="AJ6" s="1"/>
      <c r="AK6" s="1"/>
      <c r="AL6" s="1"/>
      <c r="AM6" s="1"/>
      <c r="AN6" s="1"/>
      <c r="AO6" s="1"/>
      <c r="AP6" s="1"/>
      <c r="AQ6" s="1"/>
      <c r="AR6" s="1"/>
      <c r="AS6" s="1"/>
      <c r="AT6" s="1"/>
      <c r="AU6" s="1"/>
      <c r="AV6" s="1"/>
      <c r="AW6" s="1"/>
      <c r="AX6" s="1"/>
      <c r="AY6" s="1"/>
      <c r="AZ6" s="1"/>
    </row>
    <row r="7" spans="2:52" ht="21" customHeight="1" thickBot="1">
      <c r="B7" s="1"/>
      <c r="C7" s="12" t="s">
        <v>31</v>
      </c>
      <c r="D7" s="1904">
        <v>44592</v>
      </c>
      <c r="E7" s="1904">
        <v>44773</v>
      </c>
      <c r="F7" s="1904">
        <v>44957</v>
      </c>
      <c r="G7" s="1904">
        <v>45138</v>
      </c>
      <c r="H7" s="1904">
        <v>45322</v>
      </c>
      <c r="I7" s="1904">
        <v>45504</v>
      </c>
      <c r="J7" s="14">
        <v>45688</v>
      </c>
      <c r="K7" s="14">
        <v>45869</v>
      </c>
      <c r="L7" s="14">
        <v>46053</v>
      </c>
      <c r="M7" s="14">
        <v>46234</v>
      </c>
      <c r="N7" s="14">
        <v>46418</v>
      </c>
      <c r="O7" s="14">
        <v>46599</v>
      </c>
      <c r="P7" s="14">
        <v>46783</v>
      </c>
      <c r="Q7" s="14">
        <v>46965</v>
      </c>
      <c r="R7" s="14">
        <v>47149</v>
      </c>
      <c r="S7" s="14">
        <v>47330</v>
      </c>
      <c r="T7" s="14">
        <v>47514</v>
      </c>
      <c r="U7" s="14">
        <v>47695</v>
      </c>
      <c r="V7" s="14">
        <v>47879</v>
      </c>
      <c r="W7" s="14">
        <v>48029</v>
      </c>
      <c r="X7" s="1820">
        <v>48029</v>
      </c>
      <c r="Y7" s="1826"/>
      <c r="Z7" s="1"/>
      <c r="AA7" s="1"/>
      <c r="AB7" s="3"/>
      <c r="AC7" s="1"/>
      <c r="AD7" s="1"/>
      <c r="AE7" s="1"/>
      <c r="AF7" s="1"/>
      <c r="AG7" s="1"/>
      <c r="AH7" s="1"/>
      <c r="AI7" s="1"/>
      <c r="AJ7" s="1"/>
      <c r="AK7" s="1"/>
      <c r="AL7" s="1"/>
      <c r="AM7" s="1"/>
      <c r="AN7" s="1"/>
      <c r="AO7" s="1"/>
      <c r="AP7" s="1"/>
      <c r="AQ7" s="1"/>
      <c r="AR7" s="1"/>
      <c r="AS7" s="1"/>
      <c r="AT7" s="1"/>
      <c r="AU7" s="1"/>
      <c r="AV7" s="1"/>
      <c r="AW7" s="1"/>
      <c r="AX7" s="1"/>
      <c r="AY7" s="1"/>
      <c r="AZ7" s="1"/>
    </row>
    <row r="8" spans="2:52" ht="21" customHeight="1" thickBot="1">
      <c r="B8" s="15" t="s">
        <v>32</v>
      </c>
      <c r="C8" s="16" t="s">
        <v>33</v>
      </c>
      <c r="D8" s="97">
        <f>'IS(Y)'!J9</f>
        <v>0</v>
      </c>
      <c r="E8" s="97">
        <f>'IS(Y)'!K9</f>
        <v>0</v>
      </c>
      <c r="F8" s="97">
        <f>'IS(Y)'!L9</f>
        <v>0</v>
      </c>
      <c r="G8" s="97">
        <f>'IS(Y)'!M9</f>
        <v>0</v>
      </c>
      <c r="H8" s="97">
        <f>'IS(Y)'!N9</f>
        <v>0</v>
      </c>
      <c r="I8" s="2361">
        <f>'IS(Y)'!O9</f>
        <v>15532.686705944499</v>
      </c>
      <c r="J8" s="17">
        <f>'IS(Y)'!P9</f>
        <v>16334.109473165001</v>
      </c>
      <c r="K8" s="17">
        <f>'IS(Y)'!Q9</f>
        <v>15974.074324673471</v>
      </c>
      <c r="L8" s="17">
        <f>'IS(Y)'!R9</f>
        <v>16789.400556091867</v>
      </c>
      <c r="M8" s="17">
        <f>'IS(Y)'!S9</f>
        <v>16419.43231620298</v>
      </c>
      <c r="N8" s="17">
        <f>'IS(Y)'!T9</f>
        <v>17257.715549871038</v>
      </c>
      <c r="O8" s="17">
        <f>'IS(Y)'!U9</f>
        <v>17580.465911647625</v>
      </c>
      <c r="P8" s="17">
        <f>'IS(Y)'!V9</f>
        <v>19145.278162500595</v>
      </c>
      <c r="Q8" s="17">
        <f>'IS(Y)'!W9</f>
        <v>18172.991738726003</v>
      </c>
      <c r="R8" s="17">
        <f>'IS(Y)'!X9</f>
        <v>19880.535324438231</v>
      </c>
      <c r="S8" s="17">
        <f>'IS(Y)'!Y9</f>
        <v>18766.672343125621</v>
      </c>
      <c r="T8" s="17">
        <f>'IS(Y)'!Z9</f>
        <v>20424.681853348218</v>
      </c>
      <c r="U8" s="17">
        <f>'IS(Y)'!AA9</f>
        <v>19294.003487917227</v>
      </c>
      <c r="V8" s="17">
        <f>'IS(Y)'!AB9</f>
        <v>20998.620058221561</v>
      </c>
      <c r="W8" s="17">
        <f>'IS(Y)'!AC9</f>
        <v>19836.493514338519</v>
      </c>
      <c r="X8" s="1821">
        <f>'IS(Y)'!AD9</f>
        <v>528145.21413655696</v>
      </c>
      <c r="Y8" s="1827">
        <f>X8-'IS(Y)'!AD15</f>
        <v>7195.3387324502692</v>
      </c>
      <c r="Z8" s="2358" t="s">
        <v>2200</v>
      </c>
      <c r="AA8" s="1"/>
      <c r="AB8" s="3"/>
      <c r="AC8" s="1"/>
      <c r="AD8" s="1"/>
      <c r="AE8" s="1"/>
      <c r="AF8" s="1"/>
      <c r="AG8" s="1"/>
      <c r="AH8" s="1"/>
      <c r="AI8" s="1"/>
      <c r="AJ8" s="1"/>
      <c r="AK8" s="1"/>
      <c r="AL8" s="1"/>
      <c r="AM8" s="1"/>
      <c r="AN8" s="1"/>
      <c r="AO8" s="1"/>
      <c r="AP8" s="1"/>
      <c r="AQ8" s="1"/>
      <c r="AR8" s="1"/>
      <c r="AS8" s="1"/>
      <c r="AT8" s="1"/>
      <c r="AU8" s="1"/>
      <c r="AV8" s="1"/>
      <c r="AW8" s="1"/>
      <c r="AX8" s="1"/>
      <c r="AY8" s="1"/>
      <c r="AZ8" s="1"/>
    </row>
    <row r="9" spans="2:52" ht="21" customHeight="1" thickBot="1">
      <c r="B9" s="1"/>
      <c r="C9" s="16" t="s">
        <v>34</v>
      </c>
      <c r="D9" s="97">
        <f>'IS(Y)'!J17</f>
        <v>0</v>
      </c>
      <c r="E9" s="97">
        <f>'IS(Y)'!K17</f>
        <v>0</v>
      </c>
      <c r="F9" s="97">
        <f>'IS(Y)'!L17</f>
        <v>0</v>
      </c>
      <c r="G9" s="97">
        <f>'IS(Y)'!M17</f>
        <v>0</v>
      </c>
      <c r="H9" s="97">
        <f>'IS(Y)'!N17</f>
        <v>0</v>
      </c>
      <c r="I9" s="2361">
        <f>'IS(Y)'!O17</f>
        <v>9582.9898479973781</v>
      </c>
      <c r="J9" s="18">
        <f>'IS(Y)'!P17</f>
        <v>10767.873574795325</v>
      </c>
      <c r="K9" s="18">
        <f>'IS(Y)'!Q17</f>
        <v>9426.5357086969761</v>
      </c>
      <c r="L9" s="18">
        <f>'IS(Y)'!R17</f>
        <v>9427.9325015397953</v>
      </c>
      <c r="M9" s="18">
        <f>'IS(Y)'!S17</f>
        <v>9487.947593083516</v>
      </c>
      <c r="N9" s="18">
        <f>'IS(Y)'!T17</f>
        <v>9989.379813012376</v>
      </c>
      <c r="O9" s="18">
        <f>'IS(Y)'!U17</f>
        <v>9553.3352266544825</v>
      </c>
      <c r="P9" s="18">
        <f>'IS(Y)'!V17</f>
        <v>9456.0815559083931</v>
      </c>
      <c r="Q9" s="18">
        <f>'IS(Y)'!W17</f>
        <v>9507.0908730797819</v>
      </c>
      <c r="R9" s="18">
        <f>'IS(Y)'!X17</f>
        <v>9998.5711885719611</v>
      </c>
      <c r="S9" s="18">
        <f>'IS(Y)'!Y17</f>
        <v>9561.112443932403</v>
      </c>
      <c r="T9" s="18">
        <f>'IS(Y)'!Z17</f>
        <v>9562.7988239290007</v>
      </c>
      <c r="U9" s="18">
        <f>'IS(Y)'!AA17</f>
        <v>9628.4925535816292</v>
      </c>
      <c r="V9" s="18">
        <f>'IS(Y)'!AB17</f>
        <v>9630.2377050011692</v>
      </c>
      <c r="W9" s="18">
        <f>'IS(Y)'!AC17</f>
        <v>9708.3970045020669</v>
      </c>
      <c r="X9" s="1822">
        <f>'IS(Y)'!AD17</f>
        <v>68974.064345923282</v>
      </c>
      <c r="Y9" s="1828">
        <f>X9-SUM('IS(Y)'!AD42:AD43)</f>
        <v>3292.1333718738024</v>
      </c>
      <c r="Z9" s="2359" t="s">
        <v>2199</v>
      </c>
      <c r="AA9" s="1"/>
      <c r="AB9" s="3"/>
      <c r="AC9" s="1"/>
      <c r="AD9" s="1"/>
      <c r="AE9" s="1"/>
      <c r="AF9" s="1"/>
      <c r="AG9" s="1"/>
      <c r="AH9" s="1"/>
      <c r="AI9" s="1"/>
      <c r="AJ9" s="1"/>
      <c r="AK9" s="1"/>
      <c r="AL9" s="1"/>
      <c r="AM9" s="1"/>
      <c r="AN9" s="1"/>
      <c r="AO9" s="1"/>
      <c r="AP9" s="1"/>
      <c r="AQ9" s="1"/>
      <c r="AR9" s="1"/>
      <c r="AS9" s="1"/>
      <c r="AT9" s="1"/>
      <c r="AU9" s="1"/>
      <c r="AV9" s="1"/>
      <c r="AW9" s="1"/>
      <c r="AX9" s="1"/>
      <c r="AY9" s="1"/>
      <c r="AZ9" s="1"/>
    </row>
    <row r="10" spans="2:52" ht="21" customHeight="1" thickBot="1">
      <c r="B10" s="1"/>
      <c r="C10" s="16" t="s">
        <v>35</v>
      </c>
      <c r="D10" s="97">
        <f>+D8-D9</f>
        <v>0</v>
      </c>
      <c r="E10" s="97">
        <f>+E8-E9</f>
        <v>0</v>
      </c>
      <c r="F10" s="97">
        <f t="shared" ref="F10:P10" si="0">+F8-F9</f>
        <v>0</v>
      </c>
      <c r="G10" s="97">
        <f t="shared" si="0"/>
        <v>0</v>
      </c>
      <c r="H10" s="97">
        <f t="shared" si="0"/>
        <v>0</v>
      </c>
      <c r="I10" s="2361">
        <f>+I8-I9</f>
        <v>5949.6968579471213</v>
      </c>
      <c r="J10" s="19">
        <f>+J8-J9</f>
        <v>5566.2358983696759</v>
      </c>
      <c r="K10" s="19">
        <f>+K8-K9</f>
        <v>6547.5386159764948</v>
      </c>
      <c r="L10" s="19">
        <f t="shared" si="0"/>
        <v>7361.4680545520714</v>
      </c>
      <c r="M10" s="19">
        <f t="shared" si="0"/>
        <v>6931.4847231194635</v>
      </c>
      <c r="N10" s="19">
        <f t="shared" si="0"/>
        <v>7268.3357368586621</v>
      </c>
      <c r="O10" s="19">
        <f t="shared" si="0"/>
        <v>8027.1306849931425</v>
      </c>
      <c r="P10" s="19">
        <f t="shared" si="0"/>
        <v>9689.1966065922024</v>
      </c>
      <c r="Q10" s="19">
        <f>+Q8-Q9</f>
        <v>8665.9008656462211</v>
      </c>
      <c r="R10" s="19">
        <f t="shared" ref="R10:W10" si="1">+R8-R9</f>
        <v>9881.9641358662702</v>
      </c>
      <c r="S10" s="19">
        <f t="shared" si="1"/>
        <v>9205.5598991932184</v>
      </c>
      <c r="T10" s="19">
        <f t="shared" si="1"/>
        <v>10861.883029419218</v>
      </c>
      <c r="U10" s="19">
        <f t="shared" si="1"/>
        <v>9665.510934335598</v>
      </c>
      <c r="V10" s="19">
        <f t="shared" si="1"/>
        <v>11368.382353220391</v>
      </c>
      <c r="W10" s="19">
        <f t="shared" si="1"/>
        <v>10128.096509836452</v>
      </c>
      <c r="X10" s="1823">
        <f>+X8-X9</f>
        <v>459171.1497906337</v>
      </c>
      <c r="Y10" s="1829">
        <f>+Y8-Y9</f>
        <v>3903.2053605764668</v>
      </c>
      <c r="Z10" s="1"/>
      <c r="AA10" s="1"/>
      <c r="AB10" s="3"/>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2:52" ht="21" customHeight="1" thickBot="1">
      <c r="B11" s="1"/>
      <c r="C11" s="16" t="s">
        <v>36</v>
      </c>
      <c r="D11" s="1905">
        <f>'IS(Y)'!J45</f>
        <v>0</v>
      </c>
      <c r="E11" s="1905">
        <f>'IS(Y)'!K45</f>
        <v>0</v>
      </c>
      <c r="F11" s="1905">
        <f>'IS(Y)'!L45</f>
        <v>0</v>
      </c>
      <c r="G11" s="1905">
        <f>'IS(Y)'!M45</f>
        <v>0</v>
      </c>
      <c r="H11" s="1905">
        <f>'IS(Y)'!N45</f>
        <v>0</v>
      </c>
      <c r="I11" s="2362">
        <f>'IS(Y)'!O47</f>
        <v>308.43388311412059</v>
      </c>
      <c r="J11" s="20">
        <f>'IS(Y)'!P47</f>
        <v>423.40784525151116</v>
      </c>
      <c r="K11" s="20">
        <f>'IS(Y)'!Q47</f>
        <v>451.63040441635911</v>
      </c>
      <c r="L11" s="20">
        <f>'IS(Y)'!R47</f>
        <v>406.32147692784315</v>
      </c>
      <c r="M11" s="20">
        <f>'IS(Y)'!S47</f>
        <v>365.05223726203195</v>
      </c>
      <c r="N11" s="20">
        <f>'IS(Y)'!T47</f>
        <v>256.53224878202752</v>
      </c>
      <c r="O11" s="20">
        <f>'IS(Y)'!U47</f>
        <v>202.70914751392297</v>
      </c>
      <c r="P11" s="20">
        <f>'IS(Y)'!V47</f>
        <v>199.12025012952665</v>
      </c>
      <c r="Q11" s="20">
        <f>'IS(Y)'!W47</f>
        <v>206.07719052508051</v>
      </c>
      <c r="R11" s="20">
        <f>'IS(Y)'!X47</f>
        <v>175.40282321898019</v>
      </c>
      <c r="S11" s="20">
        <f>'IS(Y)'!Y47</f>
        <v>168.84995132312079</v>
      </c>
      <c r="T11" s="20">
        <f>'IS(Y)'!Z47</f>
        <v>197.85703249503243</v>
      </c>
      <c r="U11" s="20">
        <f>'IS(Y)'!AA47</f>
        <v>196.39635909304326</v>
      </c>
      <c r="V11" s="20">
        <f>'IS(Y)'!AB47</f>
        <v>204.9006665778376</v>
      </c>
      <c r="W11" s="20">
        <f>'IS(Y)'!AC47</f>
        <v>203.28365166118817</v>
      </c>
      <c r="X11" s="20">
        <f>'IS(Y)'!AD47</f>
        <v>76.734906280882313</v>
      </c>
      <c r="Y11" s="1824">
        <f>X11</f>
        <v>76.734906280882313</v>
      </c>
      <c r="Z11" s="1"/>
      <c r="AA11" s="1"/>
      <c r="AB11" s="3"/>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2:52" ht="21" customHeight="1" thickBot="1">
      <c r="B12" s="1"/>
      <c r="C12" s="16" t="s">
        <v>37</v>
      </c>
      <c r="D12" s="97">
        <f>'IS(Y)'!J49</f>
        <v>0</v>
      </c>
      <c r="E12" s="97">
        <f>'IS(Y)'!K49</f>
        <v>0</v>
      </c>
      <c r="F12" s="97">
        <f>'IS(Y)'!L49</f>
        <v>0</v>
      </c>
      <c r="G12" s="97">
        <f>'IS(Y)'!M49</f>
        <v>0</v>
      </c>
      <c r="H12" s="97">
        <f>'IS(Y)'!N49</f>
        <v>0</v>
      </c>
      <c r="I12" s="2361">
        <f>'IS(Y)'!O51</f>
        <v>6910.75</v>
      </c>
      <c r="J12" s="18">
        <f>'IS(Y)'!P51</f>
        <v>19264.916666666664</v>
      </c>
      <c r="K12" s="18">
        <f>'IS(Y)'!Q51</f>
        <v>11540</v>
      </c>
      <c r="L12" s="18">
        <f>'IS(Y)'!R51</f>
        <v>11540</v>
      </c>
      <c r="M12" s="18">
        <f>'IS(Y)'!S51</f>
        <v>11540</v>
      </c>
      <c r="N12" s="18">
        <f>'IS(Y)'!T51</f>
        <v>17788.333333333336</v>
      </c>
      <c r="O12" s="18">
        <f>'IS(Y)'!U51</f>
        <v>9197.5</v>
      </c>
      <c r="P12" s="18">
        <f>'IS(Y)'!V51</f>
        <v>9197.5</v>
      </c>
      <c r="Q12" s="18">
        <f>'IS(Y)'!W51</f>
        <v>9197.5</v>
      </c>
      <c r="R12" s="18">
        <f>'IS(Y)'!X51</f>
        <v>15619.166666666664</v>
      </c>
      <c r="S12" s="18">
        <f>'IS(Y)'!Y51</f>
        <v>6724.9999999999991</v>
      </c>
      <c r="T12" s="18">
        <f>'IS(Y)'!Z51</f>
        <v>6724.9999999999991</v>
      </c>
      <c r="U12" s="18">
        <f>'IS(Y)'!AA51</f>
        <v>6724.9999999999991</v>
      </c>
      <c r="V12" s="18">
        <f>'IS(Y)'!AB51</f>
        <v>6724.9999999999991</v>
      </c>
      <c r="W12" s="18">
        <f>'IS(Y)'!AC51</f>
        <v>6724.9999999999991</v>
      </c>
      <c r="X12" s="18">
        <f>'IS(Y)'!AD51</f>
        <v>2241.6666666666665</v>
      </c>
      <c r="Y12" s="1830">
        <f>X12</f>
        <v>2241.6666666666665</v>
      </c>
      <c r="Z12" s="1"/>
      <c r="AA12" s="1"/>
      <c r="AB12" s="3"/>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2:52" ht="21" customHeight="1" thickBot="1">
      <c r="B13" s="1"/>
      <c r="C13" s="16" t="s">
        <v>38</v>
      </c>
      <c r="D13" s="97">
        <f>+D10+D11-D12</f>
        <v>0</v>
      </c>
      <c r="E13" s="97">
        <f t="shared" ref="E13:W13" si="2">+E10+E11-E12</f>
        <v>0</v>
      </c>
      <c r="F13" s="97">
        <f>+F10+F11-F12</f>
        <v>0</v>
      </c>
      <c r="G13" s="97">
        <f t="shared" si="2"/>
        <v>0</v>
      </c>
      <c r="H13" s="97">
        <f t="shared" si="2"/>
        <v>0</v>
      </c>
      <c r="I13" s="2361">
        <f t="shared" ref="I13" si="3">+I10+I11-I12</f>
        <v>-652.61925893875832</v>
      </c>
      <c r="J13" s="19">
        <f t="shared" si="2"/>
        <v>-13275.272923045477</v>
      </c>
      <c r="K13" s="19">
        <f t="shared" si="2"/>
        <v>-4540.8309796071462</v>
      </c>
      <c r="L13" s="19">
        <f t="shared" si="2"/>
        <v>-3772.2104685200857</v>
      </c>
      <c r="M13" s="19">
        <f t="shared" si="2"/>
        <v>-4243.4630396185048</v>
      </c>
      <c r="N13" s="19">
        <f t="shared" si="2"/>
        <v>-10263.465347692647</v>
      </c>
      <c r="O13" s="19">
        <f t="shared" si="2"/>
        <v>-967.66016749293522</v>
      </c>
      <c r="P13" s="19">
        <f t="shared" si="2"/>
        <v>690.81685672172898</v>
      </c>
      <c r="Q13" s="19">
        <f t="shared" si="2"/>
        <v>-325.52194382869857</v>
      </c>
      <c r="R13" s="19">
        <f t="shared" si="2"/>
        <v>-5561.7997075814146</v>
      </c>
      <c r="S13" s="19">
        <f t="shared" si="2"/>
        <v>2649.4098505163392</v>
      </c>
      <c r="T13" s="19">
        <f t="shared" si="2"/>
        <v>4334.7400619142509</v>
      </c>
      <c r="U13" s="19">
        <f t="shared" si="2"/>
        <v>3136.9072934286423</v>
      </c>
      <c r="V13" s="19">
        <f t="shared" si="2"/>
        <v>4848.2830197982303</v>
      </c>
      <c r="W13" s="19">
        <f t="shared" si="2"/>
        <v>3606.380161497641</v>
      </c>
      <c r="X13" s="1823">
        <f>+X10+X11-X12</f>
        <v>457006.2180302479</v>
      </c>
      <c r="Y13" s="1829">
        <f>+Y10+Y11-Y12</f>
        <v>1738.2736001906824</v>
      </c>
      <c r="Z13" s="1056">
        <f>Y13+'IS(Y)'!AD15-'IS(Y)'!AD42-'IS(Y)'!AD43</f>
        <v>457006.2180302479</v>
      </c>
      <c r="AA13" s="1"/>
      <c r="AB13" s="3"/>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2:52" ht="21" customHeight="1" thickBot="1">
      <c r="B14" s="1"/>
      <c r="C14" s="16" t="s">
        <v>39</v>
      </c>
      <c r="D14" s="97">
        <f>'IS(Y)'!J38</f>
        <v>0</v>
      </c>
      <c r="E14" s="97">
        <f>'IS(Y)'!K38</f>
        <v>0</v>
      </c>
      <c r="F14" s="97">
        <f>'IS(Y)'!L38</f>
        <v>0</v>
      </c>
      <c r="G14" s="97">
        <f>'IS(Y)'!M38</f>
        <v>0</v>
      </c>
      <c r="H14" s="97">
        <f>'IS(Y)'!N38</f>
        <v>0</v>
      </c>
      <c r="I14" s="2361">
        <f>'IS(Y)'!O40</f>
        <v>5410.0703604625005</v>
      </c>
      <c r="J14" s="18">
        <f>'IS(Y)'!P40</f>
        <v>5410.0703604625005</v>
      </c>
      <c r="K14" s="18">
        <f>'IS(Y)'!Q40</f>
        <v>5410.0703604625005</v>
      </c>
      <c r="L14" s="18">
        <f>'IS(Y)'!R40</f>
        <v>5410.0703604625005</v>
      </c>
      <c r="M14" s="18">
        <f>'IS(Y)'!S40</f>
        <v>5410.0703604625005</v>
      </c>
      <c r="N14" s="18">
        <f>'IS(Y)'!T40</f>
        <v>5410.0703604625005</v>
      </c>
      <c r="O14" s="18">
        <f>'IS(Y)'!U40</f>
        <v>5410.0703604625005</v>
      </c>
      <c r="P14" s="18">
        <f>'IS(Y)'!V40</f>
        <v>5410.0703604625005</v>
      </c>
      <c r="Q14" s="18">
        <f>'IS(Y)'!W40</f>
        <v>5410.0703604625005</v>
      </c>
      <c r="R14" s="18">
        <f>'IS(Y)'!X40</f>
        <v>5410.0703604625005</v>
      </c>
      <c r="S14" s="18">
        <f>'IS(Y)'!Y40</f>
        <v>5410.0703604625005</v>
      </c>
      <c r="T14" s="18">
        <f>'IS(Y)'!Z40</f>
        <v>5410.0703604625005</v>
      </c>
      <c r="U14" s="18">
        <f>'IS(Y)'!AA40</f>
        <v>5410.0703604625005</v>
      </c>
      <c r="V14" s="18">
        <f>'IS(Y)'!AB40</f>
        <v>5410.0703604625005</v>
      </c>
      <c r="W14" s="18">
        <f>'IS(Y)'!AC40</f>
        <v>5410.0703604625005</v>
      </c>
      <c r="X14" s="18">
        <f>'IS(Y)'!AD40</f>
        <v>1803.3567868208333</v>
      </c>
      <c r="Y14" s="1830">
        <f>X14</f>
        <v>1803.3567868208333</v>
      </c>
      <c r="Z14" s="1" t="b">
        <f>Z13=X13</f>
        <v>1</v>
      </c>
      <c r="AA14" s="1"/>
      <c r="AB14" s="3"/>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2:52" ht="21" customHeight="1" thickBot="1">
      <c r="B15" s="1"/>
      <c r="C15" s="16" t="s">
        <v>40</v>
      </c>
      <c r="D15" s="97">
        <f>D13+D14</f>
        <v>0</v>
      </c>
      <c r="E15" s="97">
        <f t="shared" ref="E15:M15" si="4">E13+E14</f>
        <v>0</v>
      </c>
      <c r="F15" s="97">
        <f t="shared" si="4"/>
        <v>0</v>
      </c>
      <c r="G15" s="97">
        <f t="shared" si="4"/>
        <v>0</v>
      </c>
      <c r="H15" s="97">
        <f>H13+H14</f>
        <v>0</v>
      </c>
      <c r="I15" s="2361">
        <f t="shared" ref="I15" si="5">I13+I14</f>
        <v>4757.4511015237422</v>
      </c>
      <c r="J15" s="19">
        <f>J13+J14</f>
        <v>-7865.2025625829765</v>
      </c>
      <c r="K15" s="19">
        <f t="shared" si="4"/>
        <v>869.23938085535428</v>
      </c>
      <c r="L15" s="19">
        <f>L13+L14</f>
        <v>1637.8598919424148</v>
      </c>
      <c r="M15" s="19">
        <f t="shared" si="4"/>
        <v>1166.6073208439957</v>
      </c>
      <c r="N15" s="19">
        <f>N13+N14</f>
        <v>-4853.3949872301464</v>
      </c>
      <c r="O15" s="19">
        <f t="shared" ref="O15:V15" si="6">O13+O14</f>
        <v>4442.4101929695653</v>
      </c>
      <c r="P15" s="19">
        <f t="shared" si="6"/>
        <v>6100.8872171842295</v>
      </c>
      <c r="Q15" s="19">
        <f t="shared" si="6"/>
        <v>5084.5484166338019</v>
      </c>
      <c r="R15" s="19">
        <f t="shared" si="6"/>
        <v>-151.72934711891412</v>
      </c>
      <c r="S15" s="19">
        <f t="shared" si="6"/>
        <v>8059.4802109788398</v>
      </c>
      <c r="T15" s="19">
        <f t="shared" si="6"/>
        <v>9744.8104223767514</v>
      </c>
      <c r="U15" s="19">
        <f t="shared" si="6"/>
        <v>8546.9776538911428</v>
      </c>
      <c r="V15" s="19">
        <f t="shared" si="6"/>
        <v>10258.353380260731</v>
      </c>
      <c r="W15" s="19">
        <f>W13+W14</f>
        <v>9016.4505219601415</v>
      </c>
      <c r="X15" s="1823">
        <f>X13+X14</f>
        <v>458809.5748170687</v>
      </c>
      <c r="Y15" s="1829">
        <f>Y13+Y14</f>
        <v>3541.6303870115157</v>
      </c>
      <c r="Z15" s="1"/>
      <c r="AA15" s="1"/>
      <c r="AB15" s="3"/>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2:52" s="21" customFormat="1" ht="21" customHeight="1" thickBot="1">
      <c r="C16" s="22" t="s">
        <v>41</v>
      </c>
      <c r="D16" s="1906" t="b">
        <f>ROUND(D15,)=ROUND('IS(Y)'!J134,)</f>
        <v>1</v>
      </c>
      <c r="E16" s="1906" t="b">
        <f>ROUND(E15,)=ROUND('IS(Y)'!K134,)</f>
        <v>1</v>
      </c>
      <c r="F16" s="1906" t="b">
        <f>ROUND(F15,)=ROUND('IS(Y)'!L134,)</f>
        <v>1</v>
      </c>
      <c r="G16" s="1906" t="b">
        <f>ROUND(G15,)=ROUND('IS(Y)'!M134,)</f>
        <v>1</v>
      </c>
      <c r="H16" s="1906" t="b">
        <f>ROUND(H15,)=ROUND('IS(Y)'!N134,)</f>
        <v>1</v>
      </c>
      <c r="I16" s="2363" t="b">
        <f>ROUND(I15,)=ROUND('IS(Y)'!O134,)</f>
        <v>0</v>
      </c>
      <c r="J16" s="23" t="b">
        <f>ROUND(J15,)=ROUND('IS(Y)'!P162,)</f>
        <v>1</v>
      </c>
      <c r="K16" s="23" t="b">
        <f>ROUND(K15,)=ROUND('IS(Y)'!Q162,)</f>
        <v>1</v>
      </c>
      <c r="L16" s="23" t="b">
        <f>ROUND(L15,)=ROUND('IS(Y)'!R162,)</f>
        <v>1</v>
      </c>
      <c r="M16" s="23" t="b">
        <f>ROUND(M15,)=ROUND('IS(Y)'!S162,)</f>
        <v>1</v>
      </c>
      <c r="N16" s="23" t="b">
        <f>ROUND(N15,)=ROUND('IS(Y)'!T162,)</f>
        <v>1</v>
      </c>
      <c r="O16" s="23" t="b">
        <f>ROUND(O15,)=ROUND('IS(Y)'!U162,)</f>
        <v>1</v>
      </c>
      <c r="P16" s="23" t="b">
        <f>ROUND(P15,)=ROUND('IS(Y)'!V162,)</f>
        <v>1</v>
      </c>
      <c r="Q16" s="23" t="b">
        <f>ROUND(Q15,)=ROUND('IS(Y)'!W162,)</f>
        <v>1</v>
      </c>
      <c r="R16" s="23" t="b">
        <f>ROUND(R15,)=ROUND('IS(Y)'!X162,)</f>
        <v>1</v>
      </c>
      <c r="S16" s="23" t="b">
        <f>ROUND(S15,)=ROUND('IS(Y)'!Y162,)</f>
        <v>1</v>
      </c>
      <c r="T16" s="23" t="b">
        <f>ROUND(T15,)=ROUND('IS(Y)'!Z162,)</f>
        <v>1</v>
      </c>
      <c r="U16" s="23" t="b">
        <f>ROUND(U15,)=ROUND('IS(Y)'!AA162,)</f>
        <v>1</v>
      </c>
      <c r="V16" s="23" t="b">
        <f>ROUND(V15,)=ROUND('IS(Y)'!AB162,)</f>
        <v>1</v>
      </c>
      <c r="W16" s="23" t="b">
        <f>ROUND(W15,)=ROUND('IS(Y)'!AC162,)</f>
        <v>1</v>
      </c>
      <c r="X16" s="23" t="b">
        <f>ROUND(X15,)=ROUND('IS(Y)'!AD162,)</f>
        <v>0</v>
      </c>
      <c r="Y16" s="1831">
        <f>'IS(Y)'!AD134</f>
        <v>0</v>
      </c>
      <c r="Z16" s="2367" t="s">
        <v>2201</v>
      </c>
      <c r="AB16" s="3"/>
      <c r="AC16" s="1"/>
    </row>
    <row r="17" spans="2:34" ht="21" customHeight="1" thickBot="1">
      <c r="B17" s="1"/>
      <c r="C17" s="24" t="s">
        <v>42</v>
      </c>
      <c r="D17" s="1905">
        <f>RE!J89</f>
        <v>0</v>
      </c>
      <c r="E17" s="1905">
        <f>RE!K89</f>
        <v>0</v>
      </c>
      <c r="F17" s="1905">
        <f>RE!L89</f>
        <v>0</v>
      </c>
      <c r="G17" s="1905">
        <f>RE!M89</f>
        <v>0</v>
      </c>
      <c r="H17" s="1905">
        <f>RE!N89</f>
        <v>0</v>
      </c>
      <c r="I17" s="2362">
        <f>RE!O89</f>
        <v>4860</v>
      </c>
      <c r="J17" s="25">
        <f>RE!P89</f>
        <v>4860</v>
      </c>
      <c r="K17" s="25">
        <f>RE!Q89</f>
        <v>4860.0000000000009</v>
      </c>
      <c r="L17" s="25">
        <f>RE!R89</f>
        <v>4860.0000000000009</v>
      </c>
      <c r="M17" s="25">
        <f>RE!S89</f>
        <v>4860.0000000000009</v>
      </c>
      <c r="N17" s="25">
        <f>RE!T89</f>
        <v>5943</v>
      </c>
      <c r="O17" s="25">
        <f>RE!U89</f>
        <v>5943</v>
      </c>
      <c r="P17" s="25">
        <f>RE!V89</f>
        <v>6100.8872171842304</v>
      </c>
      <c r="Q17" s="25">
        <f>RE!W89</f>
        <v>5943</v>
      </c>
      <c r="R17" s="25">
        <f>RE!X89</f>
        <v>5943.0000000000009</v>
      </c>
      <c r="S17" s="25">
        <f>RE!Y89</f>
        <v>8059.4802109788416</v>
      </c>
      <c r="T17" s="25">
        <f>RE!Z89</f>
        <v>9744.8104223767532</v>
      </c>
      <c r="U17" s="25">
        <f>RE!AA89</f>
        <v>8546.9776538911428</v>
      </c>
      <c r="V17" s="25">
        <f>RE!AB89</f>
        <v>10258.353380260729</v>
      </c>
      <c r="W17" s="25">
        <f>RE!AC89</f>
        <v>9016.4505219601433</v>
      </c>
      <c r="X17" s="1825">
        <f>RE!AD89</f>
        <v>3541.6303870114962</v>
      </c>
      <c r="Y17" s="1832"/>
      <c r="Z17" s="2367" t="s">
        <v>2201</v>
      </c>
      <c r="AA17" s="1"/>
      <c r="AB17" s="3"/>
      <c r="AC17" s="27" t="s">
        <v>43</v>
      </c>
      <c r="AD17" s="28"/>
      <c r="AE17" s="28"/>
      <c r="AF17" s="28"/>
      <c r="AG17" s="28"/>
      <c r="AH17" s="28"/>
    </row>
    <row r="18" spans="2:34" ht="21" customHeight="1" thickBot="1">
      <c r="B18" s="1"/>
      <c r="C18" s="24" t="s">
        <v>44</v>
      </c>
      <c r="D18" s="1905">
        <f>RE!J129</f>
        <v>0</v>
      </c>
      <c r="E18" s="1905">
        <f>RE!K129</f>
        <v>0</v>
      </c>
      <c r="F18" s="1905">
        <f>RE!L129</f>
        <v>0</v>
      </c>
      <c r="G18" s="1905">
        <f>RE!M129</f>
        <v>0</v>
      </c>
      <c r="H18" s="1905">
        <f>RE!N129</f>
        <v>0</v>
      </c>
      <c r="I18" s="2362">
        <f>RE!O129</f>
        <v>0</v>
      </c>
      <c r="J18" s="25">
        <f>RE!P129</f>
        <v>0</v>
      </c>
      <c r="K18" s="25">
        <f>RE!Q129</f>
        <v>0</v>
      </c>
      <c r="L18" s="25">
        <f>RE!R129</f>
        <v>0</v>
      </c>
      <c r="M18" s="25">
        <f>RE!S129</f>
        <v>0</v>
      </c>
      <c r="N18" s="25">
        <f>RE!T129</f>
        <v>0</v>
      </c>
      <c r="O18" s="25">
        <f>RE!U129</f>
        <v>0</v>
      </c>
      <c r="P18" s="25">
        <f>RE!V129</f>
        <v>0</v>
      </c>
      <c r="Q18" s="25">
        <f>RE!W129</f>
        <v>0</v>
      </c>
      <c r="R18" s="25">
        <f>RE!X129</f>
        <v>0</v>
      </c>
      <c r="S18" s="25">
        <f>RE!Y129</f>
        <v>0</v>
      </c>
      <c r="T18" s="25">
        <f>RE!Z129</f>
        <v>0</v>
      </c>
      <c r="U18" s="25">
        <f>RE!AA129</f>
        <v>0</v>
      </c>
      <c r="V18" s="25">
        <f>RE!AB129</f>
        <v>0</v>
      </c>
      <c r="W18" s="25">
        <f>RE!AC129</f>
        <v>0</v>
      </c>
      <c r="X18" s="1825">
        <f>RE!AD129</f>
        <v>0</v>
      </c>
      <c r="Y18" s="1832"/>
      <c r="Z18" s="2370" t="s">
        <v>2202</v>
      </c>
      <c r="AA18" s="1"/>
      <c r="AB18" s="3"/>
      <c r="AC18" s="27"/>
      <c r="AD18" s="28"/>
      <c r="AE18" s="28"/>
      <c r="AF18" s="28"/>
      <c r="AG18" s="28"/>
      <c r="AH18" s="28"/>
    </row>
    <row r="19" spans="2:34" ht="21" customHeight="1" thickBot="1">
      <c r="B19" s="1"/>
      <c r="C19" s="24" t="s">
        <v>45</v>
      </c>
      <c r="D19" s="1905">
        <f>RE!J107</f>
        <v>0</v>
      </c>
      <c r="E19" s="1905">
        <f>RE!K107</f>
        <v>0</v>
      </c>
      <c r="F19" s="1905">
        <f>RE!L107</f>
        <v>0</v>
      </c>
      <c r="G19" s="1905">
        <f>RE!M107</f>
        <v>0</v>
      </c>
      <c r="H19" s="1905">
        <f>RE!N107</f>
        <v>0</v>
      </c>
      <c r="I19" s="2362">
        <f>RE!O107</f>
        <v>4860</v>
      </c>
      <c r="J19" s="25">
        <f>RE!P107</f>
        <v>4860</v>
      </c>
      <c r="K19" s="25">
        <f>RE!Q107</f>
        <v>4860.0000000000009</v>
      </c>
      <c r="L19" s="25">
        <f>RE!R107</f>
        <v>4860.0000000000009</v>
      </c>
      <c r="M19" s="25">
        <f>RE!S107</f>
        <v>4860.0000000000009</v>
      </c>
      <c r="N19" s="25">
        <f>RE!T107</f>
        <v>5943</v>
      </c>
      <c r="O19" s="25">
        <f>RE!U107</f>
        <v>5943</v>
      </c>
      <c r="P19" s="25">
        <f>RE!V107</f>
        <v>6100.8872171842304</v>
      </c>
      <c r="Q19" s="25">
        <f>RE!W107</f>
        <v>5943</v>
      </c>
      <c r="R19" s="25">
        <f>RE!X107</f>
        <v>5943.0000000000009</v>
      </c>
      <c r="S19" s="25">
        <f>RE!Y107</f>
        <v>8059.4802109788416</v>
      </c>
      <c r="T19" s="25">
        <f>RE!Z107</f>
        <v>9744.8104223767532</v>
      </c>
      <c r="U19" s="25">
        <f>RE!AA107</f>
        <v>8546.9776538911428</v>
      </c>
      <c r="V19" s="25">
        <f>RE!AB107</f>
        <v>10258.353380260729</v>
      </c>
      <c r="W19" s="25">
        <f>RE!AC107</f>
        <v>9016.4505219601433</v>
      </c>
      <c r="X19" s="1825">
        <f>RE!AD107</f>
        <v>3541.6303870114962</v>
      </c>
      <c r="Y19" s="1832"/>
      <c r="Z19" s="1"/>
      <c r="AA19" s="1"/>
      <c r="AB19" s="3"/>
      <c r="AC19" s="27"/>
      <c r="AD19" s="28"/>
      <c r="AE19" s="28"/>
      <c r="AF19" s="28"/>
      <c r="AG19" s="28"/>
      <c r="AH19" s="28"/>
    </row>
    <row r="20" spans="2:34" ht="21" customHeight="1" thickBot="1">
      <c r="B20" s="1"/>
      <c r="C20" s="24" t="s">
        <v>46</v>
      </c>
      <c r="D20" s="1907" t="b">
        <f>D17=D18+D19</f>
        <v>1</v>
      </c>
      <c r="E20" s="1907" t="b">
        <f>E17=E18+E19</f>
        <v>1</v>
      </c>
      <c r="F20" s="1907" t="b">
        <f t="shared" ref="F20:K20" si="7">F17=F18+F19</f>
        <v>1</v>
      </c>
      <c r="G20" s="1907" t="b">
        <f>G17=G18+G19</f>
        <v>1</v>
      </c>
      <c r="H20" s="1907" t="b">
        <f t="shared" si="7"/>
        <v>1</v>
      </c>
      <c r="I20" s="2364" t="b">
        <f t="shared" ref="I20" si="8">I17=I18+I19</f>
        <v>1</v>
      </c>
      <c r="J20" s="26" t="b">
        <f>J17=J18+J19</f>
        <v>1</v>
      </c>
      <c r="K20" s="26" t="b">
        <f t="shared" si="7"/>
        <v>1</v>
      </c>
      <c r="L20" s="26" t="b">
        <f>L17=L18+L19</f>
        <v>1</v>
      </c>
      <c r="M20" s="26" t="b">
        <f>M17=M18+M19</f>
        <v>1</v>
      </c>
      <c r="N20" s="26" t="b">
        <f>N17=N18+N19</f>
        <v>1</v>
      </c>
      <c r="O20" s="26" t="b">
        <f t="shared" ref="O20:P20" si="9">O17=O18+O19</f>
        <v>1</v>
      </c>
      <c r="P20" s="26" t="b">
        <f t="shared" si="9"/>
        <v>1</v>
      </c>
      <c r="Q20" s="26" t="b">
        <f>Q17=Q18+Q19</f>
        <v>1</v>
      </c>
      <c r="R20" s="26" t="b">
        <f t="shared" ref="R20:S20" si="10">R17=R18+R19</f>
        <v>1</v>
      </c>
      <c r="S20" s="26" t="b">
        <f t="shared" si="10"/>
        <v>1</v>
      </c>
      <c r="T20" s="26" t="b">
        <f>T17=T18+T19</f>
        <v>1</v>
      </c>
      <c r="U20" s="26" t="b">
        <f>U17=U18+U19</f>
        <v>1</v>
      </c>
      <c r="V20" s="26" t="b">
        <f>V17=V18+V19</f>
        <v>1</v>
      </c>
      <c r="W20" s="26" t="b">
        <f>W17=W18+W19</f>
        <v>1</v>
      </c>
      <c r="X20" s="26" t="b">
        <f>X17=X18+X19</f>
        <v>1</v>
      </c>
      <c r="Y20" s="1832"/>
      <c r="Z20" s="2367" t="s">
        <v>2201</v>
      </c>
      <c r="AA20" s="1"/>
      <c r="AB20" s="3"/>
      <c r="AC20" s="27"/>
      <c r="AD20" s="28"/>
      <c r="AE20" s="28"/>
      <c r="AF20" s="28"/>
      <c r="AG20" s="28"/>
      <c r="AH20" s="28"/>
    </row>
    <row r="21" spans="2:34" ht="21" customHeight="1" thickBot="1">
      <c r="B21" s="1"/>
      <c r="C21" s="29"/>
      <c r="D21" s="2418" t="s">
        <v>1136</v>
      </c>
      <c r="E21" s="2419"/>
      <c r="F21" s="2419"/>
      <c r="G21" s="2419"/>
      <c r="H21" s="2419"/>
      <c r="I21" s="2419"/>
      <c r="J21" s="2419"/>
      <c r="K21" s="2419"/>
      <c r="L21" s="2419"/>
      <c r="M21" s="2419"/>
      <c r="N21" s="30"/>
      <c r="O21" s="1"/>
      <c r="P21" s="1"/>
      <c r="Q21" s="1"/>
      <c r="R21" s="1"/>
      <c r="S21" s="1"/>
      <c r="T21" s="1"/>
      <c r="U21" s="1"/>
      <c r="V21" s="1"/>
      <c r="W21" s="1"/>
      <c r="X21" s="1056">
        <f>'IS(Y)'!AD162</f>
        <v>3541.6303870114962</v>
      </c>
      <c r="Y21" s="1"/>
      <c r="Z21" s="1"/>
      <c r="AA21" s="1"/>
      <c r="AB21" s="3"/>
      <c r="AC21" s="28"/>
      <c r="AD21" s="28"/>
      <c r="AE21" s="28"/>
      <c r="AF21" s="28"/>
      <c r="AG21" s="28"/>
      <c r="AH21" s="28"/>
    </row>
    <row r="22" spans="2:34" ht="21" customHeight="1">
      <c r="B22" s="31"/>
      <c r="C22" s="2420" t="s">
        <v>47</v>
      </c>
      <c r="D22" s="2420"/>
      <c r="E22" s="2420"/>
      <c r="F22" s="2420"/>
      <c r="G22" s="2420"/>
      <c r="H22" s="2420"/>
      <c r="I22" s="32"/>
      <c r="J22" s="32"/>
      <c r="K22" s="32"/>
      <c r="L22" s="32"/>
      <c r="M22" s="32"/>
      <c r="N22" s="32"/>
      <c r="O22" s="32"/>
      <c r="P22" s="1"/>
      <c r="Q22" s="1"/>
      <c r="R22" s="1" t="b">
        <f>R15='IS(Y)'!X134</f>
        <v>0</v>
      </c>
      <c r="S22" s="1" t="b">
        <f>S15='IS(Y)'!Y134</f>
        <v>0</v>
      </c>
      <c r="T22" s="1" t="b">
        <f>T15='IS(Y)'!Z134</f>
        <v>0</v>
      </c>
      <c r="U22" s="1" t="b">
        <f>U15='IS(Y)'!AA134</f>
        <v>0</v>
      </c>
      <c r="V22" s="1" t="b">
        <f>V15='IS(Y)'!AB134</f>
        <v>0</v>
      </c>
      <c r="W22" s="1" t="b">
        <f>W15='IS(Y)'!AC134</f>
        <v>0</v>
      </c>
      <c r="X22" s="1"/>
      <c r="Y22" s="1"/>
      <c r="Z22" s="1"/>
      <c r="AA22" s="1"/>
      <c r="AB22" s="3"/>
      <c r="AC22" s="33"/>
      <c r="AD22" s="28"/>
      <c r="AE22" s="28"/>
      <c r="AF22" s="28"/>
      <c r="AG22" s="28"/>
      <c r="AH22" s="28"/>
    </row>
    <row r="23" spans="2:34" ht="21" customHeight="1">
      <c r="B23" s="28"/>
      <c r="C23" s="2420" t="s">
        <v>48</v>
      </c>
      <c r="D23" s="2420"/>
      <c r="E23" s="2420"/>
      <c r="F23" s="2420"/>
      <c r="G23" s="2420"/>
      <c r="H23" s="2420"/>
      <c r="I23" s="32"/>
      <c r="J23" s="32"/>
      <c r="K23" s="32"/>
      <c r="L23" s="32"/>
      <c r="M23" s="32"/>
      <c r="N23" s="32"/>
      <c r="O23" s="32" t="s">
        <v>1205</v>
      </c>
      <c r="P23" s="1"/>
      <c r="Q23" s="1"/>
      <c r="R23" s="1"/>
      <c r="S23" s="1"/>
      <c r="T23" s="1"/>
      <c r="U23" s="1"/>
      <c r="V23" s="1"/>
      <c r="W23" s="1"/>
      <c r="X23" s="1"/>
      <c r="Y23" s="1"/>
      <c r="Z23" s="1"/>
      <c r="AA23" s="1"/>
      <c r="AB23" s="3"/>
      <c r="AC23" s="28"/>
      <c r="AD23" s="28"/>
      <c r="AE23" s="28"/>
      <c r="AF23" s="28"/>
      <c r="AG23" s="28"/>
      <c r="AH23" s="28"/>
    </row>
    <row r="24" spans="2:34" ht="21" customHeight="1">
      <c r="B24" s="28"/>
      <c r="C24" s="2420" t="s">
        <v>49</v>
      </c>
      <c r="D24" s="2420"/>
      <c r="E24" s="2420"/>
      <c r="F24" s="2420"/>
      <c r="G24" s="2420"/>
      <c r="H24" s="2420"/>
      <c r="I24" s="32"/>
      <c r="J24" s="32"/>
      <c r="K24" s="32"/>
      <c r="L24" s="32"/>
      <c r="M24" s="32"/>
      <c r="N24" s="32"/>
      <c r="O24" s="32"/>
      <c r="P24" s="1"/>
      <c r="Q24" s="1"/>
      <c r="R24" s="1"/>
      <c r="S24" s="1"/>
      <c r="T24" s="1"/>
      <c r="U24" s="1"/>
      <c r="V24" s="1"/>
      <c r="W24" s="1"/>
      <c r="X24" s="1"/>
      <c r="Y24" s="1"/>
      <c r="Z24" s="1"/>
      <c r="AA24" s="1"/>
      <c r="AB24" s="3"/>
      <c r="AC24" s="34" t="s">
        <v>50</v>
      </c>
      <c r="AD24" s="35"/>
      <c r="AE24" s="36" t="s">
        <v>51</v>
      </c>
      <c r="AF24" s="28"/>
      <c r="AG24" s="28"/>
      <c r="AH24" s="28"/>
    </row>
    <row r="25" spans="2:34" ht="21" customHeight="1">
      <c r="B25" s="28"/>
      <c r="C25" s="2420" t="s">
        <v>52</v>
      </c>
      <c r="D25" s="2420"/>
      <c r="E25" s="2420"/>
      <c r="F25" s="2420"/>
      <c r="G25" s="2420"/>
      <c r="H25" s="2420"/>
      <c r="I25" s="32"/>
      <c r="J25" s="32"/>
      <c r="K25" s="32"/>
      <c r="L25" s="32"/>
      <c r="M25" s="32"/>
      <c r="N25" s="32"/>
      <c r="O25" s="32"/>
      <c r="P25" s="1"/>
      <c r="Q25" s="1"/>
      <c r="R25" s="1"/>
      <c r="S25" s="1"/>
      <c r="T25" s="1"/>
      <c r="U25" s="1"/>
      <c r="V25" s="1"/>
      <c r="W25" s="1"/>
      <c r="X25" s="1"/>
      <c r="Y25" s="1"/>
      <c r="Z25" s="1"/>
      <c r="AA25" s="1"/>
      <c r="AB25" s="3"/>
      <c r="AC25" s="37"/>
      <c r="AD25" s="35">
        <v>138745.66666666666</v>
      </c>
      <c r="AE25" s="38">
        <v>138745.66666666666</v>
      </c>
      <c r="AF25" s="28"/>
      <c r="AG25" s="28"/>
      <c r="AH25" s="28"/>
    </row>
    <row r="26" spans="2:34" ht="21" customHeight="1">
      <c r="B26" s="1"/>
      <c r="C26" s="39"/>
      <c r="D26" s="1"/>
      <c r="E26" s="1"/>
      <c r="F26" s="1"/>
      <c r="G26" s="1"/>
      <c r="H26" s="1"/>
      <c r="I26" s="1"/>
      <c r="J26" s="1"/>
      <c r="K26" s="1"/>
      <c r="L26" s="1"/>
      <c r="M26" s="1"/>
      <c r="N26" s="1"/>
      <c r="O26" s="1"/>
      <c r="P26" s="1"/>
      <c r="Q26" s="1"/>
      <c r="R26" s="1"/>
      <c r="S26" s="1"/>
      <c r="T26" s="1"/>
      <c r="U26" s="1"/>
      <c r="V26" s="1"/>
      <c r="W26" s="1"/>
      <c r="X26" s="1"/>
      <c r="Y26" s="1"/>
      <c r="Z26" s="1"/>
      <c r="AA26" s="1"/>
      <c r="AB26" s="3"/>
      <c r="AC26" s="37"/>
      <c r="AD26" s="35"/>
      <c r="AE26" s="37"/>
      <c r="AF26" s="28"/>
      <c r="AG26" s="28"/>
      <c r="AH26" s="28"/>
    </row>
    <row r="27" spans="2:34" ht="21" customHeight="1">
      <c r="B27" s="1"/>
      <c r="C27" s="2417" t="s">
        <v>53</v>
      </c>
      <c r="D27" s="2417"/>
      <c r="E27" s="2417"/>
      <c r="F27" s="2417"/>
      <c r="G27" s="2417"/>
      <c r="H27" s="2417"/>
      <c r="I27" s="40"/>
      <c r="J27" s="40"/>
      <c r="K27" s="40"/>
      <c r="L27" s="40"/>
      <c r="M27" s="40"/>
      <c r="N27" s="40"/>
      <c r="O27" s="40"/>
      <c r="P27" s="1"/>
      <c r="Q27" s="1"/>
      <c r="R27" s="1"/>
      <c r="S27" s="1"/>
      <c r="T27" s="1"/>
      <c r="U27" s="1"/>
      <c r="V27" s="1"/>
      <c r="W27" s="1"/>
      <c r="X27" s="1"/>
      <c r="Y27" s="1"/>
      <c r="Z27" s="1"/>
      <c r="AA27" s="1"/>
      <c r="AB27" s="3"/>
      <c r="AC27" s="34" t="s">
        <v>54</v>
      </c>
      <c r="AD27" s="28"/>
      <c r="AE27" s="28"/>
      <c r="AF27" s="28"/>
      <c r="AG27" s="28"/>
      <c r="AH27" s="28"/>
    </row>
    <row r="28" spans="2:34" ht="21" customHeight="1" thickBot="1">
      <c r="B28" s="1"/>
      <c r="C28" s="39"/>
      <c r="D28" s="86" t="s">
        <v>1203</v>
      </c>
      <c r="E28" s="1"/>
      <c r="F28" s="1"/>
      <c r="G28" s="1"/>
      <c r="H28" s="1"/>
      <c r="I28" s="1"/>
      <c r="J28" s="1"/>
      <c r="K28" s="1"/>
      <c r="L28" s="1"/>
      <c r="M28" s="1"/>
      <c r="N28" s="1"/>
      <c r="O28" s="1"/>
      <c r="P28" s="1"/>
      <c r="Q28" s="1"/>
      <c r="R28" s="1"/>
      <c r="S28" s="1"/>
      <c r="T28" s="1"/>
      <c r="U28" s="1"/>
      <c r="V28" s="1"/>
      <c r="W28" s="1"/>
      <c r="X28" s="1"/>
      <c r="Y28" s="1"/>
      <c r="Z28" s="1"/>
      <c r="AA28" s="1"/>
      <c r="AB28" s="3"/>
      <c r="AC28" s="37"/>
      <c r="AD28" s="35">
        <v>5132.8670785562244</v>
      </c>
      <c r="AE28" s="38">
        <v>5132.8670785562244</v>
      </c>
      <c r="AF28" s="28"/>
      <c r="AG28" s="28"/>
      <c r="AH28" s="28"/>
    </row>
    <row r="29" spans="2:34" ht="21" customHeight="1" thickBot="1">
      <c r="B29" s="1"/>
      <c r="C29" s="41" t="s">
        <v>31</v>
      </c>
      <c r="D29" s="42">
        <f>RE!W7</f>
        <v>46873</v>
      </c>
      <c r="E29" s="2424" t="s">
        <v>55</v>
      </c>
      <c r="F29" s="2425"/>
      <c r="G29" s="2425"/>
      <c r="H29" s="2426"/>
      <c r="I29" s="43"/>
      <c r="J29" s="43"/>
      <c r="K29" s="43"/>
      <c r="L29" s="43"/>
      <c r="M29" s="43"/>
      <c r="N29" s="43"/>
      <c r="O29" s="43"/>
      <c r="P29" s="1"/>
      <c r="Q29" s="1"/>
      <c r="R29" s="1"/>
      <c r="S29" s="1"/>
      <c r="T29" s="1"/>
      <c r="U29" s="1"/>
      <c r="V29" s="1"/>
      <c r="W29" s="1"/>
      <c r="X29" s="1"/>
      <c r="Y29" s="1"/>
      <c r="Z29" s="1"/>
      <c r="AA29" s="1"/>
      <c r="AB29" s="3"/>
      <c r="AC29" s="28"/>
      <c r="AD29" s="28">
        <v>143878.53374522287</v>
      </c>
      <c r="AE29" s="37">
        <f>AE25+AE28</f>
        <v>143878.53374522287</v>
      </c>
      <c r="AF29" s="37" t="b">
        <v>1</v>
      </c>
      <c r="AG29" s="28"/>
      <c r="AH29" s="28"/>
    </row>
    <row r="30" spans="2:34" ht="21" customHeight="1" thickBot="1">
      <c r="B30" s="1856" t="s">
        <v>1204</v>
      </c>
      <c r="C30" s="41" t="s">
        <v>56</v>
      </c>
      <c r="D30" s="44">
        <f>처분!O50</f>
        <v>520949.87540410669</v>
      </c>
      <c r="E30" s="2421" t="s">
        <v>57</v>
      </c>
      <c r="F30" s="2422"/>
      <c r="G30" s="2422"/>
      <c r="H30" s="2423"/>
      <c r="I30" s="45"/>
      <c r="J30" s="45"/>
      <c r="K30" s="45"/>
      <c r="L30" s="45"/>
      <c r="M30" s="45"/>
      <c r="N30" s="45"/>
      <c r="O30" s="45"/>
      <c r="P30" s="1"/>
      <c r="Q30" s="1"/>
      <c r="R30" s="1"/>
      <c r="S30" s="1"/>
      <c r="T30" s="1"/>
      <c r="U30" s="1"/>
      <c r="V30" s="1"/>
      <c r="W30" s="1"/>
      <c r="X30" s="1"/>
      <c r="Y30" s="1"/>
      <c r="Z30" s="1"/>
      <c r="AA30" s="1"/>
      <c r="AB30" s="3"/>
      <c r="AC30" s="46" t="s">
        <v>58</v>
      </c>
      <c r="AD30" s="28"/>
      <c r="AE30" s="28"/>
      <c r="AF30" s="34" t="s">
        <v>59</v>
      </c>
      <c r="AG30" s="28"/>
      <c r="AH30" s="28"/>
    </row>
    <row r="31" spans="2:34" ht="21" customHeight="1" thickBot="1">
      <c r="B31" s="1"/>
      <c r="C31" s="47" t="s">
        <v>60</v>
      </c>
      <c r="D31" s="1816">
        <f>처분!O53</f>
        <v>5836.7768919967421</v>
      </c>
      <c r="E31" s="2421" t="s">
        <v>61</v>
      </c>
      <c r="F31" s="2422"/>
      <c r="G31" s="2422"/>
      <c r="H31" s="2423"/>
      <c r="I31" s="45"/>
      <c r="J31" s="45"/>
      <c r="K31" s="45"/>
      <c r="L31" s="45"/>
      <c r="M31" s="45"/>
      <c r="N31" s="45"/>
      <c r="O31" s="45"/>
      <c r="P31" s="1"/>
      <c r="Q31" s="1"/>
      <c r="R31" s="1"/>
      <c r="S31" s="1"/>
      <c r="T31" s="1"/>
      <c r="U31" s="1"/>
      <c r="V31" s="1"/>
      <c r="W31" s="1"/>
      <c r="X31" s="1"/>
      <c r="Y31" s="1"/>
      <c r="Z31" s="1"/>
      <c r="AA31" s="1"/>
      <c r="AB31" s="3"/>
      <c r="AC31" s="48" t="s">
        <v>62</v>
      </c>
      <c r="AD31" s="49"/>
      <c r="AE31" s="28"/>
      <c r="AF31" s="28"/>
      <c r="AG31" s="28"/>
      <c r="AH31" s="28"/>
    </row>
    <row r="32" spans="2:34" ht="21" customHeight="1" thickBot="1">
      <c r="B32" s="1"/>
      <c r="C32" s="47" t="s">
        <v>63</v>
      </c>
      <c r="D32" s="44">
        <f>처분!O54</f>
        <v>59845.154082052737</v>
      </c>
      <c r="E32" s="2421" t="s">
        <v>64</v>
      </c>
      <c r="F32" s="2422"/>
      <c r="G32" s="2422"/>
      <c r="H32" s="2423"/>
      <c r="I32" s="45"/>
      <c r="J32" s="45"/>
      <c r="K32" s="45"/>
      <c r="L32" s="45"/>
      <c r="M32" s="45"/>
      <c r="N32" s="45"/>
      <c r="O32" s="45"/>
      <c r="P32" s="1"/>
      <c r="Q32" s="1"/>
      <c r="R32" s="1"/>
      <c r="S32" s="1"/>
      <c r="T32" s="1"/>
      <c r="U32" s="1"/>
      <c r="V32" s="1"/>
      <c r="W32" s="1"/>
      <c r="X32" s="1"/>
      <c r="Y32" s="1"/>
      <c r="Z32" s="1"/>
      <c r="AA32" s="1"/>
      <c r="AB32" s="3"/>
      <c r="AC32" s="48" t="s">
        <v>65</v>
      </c>
      <c r="AD32" s="50">
        <v>86000000000</v>
      </c>
      <c r="AE32" s="28"/>
      <c r="AF32" s="28"/>
      <c r="AG32" s="28"/>
      <c r="AH32" s="28"/>
    </row>
    <row r="33" spans="1:52" ht="21" customHeight="1" thickBot="1">
      <c r="B33" s="1"/>
      <c r="C33" s="47" t="s">
        <v>66</v>
      </c>
      <c r="D33" s="1818">
        <f>+D30-D31-D32</f>
        <v>455267.94443005719</v>
      </c>
      <c r="E33" s="2421" t="b">
        <f>D33=처분!U48</f>
        <v>1</v>
      </c>
      <c r="F33" s="2422"/>
      <c r="G33" s="2422"/>
      <c r="H33" s="2423"/>
      <c r="I33" s="45"/>
      <c r="J33" s="45"/>
      <c r="K33" s="45"/>
      <c r="L33" s="45"/>
      <c r="M33" s="45"/>
      <c r="N33" s="45"/>
      <c r="O33" s="45"/>
      <c r="P33" s="1"/>
      <c r="Q33" s="1"/>
      <c r="R33" s="1"/>
      <c r="S33" s="1"/>
      <c r="T33" s="1"/>
      <c r="U33" s="1"/>
      <c r="V33" s="1"/>
      <c r="W33" s="1"/>
      <c r="X33" s="1"/>
      <c r="Y33" s="1"/>
      <c r="Z33" s="1"/>
      <c r="AA33" s="1"/>
      <c r="AB33" s="3"/>
      <c r="AC33" s="48" t="s">
        <v>68</v>
      </c>
      <c r="AD33" s="50">
        <v>50000</v>
      </c>
      <c r="AE33" s="28"/>
      <c r="AF33" s="28"/>
      <c r="AG33" s="28"/>
      <c r="AH33" s="28"/>
      <c r="AI33" s="1"/>
      <c r="AJ33" s="1"/>
      <c r="AK33" s="1"/>
      <c r="AL33" s="1"/>
      <c r="AM33" s="1"/>
      <c r="AN33" s="1"/>
      <c r="AO33" s="1"/>
      <c r="AP33" s="1"/>
      <c r="AQ33" s="1"/>
      <c r="AR33" s="1"/>
      <c r="AS33" s="1"/>
      <c r="AT33" s="1"/>
      <c r="AU33" s="1"/>
      <c r="AV33" s="1"/>
      <c r="AW33" s="1"/>
      <c r="AX33" s="1"/>
      <c r="AY33" s="1"/>
      <c r="AZ33" s="1"/>
    </row>
    <row r="34" spans="1:52" ht="21" customHeight="1" thickBot="1">
      <c r="B34" s="1"/>
      <c r="C34" s="47" t="s">
        <v>69</v>
      </c>
      <c r="D34" s="44">
        <f>처분!U49</f>
        <v>34263.778949595835</v>
      </c>
      <c r="E34" s="2421" t="s">
        <v>70</v>
      </c>
      <c r="F34" s="2422"/>
      <c r="G34" s="2422"/>
      <c r="H34" s="2423"/>
      <c r="I34" s="45"/>
      <c r="J34" s="45"/>
      <c r="K34" s="45"/>
      <c r="L34" s="45"/>
      <c r="M34" s="45"/>
      <c r="N34" s="45"/>
      <c r="O34" s="45"/>
      <c r="P34" s="1"/>
      <c r="Q34" s="1"/>
      <c r="R34" s="1"/>
      <c r="S34" s="1"/>
      <c r="T34" s="1"/>
      <c r="U34" s="1"/>
      <c r="V34" s="1"/>
      <c r="W34" s="1"/>
      <c r="X34" s="1"/>
      <c r="Y34" s="1"/>
      <c r="Z34" s="1"/>
      <c r="AA34" s="1"/>
      <c r="AB34" s="3"/>
      <c r="AC34" s="49"/>
      <c r="AD34" s="50">
        <f>AD32/AD33</f>
        <v>1720000</v>
      </c>
      <c r="AE34" s="28"/>
      <c r="AF34" s="28"/>
      <c r="AG34" s="28"/>
      <c r="AH34" s="28"/>
      <c r="AI34" s="1"/>
      <c r="AJ34" s="1"/>
      <c r="AK34" s="1"/>
      <c r="AL34" s="1"/>
      <c r="AM34" s="1"/>
      <c r="AN34" s="1"/>
      <c r="AO34" s="1"/>
      <c r="AP34" s="1"/>
      <c r="AQ34" s="1"/>
      <c r="AR34" s="1"/>
      <c r="AS34" s="1"/>
      <c r="AT34" s="1"/>
      <c r="AU34" s="1"/>
      <c r="AV34" s="1"/>
      <c r="AW34" s="1"/>
      <c r="AX34" s="1"/>
      <c r="AY34" s="1"/>
      <c r="AZ34" s="1"/>
    </row>
    <row r="35" spans="1:52" ht="21" customHeight="1" thickBot="1">
      <c r="B35" s="1"/>
      <c r="C35" s="47" t="s">
        <v>71</v>
      </c>
      <c r="D35" s="44">
        <f>처분!U50</f>
        <v>7913.9414589999942</v>
      </c>
      <c r="E35" s="2421" t="s">
        <v>67</v>
      </c>
      <c r="F35" s="2422"/>
      <c r="G35" s="2422"/>
      <c r="H35" s="2423"/>
      <c r="I35" s="45"/>
      <c r="J35" s="45"/>
      <c r="K35" s="45"/>
      <c r="L35" s="45"/>
      <c r="M35" s="45"/>
      <c r="N35" s="45"/>
      <c r="O35" s="45"/>
      <c r="P35" s="1"/>
      <c r="Q35" s="1"/>
      <c r="R35" s="1"/>
      <c r="S35" s="1"/>
      <c r="T35" s="1"/>
      <c r="U35" s="1"/>
      <c r="V35" s="1"/>
      <c r="W35" s="1"/>
      <c r="X35" s="1"/>
      <c r="Y35" s="1"/>
      <c r="Z35" s="1"/>
      <c r="AA35" s="1"/>
      <c r="AB35" s="3"/>
      <c r="AC35" s="1"/>
      <c r="AD35" s="1"/>
      <c r="AE35" s="1"/>
      <c r="AF35" s="1"/>
      <c r="AG35" s="1"/>
      <c r="AH35" s="1"/>
      <c r="AI35" s="8" t="s">
        <v>72</v>
      </c>
      <c r="AJ35" s="9"/>
      <c r="AK35" s="9"/>
      <c r="AL35" s="9"/>
      <c r="AM35" s="9"/>
      <c r="AN35" s="9"/>
      <c r="AO35" s="9"/>
      <c r="AP35" s="9"/>
      <c r="AQ35" s="9"/>
      <c r="AR35" s="9"/>
      <c r="AS35" s="9"/>
      <c r="AT35" s="9"/>
      <c r="AU35" s="9"/>
      <c r="AV35" s="9"/>
      <c r="AW35" s="9"/>
      <c r="AX35" s="9"/>
      <c r="AY35" s="9"/>
      <c r="AZ35" s="9"/>
    </row>
    <row r="36" spans="1:52" ht="21" customHeight="1" thickBot="1">
      <c r="B36" s="1"/>
      <c r="C36" s="47" t="s">
        <v>1665</v>
      </c>
      <c r="D36" s="44">
        <f>처분!U51</f>
        <v>40929.135244999998</v>
      </c>
      <c r="E36" s="51"/>
      <c r="F36" s="52"/>
      <c r="G36" s="52"/>
      <c r="H36" s="53"/>
      <c r="I36" s="45"/>
      <c r="J36" s="45"/>
      <c r="K36" s="45"/>
      <c r="L36" s="45"/>
      <c r="M36" s="45"/>
      <c r="N36" s="45"/>
      <c r="O36" s="45"/>
      <c r="P36" s="1"/>
      <c r="Q36" s="1"/>
      <c r="R36" s="1"/>
      <c r="S36" s="1"/>
      <c r="T36" s="1"/>
      <c r="U36" s="1"/>
      <c r="V36" s="1"/>
      <c r="W36" s="1"/>
      <c r="X36" s="1"/>
      <c r="Y36" s="1"/>
      <c r="Z36" s="1"/>
      <c r="AA36" s="1"/>
      <c r="AB36" s="3"/>
      <c r="AC36" s="1"/>
      <c r="AD36" s="1"/>
      <c r="AE36" s="1"/>
      <c r="AF36" s="1"/>
      <c r="AG36" s="1"/>
      <c r="AH36" s="1"/>
      <c r="AI36" s="8"/>
      <c r="AJ36" s="9"/>
      <c r="AK36" s="9"/>
      <c r="AL36" s="9"/>
      <c r="AM36" s="9"/>
      <c r="AN36" s="9"/>
      <c r="AO36" s="9"/>
      <c r="AP36" s="9"/>
      <c r="AQ36" s="9"/>
      <c r="AR36" s="9"/>
      <c r="AS36" s="9"/>
      <c r="AT36" s="9"/>
      <c r="AU36" s="9"/>
      <c r="AV36" s="9"/>
      <c r="AW36" s="9"/>
      <c r="AX36" s="9"/>
      <c r="AY36" s="9"/>
      <c r="AZ36" s="9"/>
    </row>
    <row r="37" spans="1:52" ht="21" customHeight="1" thickBot="1">
      <c r="B37" s="1"/>
      <c r="C37" s="47" t="s">
        <v>1666</v>
      </c>
      <c r="D37" s="44">
        <f>처분!U53</f>
        <v>91674.843836325672</v>
      </c>
      <c r="E37" s="51"/>
      <c r="F37" s="52"/>
      <c r="G37" s="52"/>
      <c r="H37" s="53"/>
      <c r="I37" s="1853" t="s">
        <v>1207</v>
      </c>
      <c r="J37" s="45"/>
      <c r="K37" s="45"/>
      <c r="L37" s="45"/>
      <c r="M37" s="45"/>
      <c r="N37" s="45"/>
      <c r="O37" s="45"/>
      <c r="P37" s="1"/>
      <c r="Q37" s="1"/>
      <c r="R37" s="1"/>
      <c r="S37" s="1"/>
      <c r="T37" s="1"/>
      <c r="U37" s="1"/>
      <c r="V37" s="1"/>
      <c r="W37" s="1"/>
      <c r="X37" s="1"/>
      <c r="Y37" s="1"/>
      <c r="Z37" s="1"/>
      <c r="AA37" s="1"/>
      <c r="AB37" s="3"/>
      <c r="AC37" s="1"/>
      <c r="AD37" s="1"/>
      <c r="AE37" s="1"/>
      <c r="AF37" s="1"/>
      <c r="AG37" s="1"/>
      <c r="AH37" s="1"/>
      <c r="AI37" s="8"/>
      <c r="AJ37" s="9"/>
      <c r="AK37" s="9"/>
      <c r="AL37" s="9"/>
      <c r="AM37" s="9"/>
      <c r="AN37" s="9"/>
      <c r="AO37" s="9"/>
      <c r="AP37" s="9"/>
      <c r="AQ37" s="9"/>
      <c r="AR37" s="9"/>
      <c r="AS37" s="9"/>
      <c r="AT37" s="9"/>
      <c r="AU37" s="9"/>
      <c r="AV37" s="9"/>
      <c r="AW37" s="9"/>
      <c r="AX37" s="9"/>
      <c r="AY37" s="9"/>
      <c r="AZ37" s="9"/>
    </row>
    <row r="38" spans="1:52" ht="21" customHeight="1" thickBot="1">
      <c r="A38" s="1908">
        <f>RE!AD136</f>
        <v>280486.24494013569</v>
      </c>
      <c r="B38" s="54" t="b">
        <f>D38=처분!U54</f>
        <v>1</v>
      </c>
      <c r="C38" s="47" t="s">
        <v>73</v>
      </c>
      <c r="D38" s="55">
        <f>(+D33-D34-D35-D36-D37)*(1+AH56)</f>
        <v>280486.24494013569</v>
      </c>
      <c r="E38" s="2421"/>
      <c r="F38" s="2422"/>
      <c r="G38" s="2422"/>
      <c r="H38" s="2423"/>
      <c r="I38" s="2439" t="s">
        <v>1139</v>
      </c>
      <c r="J38" s="2440"/>
      <c r="K38" s="2440"/>
      <c r="L38" s="45"/>
      <c r="M38" s="13"/>
      <c r="N38" s="13" t="s">
        <v>74</v>
      </c>
      <c r="O38" s="45"/>
      <c r="P38" s="1"/>
      <c r="Q38" s="1"/>
      <c r="R38" s="1"/>
      <c r="S38" s="1"/>
      <c r="T38" s="1"/>
      <c r="U38" s="1"/>
      <c r="V38" s="1"/>
      <c r="W38" s="1"/>
      <c r="X38" s="1"/>
      <c r="Y38" s="1"/>
      <c r="Z38" s="1"/>
      <c r="AA38" s="1"/>
      <c r="AB38" s="3"/>
      <c r="AC38" s="56" t="s">
        <v>75</v>
      </c>
      <c r="AD38" s="1"/>
      <c r="AE38" s="1"/>
      <c r="AF38" s="1"/>
      <c r="AG38" s="1"/>
      <c r="AH38" s="1"/>
      <c r="AI38" s="1"/>
      <c r="AJ38" s="1"/>
      <c r="AK38" s="1"/>
      <c r="AL38" s="1"/>
      <c r="AM38" s="1"/>
      <c r="AN38" s="1"/>
      <c r="AO38" s="1"/>
      <c r="AP38" s="1"/>
      <c r="AQ38" s="1"/>
      <c r="AR38" s="9"/>
      <c r="AS38" s="9"/>
      <c r="AT38" s="9"/>
      <c r="AU38" s="9"/>
      <c r="AV38" s="9"/>
      <c r="AW38" s="9"/>
      <c r="AX38" s="9"/>
      <c r="AY38" s="9"/>
      <c r="AZ38" s="9"/>
    </row>
    <row r="39" spans="1:52" ht="21" customHeight="1" thickBot="1">
      <c r="A39" s="1909" t="b">
        <f>A38=처분!U53</f>
        <v>0</v>
      </c>
      <c r="B39" s="1"/>
      <c r="C39" s="47" t="s">
        <v>76</v>
      </c>
      <c r="D39" s="57">
        <f>$D$38*N39</f>
        <v>168291.74696408139</v>
      </c>
      <c r="E39" s="2421" t="s">
        <v>77</v>
      </c>
      <c r="F39" s="2422"/>
      <c r="G39" s="2422"/>
      <c r="H39" s="2423"/>
      <c r="I39" s="2439" t="s">
        <v>1208</v>
      </c>
      <c r="J39" s="2440"/>
      <c r="K39" s="2440"/>
      <c r="L39" s="1852"/>
      <c r="M39" s="13" t="s">
        <v>78</v>
      </c>
      <c r="N39" s="58">
        <v>0.6</v>
      </c>
      <c r="O39" s="45"/>
      <c r="P39" s="1"/>
      <c r="Q39" s="1"/>
      <c r="R39" s="1"/>
      <c r="S39" s="1"/>
      <c r="T39" s="1"/>
      <c r="U39" s="1"/>
      <c r="V39" s="1"/>
      <c r="W39" s="1"/>
      <c r="X39" s="1"/>
      <c r="Y39" s="1"/>
      <c r="Z39" s="1"/>
      <c r="AA39" s="1"/>
      <c r="AB39" s="3"/>
      <c r="AC39" s="59"/>
      <c r="AD39" s="1"/>
      <c r="AE39" s="1"/>
      <c r="AF39" s="1"/>
      <c r="AG39" s="1"/>
      <c r="AH39" s="1"/>
      <c r="AI39" s="1"/>
      <c r="AJ39" s="1"/>
      <c r="AK39" s="1"/>
      <c r="AL39" s="1"/>
      <c r="AM39" s="1"/>
      <c r="AN39" s="1"/>
      <c r="AO39" s="1"/>
      <c r="AP39" s="1"/>
      <c r="AQ39" s="1"/>
      <c r="AR39" s="1"/>
      <c r="AS39" s="1"/>
      <c r="AT39" s="1"/>
      <c r="AU39" s="1"/>
      <c r="AV39" s="1"/>
      <c r="AW39" s="1"/>
      <c r="AX39" s="1"/>
      <c r="AY39" s="1"/>
      <c r="AZ39" s="1"/>
    </row>
    <row r="40" spans="1:52" ht="21" customHeight="1" thickBot="1">
      <c r="B40" s="1"/>
      <c r="C40" s="47" t="s">
        <v>79</v>
      </c>
      <c r="D40" s="57">
        <f>$D$38*N40</f>
        <v>112194.49797605428</v>
      </c>
      <c r="E40" s="2421" t="s">
        <v>80</v>
      </c>
      <c r="F40" s="2422"/>
      <c r="G40" s="2422"/>
      <c r="H40" s="2423"/>
      <c r="I40" s="2439"/>
      <c r="J40" s="2440"/>
      <c r="K40" s="2440"/>
      <c r="L40" s="1"/>
      <c r="M40" s="13" t="s">
        <v>81</v>
      </c>
      <c r="N40" s="58">
        <v>0.4</v>
      </c>
      <c r="O40" s="1"/>
      <c r="P40" s="1"/>
      <c r="Q40" s="1"/>
      <c r="R40" s="1"/>
      <c r="S40" s="1"/>
      <c r="T40" s="1"/>
      <c r="U40" s="1"/>
      <c r="V40" s="1"/>
      <c r="W40" s="1"/>
      <c r="X40" s="1"/>
      <c r="Y40" s="1"/>
      <c r="Z40" s="1"/>
      <c r="AA40" s="1"/>
      <c r="AB40" s="3"/>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ht="21" customHeight="1">
      <c r="B41" s="1"/>
      <c r="C41" s="60" t="s">
        <v>82</v>
      </c>
      <c r="D41" s="1"/>
      <c r="E41" s="1"/>
      <c r="F41" s="1"/>
      <c r="G41" s="1"/>
      <c r="H41" s="1"/>
      <c r="I41" s="86" t="s">
        <v>1293</v>
      </c>
      <c r="J41" s="1"/>
      <c r="K41" s="1"/>
      <c r="L41" s="1"/>
      <c r="M41" s="1"/>
      <c r="N41" s="1"/>
      <c r="O41" s="1"/>
      <c r="P41" s="1"/>
      <c r="Q41" s="1"/>
      <c r="R41" s="1"/>
      <c r="S41" s="1"/>
      <c r="T41" s="1"/>
      <c r="U41" s="1"/>
      <c r="V41" s="1"/>
      <c r="W41" s="1"/>
      <c r="X41" s="1"/>
      <c r="Y41" s="1"/>
      <c r="Z41" s="1"/>
      <c r="AA41" s="1"/>
      <c r="AB41" s="3"/>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21" customHeight="1" thickBot="1">
      <c r="B42" s="1"/>
      <c r="C42" s="2447" t="s">
        <v>83</v>
      </c>
      <c r="D42" s="2447"/>
      <c r="E42" s="2447"/>
      <c r="F42" s="2447"/>
      <c r="G42" s="2447"/>
      <c r="H42" s="2447"/>
      <c r="I42" s="40" t="s">
        <v>1294</v>
      </c>
      <c r="J42" s="40"/>
      <c r="K42" s="40"/>
      <c r="L42" s="40"/>
      <c r="M42" s="40"/>
      <c r="N42" s="40"/>
      <c r="O42" s="40"/>
      <c r="P42" s="1"/>
      <c r="Q42" s="1"/>
      <c r="R42" s="1"/>
      <c r="S42" s="1"/>
      <c r="T42" s="1"/>
      <c r="U42" s="1"/>
      <c r="V42" s="1"/>
      <c r="W42" s="1"/>
      <c r="X42" s="1"/>
      <c r="Y42" s="1"/>
      <c r="Z42" s="1"/>
      <c r="AA42" s="1"/>
      <c r="AB42" s="3"/>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21" customHeight="1" thickBot="1">
      <c r="B43" s="1"/>
      <c r="C43" s="41" t="s">
        <v>84</v>
      </c>
      <c r="D43" s="71" t="str">
        <f>D6</f>
        <v>제1기</v>
      </c>
      <c r="E43" s="71" t="str">
        <f t="shared" ref="E43:X44" si="11">E6</f>
        <v>제2기</v>
      </c>
      <c r="F43" s="71" t="str">
        <f t="shared" si="11"/>
        <v>제3기</v>
      </c>
      <c r="G43" s="71" t="str">
        <f t="shared" si="11"/>
        <v>제4기</v>
      </c>
      <c r="H43" s="71" t="str">
        <f t="shared" si="11"/>
        <v>제5기</v>
      </c>
      <c r="I43" s="71" t="str">
        <f t="shared" si="11"/>
        <v>제6기</v>
      </c>
      <c r="J43" s="13" t="str">
        <f t="shared" si="11"/>
        <v>제7기</v>
      </c>
      <c r="K43" s="13" t="str">
        <f t="shared" si="11"/>
        <v>제8기</v>
      </c>
      <c r="L43" s="13" t="str">
        <f t="shared" si="11"/>
        <v>제9기</v>
      </c>
      <c r="M43" s="13" t="str">
        <f t="shared" si="11"/>
        <v>제10기</v>
      </c>
      <c r="N43" s="13" t="str">
        <f t="shared" si="11"/>
        <v>제11기</v>
      </c>
      <c r="O43" s="13" t="str">
        <f t="shared" si="11"/>
        <v>제12기</v>
      </c>
      <c r="P43" s="13" t="str">
        <f t="shared" si="11"/>
        <v>제13기</v>
      </c>
      <c r="Q43" s="13" t="str">
        <f t="shared" si="11"/>
        <v>제14기</v>
      </c>
      <c r="R43" s="13" t="str">
        <f t="shared" si="11"/>
        <v>제15기</v>
      </c>
      <c r="S43" s="13" t="str">
        <f t="shared" si="11"/>
        <v>제16기</v>
      </c>
      <c r="T43" s="13" t="str">
        <f t="shared" si="11"/>
        <v>제17기</v>
      </c>
      <c r="U43" s="13" t="str">
        <f t="shared" si="11"/>
        <v>제18기</v>
      </c>
      <c r="V43" s="13" t="str">
        <f t="shared" si="11"/>
        <v>제19기</v>
      </c>
      <c r="W43" s="13" t="str">
        <f t="shared" si="11"/>
        <v>제20기</v>
      </c>
      <c r="X43" s="13" t="str">
        <f t="shared" si="11"/>
        <v>제21기</v>
      </c>
      <c r="Y43" s="13"/>
      <c r="Z43" s="1"/>
      <c r="AA43" s="1"/>
      <c r="AB43" s="3"/>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21" customHeight="1" thickBot="1">
      <c r="B44" s="1"/>
      <c r="C44" s="41" t="s">
        <v>31</v>
      </c>
      <c r="D44" s="71">
        <f>D7</f>
        <v>44592</v>
      </c>
      <c r="E44" s="71">
        <f t="shared" si="11"/>
        <v>44773</v>
      </c>
      <c r="F44" s="71">
        <f t="shared" si="11"/>
        <v>44957</v>
      </c>
      <c r="G44" s="71">
        <f t="shared" si="11"/>
        <v>45138</v>
      </c>
      <c r="H44" s="71">
        <f t="shared" si="11"/>
        <v>45322</v>
      </c>
      <c r="I44" s="71">
        <f t="shared" si="11"/>
        <v>45504</v>
      </c>
      <c r="J44" s="13">
        <f t="shared" si="11"/>
        <v>45688</v>
      </c>
      <c r="K44" s="13">
        <f t="shared" si="11"/>
        <v>45869</v>
      </c>
      <c r="L44" s="13">
        <f t="shared" si="11"/>
        <v>46053</v>
      </c>
      <c r="M44" s="13">
        <f t="shared" si="11"/>
        <v>46234</v>
      </c>
      <c r="N44" s="13">
        <f t="shared" si="11"/>
        <v>46418</v>
      </c>
      <c r="O44" s="13">
        <f t="shared" si="11"/>
        <v>46599</v>
      </c>
      <c r="P44" s="13">
        <f t="shared" si="11"/>
        <v>46783</v>
      </c>
      <c r="Q44" s="13">
        <f t="shared" si="11"/>
        <v>46965</v>
      </c>
      <c r="R44" s="13">
        <f t="shared" si="11"/>
        <v>47149</v>
      </c>
      <c r="S44" s="13">
        <f t="shared" si="11"/>
        <v>47330</v>
      </c>
      <c r="T44" s="13">
        <f t="shared" si="11"/>
        <v>47514</v>
      </c>
      <c r="U44" s="13">
        <f t="shared" si="11"/>
        <v>47695</v>
      </c>
      <c r="V44" s="13">
        <f t="shared" si="11"/>
        <v>47879</v>
      </c>
      <c r="W44" s="13">
        <f t="shared" si="11"/>
        <v>48029</v>
      </c>
      <c r="X44" s="13">
        <f t="shared" si="11"/>
        <v>48029</v>
      </c>
      <c r="Y44" s="13"/>
      <c r="Z44" s="1"/>
      <c r="AA44" s="1"/>
      <c r="AB44" s="3"/>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21" customHeight="1" thickBot="1">
      <c r="B45" s="1"/>
      <c r="C45" s="47" t="s">
        <v>44</v>
      </c>
      <c r="D45" s="538">
        <f>D18</f>
        <v>0</v>
      </c>
      <c r="E45" s="538">
        <f t="shared" ref="E45:W45" si="12">E18</f>
        <v>0</v>
      </c>
      <c r="F45" s="538">
        <f>F18</f>
        <v>0</v>
      </c>
      <c r="G45" s="538">
        <f t="shared" si="12"/>
        <v>0</v>
      </c>
      <c r="H45" s="538">
        <f>H18</f>
        <v>0</v>
      </c>
      <c r="I45" s="538">
        <f>I18</f>
        <v>0</v>
      </c>
      <c r="J45" s="61">
        <f>J18</f>
        <v>0</v>
      </c>
      <c r="K45" s="61">
        <f t="shared" si="12"/>
        <v>0</v>
      </c>
      <c r="L45" s="61">
        <f t="shared" si="12"/>
        <v>0</v>
      </c>
      <c r="M45" s="61">
        <f t="shared" si="12"/>
        <v>0</v>
      </c>
      <c r="N45" s="61">
        <f t="shared" si="12"/>
        <v>0</v>
      </c>
      <c r="O45" s="61">
        <f>O18</f>
        <v>0</v>
      </c>
      <c r="P45" s="61">
        <f>P18</f>
        <v>0</v>
      </c>
      <c r="Q45" s="61">
        <f t="shared" si="12"/>
        <v>0</v>
      </c>
      <c r="R45" s="61">
        <f t="shared" si="12"/>
        <v>0</v>
      </c>
      <c r="S45" s="61">
        <f t="shared" si="12"/>
        <v>0</v>
      </c>
      <c r="T45" s="61">
        <f t="shared" si="12"/>
        <v>0</v>
      </c>
      <c r="U45" s="61">
        <f t="shared" si="12"/>
        <v>0</v>
      </c>
      <c r="V45" s="61">
        <f t="shared" si="12"/>
        <v>0</v>
      </c>
      <c r="W45" s="61">
        <f t="shared" si="12"/>
        <v>0</v>
      </c>
      <c r="X45" s="61">
        <f>X18</f>
        <v>0</v>
      </c>
      <c r="Y45" s="62"/>
      <c r="Z45" s="1"/>
      <c r="AA45" s="1"/>
      <c r="AB45" s="3"/>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21" customHeight="1" thickBot="1">
      <c r="B46" s="1"/>
      <c r="C46" s="47" t="s">
        <v>85</v>
      </c>
      <c r="D46" s="539"/>
      <c r="E46" s="539"/>
      <c r="F46" s="539"/>
      <c r="G46" s="539"/>
      <c r="H46" s="539"/>
      <c r="I46" s="539"/>
      <c r="J46" s="63"/>
      <c r="K46" s="63"/>
      <c r="L46" s="63"/>
      <c r="M46" s="63"/>
      <c r="N46" s="64"/>
      <c r="O46" s="64"/>
      <c r="P46" s="64"/>
      <c r="Q46" s="64"/>
      <c r="R46" s="64"/>
      <c r="S46" s="64"/>
      <c r="T46" s="64"/>
      <c r="U46" s="64"/>
      <c r="V46" s="64"/>
      <c r="W46" s="64"/>
      <c r="X46" s="64">
        <f>D40</f>
        <v>112194.49797605428</v>
      </c>
      <c r="Y46" s="62"/>
      <c r="Z46" s="1"/>
      <c r="AA46" s="1"/>
      <c r="AB46" s="3"/>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ht="21" customHeight="1" thickBot="1">
      <c r="B47" s="1"/>
      <c r="C47" s="47" t="s">
        <v>86</v>
      </c>
      <c r="D47" s="540"/>
      <c r="E47" s="540"/>
      <c r="F47" s="540"/>
      <c r="G47" s="540"/>
      <c r="H47" s="540"/>
      <c r="I47" s="540"/>
      <c r="J47" s="65"/>
      <c r="K47" s="65"/>
      <c r="L47" s="65"/>
      <c r="M47" s="65"/>
      <c r="N47" s="65"/>
      <c r="O47" s="65"/>
      <c r="P47" s="65"/>
      <c r="Q47" s="66"/>
      <c r="R47" s="66"/>
      <c r="S47" s="66"/>
      <c r="T47" s="66"/>
      <c r="U47" s="66"/>
      <c r="V47" s="66"/>
      <c r="W47" s="66"/>
      <c r="X47" s="67">
        <f>O88/10^6</f>
        <v>35000</v>
      </c>
      <c r="Y47" s="68" t="s">
        <v>2203</v>
      </c>
      <c r="Z47" s="69"/>
      <c r="AA47" s="1"/>
      <c r="AB47" s="3"/>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ht="21" customHeight="1" thickBot="1">
      <c r="B48" s="1"/>
      <c r="C48" s="47" t="s">
        <v>87</v>
      </c>
      <c r="D48" s="97">
        <f>SUM(D45:D47)</f>
        <v>0</v>
      </c>
      <c r="E48" s="97">
        <f>SUM(E45:E47)</f>
        <v>0</v>
      </c>
      <c r="F48" s="97">
        <f>SUM(F45:F47)</f>
        <v>0</v>
      </c>
      <c r="G48" s="97">
        <f t="shared" ref="G48:M48" si="13">SUM(G45:G47)</f>
        <v>0</v>
      </c>
      <c r="H48" s="97">
        <f t="shared" si="13"/>
        <v>0</v>
      </c>
      <c r="I48" s="97">
        <f>SUM(I45:I47)</f>
        <v>0</v>
      </c>
      <c r="J48" s="19">
        <f>SUM(J45:J47)</f>
        <v>0</v>
      </c>
      <c r="K48" s="19">
        <f t="shared" si="13"/>
        <v>0</v>
      </c>
      <c r="L48" s="19">
        <f t="shared" si="13"/>
        <v>0</v>
      </c>
      <c r="M48" s="19">
        <f t="shared" si="13"/>
        <v>0</v>
      </c>
      <c r="N48" s="19">
        <f>SUM(N45:N47)</f>
        <v>0</v>
      </c>
      <c r="O48" s="19">
        <f t="shared" ref="O48:W48" si="14">SUM(O45:O47)</f>
        <v>0</v>
      </c>
      <c r="P48" s="19">
        <f>SUM(P45:P47)</f>
        <v>0</v>
      </c>
      <c r="Q48" s="19">
        <f t="shared" si="14"/>
        <v>0</v>
      </c>
      <c r="R48" s="19">
        <f t="shared" si="14"/>
        <v>0</v>
      </c>
      <c r="S48" s="19">
        <f t="shared" si="14"/>
        <v>0</v>
      </c>
      <c r="T48" s="19">
        <f t="shared" si="14"/>
        <v>0</v>
      </c>
      <c r="U48" s="19">
        <f t="shared" si="14"/>
        <v>0</v>
      </c>
      <c r="V48" s="19">
        <f t="shared" si="14"/>
        <v>0</v>
      </c>
      <c r="W48" s="19">
        <f t="shared" si="14"/>
        <v>0</v>
      </c>
      <c r="X48" s="19">
        <f>SUM(X45:X47)</f>
        <v>147194.49797605426</v>
      </c>
      <c r="Y48" s="70"/>
      <c r="Z48" s="34"/>
      <c r="AA48" s="1"/>
      <c r="AB48" s="3"/>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2:38" ht="21" customHeight="1">
      <c r="B49" s="1"/>
      <c r="C49" s="39"/>
      <c r="D49" s="1"/>
      <c r="E49" s="1"/>
      <c r="F49" s="1"/>
      <c r="G49" s="1"/>
      <c r="H49" s="1"/>
      <c r="I49" s="1"/>
      <c r="J49" s="1"/>
      <c r="K49" s="1"/>
      <c r="L49" s="1"/>
      <c r="M49" s="1"/>
      <c r="N49" s="1"/>
      <c r="O49" s="1"/>
      <c r="P49" s="1"/>
      <c r="Q49" s="1"/>
      <c r="R49" s="1"/>
      <c r="S49" s="1"/>
      <c r="T49" s="1"/>
      <c r="U49" s="1"/>
      <c r="V49" s="1"/>
      <c r="W49" s="1"/>
      <c r="X49" s="1"/>
      <c r="Y49" s="1"/>
      <c r="Z49" s="1"/>
      <c r="AA49" s="1"/>
      <c r="AB49" s="3"/>
      <c r="AC49" s="1"/>
      <c r="AD49" s="1"/>
      <c r="AE49" s="1"/>
      <c r="AF49" s="1"/>
      <c r="AG49" s="1"/>
      <c r="AH49" s="1"/>
      <c r="AI49" s="1"/>
      <c r="AJ49" s="1"/>
      <c r="AK49" s="1"/>
      <c r="AL49" s="1"/>
    </row>
    <row r="50" spans="2:38" ht="21" customHeight="1" thickBot="1">
      <c r="B50" s="1"/>
      <c r="C50" s="2447" t="s">
        <v>88</v>
      </c>
      <c r="D50" s="2447"/>
      <c r="E50" s="2447"/>
      <c r="F50" s="2447"/>
      <c r="G50" s="2447"/>
      <c r="H50" s="2447"/>
      <c r="I50" s="1"/>
      <c r="J50" s="1"/>
      <c r="K50" s="1"/>
      <c r="L50" s="1"/>
      <c r="M50" s="1"/>
      <c r="N50" s="1"/>
      <c r="O50" s="1"/>
      <c r="P50" s="1"/>
      <c r="Q50" s="1"/>
      <c r="R50" s="1"/>
      <c r="S50" s="1"/>
      <c r="T50" s="1"/>
      <c r="U50" s="1"/>
      <c r="V50" s="1"/>
      <c r="W50" s="1"/>
      <c r="X50" s="1"/>
      <c r="Y50" s="1"/>
      <c r="Z50" s="1"/>
      <c r="AA50" s="1"/>
      <c r="AB50" s="3"/>
      <c r="AC50" s="1"/>
      <c r="AD50" s="1"/>
      <c r="AE50" s="1"/>
      <c r="AF50" s="1"/>
      <c r="AG50" s="1"/>
      <c r="AH50" s="1"/>
      <c r="AI50" s="1"/>
      <c r="AJ50" s="1"/>
      <c r="AK50" s="1"/>
      <c r="AL50" s="1"/>
    </row>
    <row r="51" spans="2:38" ht="21" customHeight="1" thickBot="1">
      <c r="B51" s="1"/>
      <c r="C51" s="41" t="s">
        <v>84</v>
      </c>
      <c r="D51" s="71" t="str">
        <f>D6</f>
        <v>제1기</v>
      </c>
      <c r="E51" s="71" t="str">
        <f t="shared" ref="E51:X51" si="15">E6</f>
        <v>제2기</v>
      </c>
      <c r="F51" s="71" t="str">
        <f t="shared" si="15"/>
        <v>제3기</v>
      </c>
      <c r="G51" s="71" t="str">
        <f t="shared" si="15"/>
        <v>제4기</v>
      </c>
      <c r="H51" s="71" t="str">
        <f t="shared" si="15"/>
        <v>제5기</v>
      </c>
      <c r="I51" s="71" t="str">
        <f t="shared" si="15"/>
        <v>제6기</v>
      </c>
      <c r="J51" s="13" t="str">
        <f t="shared" si="15"/>
        <v>제7기</v>
      </c>
      <c r="K51" s="13" t="str">
        <f t="shared" si="15"/>
        <v>제8기</v>
      </c>
      <c r="L51" s="13" t="str">
        <f t="shared" si="15"/>
        <v>제9기</v>
      </c>
      <c r="M51" s="13" t="str">
        <f t="shared" si="15"/>
        <v>제10기</v>
      </c>
      <c r="N51" s="13" t="str">
        <f t="shared" si="15"/>
        <v>제11기</v>
      </c>
      <c r="O51" s="13" t="str">
        <f t="shared" si="15"/>
        <v>제12기</v>
      </c>
      <c r="P51" s="13" t="str">
        <f t="shared" si="15"/>
        <v>제13기</v>
      </c>
      <c r="Q51" s="13" t="str">
        <f t="shared" si="15"/>
        <v>제14기</v>
      </c>
      <c r="R51" s="13" t="str">
        <f t="shared" si="15"/>
        <v>제15기</v>
      </c>
      <c r="S51" s="13" t="str">
        <f t="shared" si="15"/>
        <v>제16기</v>
      </c>
      <c r="T51" s="13" t="str">
        <f t="shared" si="15"/>
        <v>제17기</v>
      </c>
      <c r="U51" s="13" t="str">
        <f t="shared" si="15"/>
        <v>제18기</v>
      </c>
      <c r="V51" s="13" t="str">
        <f t="shared" si="15"/>
        <v>제19기</v>
      </c>
      <c r="W51" s="13" t="str">
        <f t="shared" si="15"/>
        <v>제20기</v>
      </c>
      <c r="X51" s="13" t="str">
        <f t="shared" si="15"/>
        <v>제21기</v>
      </c>
      <c r="Y51" s="1"/>
      <c r="Z51" s="1"/>
      <c r="AA51" s="1"/>
      <c r="AB51" s="3"/>
      <c r="AC51" s="1"/>
      <c r="AD51" s="1"/>
      <c r="AE51" s="1"/>
      <c r="AF51" s="1"/>
      <c r="AG51" s="1"/>
      <c r="AH51" s="1"/>
      <c r="AI51" s="1"/>
      <c r="AJ51" s="1"/>
      <c r="AK51" s="1"/>
      <c r="AL51" s="1"/>
    </row>
    <row r="52" spans="2:38" ht="21" customHeight="1" thickBot="1">
      <c r="B52" s="1"/>
      <c r="C52" s="41" t="s">
        <v>31</v>
      </c>
      <c r="D52" s="71">
        <f>D44</f>
        <v>44592</v>
      </c>
      <c r="E52" s="71">
        <f t="shared" ref="E52:X52" si="16">E44</f>
        <v>44773</v>
      </c>
      <c r="F52" s="71">
        <f t="shared" si="16"/>
        <v>44957</v>
      </c>
      <c r="G52" s="71">
        <f t="shared" si="16"/>
        <v>45138</v>
      </c>
      <c r="H52" s="71">
        <f t="shared" si="16"/>
        <v>45322</v>
      </c>
      <c r="I52" s="71">
        <f t="shared" si="16"/>
        <v>45504</v>
      </c>
      <c r="J52" s="13">
        <f t="shared" si="16"/>
        <v>45688</v>
      </c>
      <c r="K52" s="13">
        <f t="shared" si="16"/>
        <v>45869</v>
      </c>
      <c r="L52" s="13">
        <f t="shared" si="16"/>
        <v>46053</v>
      </c>
      <c r="M52" s="13">
        <f t="shared" si="16"/>
        <v>46234</v>
      </c>
      <c r="N52" s="13">
        <f t="shared" si="16"/>
        <v>46418</v>
      </c>
      <c r="O52" s="13">
        <f t="shared" si="16"/>
        <v>46599</v>
      </c>
      <c r="P52" s="13">
        <f t="shared" si="16"/>
        <v>46783</v>
      </c>
      <c r="Q52" s="13">
        <f t="shared" si="16"/>
        <v>46965</v>
      </c>
      <c r="R52" s="13">
        <f t="shared" si="16"/>
        <v>47149</v>
      </c>
      <c r="S52" s="13">
        <f t="shared" si="16"/>
        <v>47330</v>
      </c>
      <c r="T52" s="13">
        <f t="shared" si="16"/>
        <v>47514</v>
      </c>
      <c r="U52" s="13">
        <f t="shared" si="16"/>
        <v>47695</v>
      </c>
      <c r="V52" s="13">
        <f t="shared" si="16"/>
        <v>47879</v>
      </c>
      <c r="W52" s="13">
        <f t="shared" si="16"/>
        <v>48029</v>
      </c>
      <c r="X52" s="13">
        <f t="shared" si="16"/>
        <v>48029</v>
      </c>
      <c r="Y52" s="1"/>
      <c r="Z52" s="1"/>
      <c r="AA52" s="1"/>
      <c r="AB52" s="3"/>
      <c r="AC52" s="1"/>
      <c r="AD52" s="1"/>
      <c r="AE52" s="1"/>
      <c r="AF52" s="1"/>
      <c r="AG52" s="1"/>
      <c r="AH52" s="1"/>
      <c r="AI52" s="1"/>
      <c r="AJ52" s="1"/>
      <c r="AK52" s="1"/>
      <c r="AL52" s="1"/>
    </row>
    <row r="53" spans="2:38" ht="21" customHeight="1" thickBot="1">
      <c r="B53" s="1"/>
      <c r="C53" s="47" t="s">
        <v>89</v>
      </c>
      <c r="D53" s="72">
        <f>RE!J107</f>
        <v>0</v>
      </c>
      <c r="E53" s="72">
        <f>RE!K107</f>
        <v>0</v>
      </c>
      <c r="F53" s="72">
        <f>RE!L107</f>
        <v>0</v>
      </c>
      <c r="G53" s="72">
        <f>RE!M107</f>
        <v>0</v>
      </c>
      <c r="H53" s="72">
        <f>RE!N107</f>
        <v>0</v>
      </c>
      <c r="I53" s="73">
        <f>RE!O107</f>
        <v>4860</v>
      </c>
      <c r="J53" s="72">
        <f>RE!P107</f>
        <v>4860</v>
      </c>
      <c r="K53" s="72">
        <f>RE!Q107</f>
        <v>4860.0000000000009</v>
      </c>
      <c r="L53" s="72">
        <f>RE!R107</f>
        <v>4860.0000000000009</v>
      </c>
      <c r="M53" s="72">
        <f>RE!S107</f>
        <v>4860.0000000000009</v>
      </c>
      <c r="N53" s="72">
        <f>RE!T107</f>
        <v>5943</v>
      </c>
      <c r="O53" s="72">
        <f>RE!U107</f>
        <v>5943</v>
      </c>
      <c r="P53" s="72">
        <f>RE!V107</f>
        <v>6100.8872171842304</v>
      </c>
      <c r="Q53" s="72">
        <f>RE!W107</f>
        <v>5943</v>
      </c>
      <c r="R53" s="72">
        <f>RE!X107</f>
        <v>5943.0000000000009</v>
      </c>
      <c r="S53" s="72">
        <f>RE!Y107</f>
        <v>8059.4802109788416</v>
      </c>
      <c r="T53" s="72">
        <f>RE!Z107</f>
        <v>9744.8104223767532</v>
      </c>
      <c r="U53" s="72">
        <f>RE!AA107</f>
        <v>8546.9776538911428</v>
      </c>
      <c r="V53" s="72">
        <f>RE!AB107</f>
        <v>10258.353380260729</v>
      </c>
      <c r="W53" s="72">
        <f>RE!AC107</f>
        <v>9016.4505219601433</v>
      </c>
      <c r="X53" s="72">
        <f>RE!AD107</f>
        <v>3541.6303870114962</v>
      </c>
      <c r="Y53" s="1"/>
      <c r="Z53" s="1"/>
      <c r="AA53" s="1"/>
      <c r="AB53" s="3"/>
      <c r="AC53" s="1"/>
      <c r="AD53" s="1"/>
      <c r="AE53" s="1"/>
      <c r="AF53" s="1"/>
      <c r="AG53" s="1"/>
      <c r="AH53" s="1"/>
      <c r="AI53" s="1"/>
      <c r="AJ53" s="1"/>
      <c r="AK53" s="1"/>
      <c r="AL53" s="1"/>
    </row>
    <row r="54" spans="2:38" ht="21" customHeight="1" thickBot="1">
      <c r="B54" s="1"/>
      <c r="C54" s="47" t="s">
        <v>90</v>
      </c>
      <c r="D54" s="73"/>
      <c r="E54" s="73"/>
      <c r="F54" s="73"/>
      <c r="G54" s="73"/>
      <c r="H54" s="73"/>
      <c r="I54" s="539"/>
      <c r="J54" s="63"/>
      <c r="K54" s="63"/>
      <c r="L54" s="63"/>
      <c r="M54" s="63"/>
      <c r="N54" s="64"/>
      <c r="O54" s="64"/>
      <c r="P54" s="64"/>
      <c r="Q54" s="64"/>
      <c r="R54" s="64"/>
      <c r="S54" s="64"/>
      <c r="T54" s="64"/>
      <c r="U54" s="64"/>
      <c r="V54" s="64"/>
      <c r="W54" s="64"/>
      <c r="X54" s="64">
        <f>D39</f>
        <v>168291.74696408139</v>
      </c>
      <c r="Y54" s="62" t="s">
        <v>1137</v>
      </c>
      <c r="Z54" s="1"/>
      <c r="AA54" s="1"/>
      <c r="AB54" s="3"/>
      <c r="AC54" s="74">
        <v>2470.3354117638501</v>
      </c>
      <c r="AD54" s="1"/>
      <c r="AE54" s="1"/>
      <c r="AF54" s="1"/>
      <c r="AG54" s="1"/>
      <c r="AH54" s="1"/>
      <c r="AI54" s="1"/>
      <c r="AJ54" s="1"/>
      <c r="AK54" s="1"/>
      <c r="AL54" s="1"/>
    </row>
    <row r="55" spans="2:38" ht="21" customHeight="1" thickBot="1">
      <c r="B55" s="1"/>
      <c r="C55" s="47" t="s">
        <v>86</v>
      </c>
      <c r="D55" s="73"/>
      <c r="E55" s="73"/>
      <c r="F55" s="73"/>
      <c r="G55" s="73"/>
      <c r="H55" s="73"/>
      <c r="I55" s="539"/>
      <c r="J55" s="63"/>
      <c r="K55" s="63"/>
      <c r="L55" s="63"/>
      <c r="M55" s="63"/>
      <c r="N55" s="75"/>
      <c r="O55" s="75"/>
      <c r="P55" s="75"/>
      <c r="Q55" s="75"/>
      <c r="R55" s="75"/>
      <c r="S55" s="75"/>
      <c r="T55" s="75"/>
      <c r="U55" s="75"/>
      <c r="V55" s="75"/>
      <c r="W55" s="75"/>
      <c r="X55" s="76">
        <f>(O89+O90)/10^6</f>
        <v>242800</v>
      </c>
      <c r="Y55" s="68" t="s">
        <v>2203</v>
      </c>
      <c r="Z55" s="1"/>
      <c r="AA55" s="1"/>
      <c r="AB55" s="3"/>
      <c r="AC55" s="1"/>
      <c r="AD55" s="1"/>
      <c r="AE55" s="1"/>
      <c r="AF55" s="1"/>
      <c r="AG55" s="1"/>
      <c r="AH55" s="1"/>
      <c r="AI55" s="1"/>
      <c r="AJ55" s="1"/>
      <c r="AK55" s="1"/>
      <c r="AL55" s="1"/>
    </row>
    <row r="56" spans="2:38" ht="21" customHeight="1" thickBot="1">
      <c r="B56" s="1"/>
      <c r="C56" s="47" t="s">
        <v>91</v>
      </c>
      <c r="D56" s="77">
        <f>SUM(D53:D55)</f>
        <v>0</v>
      </c>
      <c r="E56" s="77">
        <f>SUM(E53:E55)</f>
        <v>0</v>
      </c>
      <c r="F56" s="77">
        <f t="shared" ref="F56:W56" si="17">SUM(F53:F55)</f>
        <v>0</v>
      </c>
      <c r="G56" s="77">
        <f t="shared" si="17"/>
        <v>0</v>
      </c>
      <c r="H56" s="77">
        <f t="shared" si="17"/>
        <v>0</v>
      </c>
      <c r="I56" s="97">
        <f>SUM(I53:I55)</f>
        <v>4860</v>
      </c>
      <c r="J56" s="19">
        <f>SUM(J53:J55)</f>
        <v>4860</v>
      </c>
      <c r="K56" s="19">
        <f t="shared" si="17"/>
        <v>4860.0000000000009</v>
      </c>
      <c r="L56" s="19">
        <f t="shared" si="17"/>
        <v>4860.0000000000009</v>
      </c>
      <c r="M56" s="19">
        <f t="shared" si="17"/>
        <v>4860.0000000000009</v>
      </c>
      <c r="N56" s="19">
        <f t="shared" si="17"/>
        <v>5943</v>
      </c>
      <c r="O56" s="19">
        <f t="shared" si="17"/>
        <v>5943</v>
      </c>
      <c r="P56" s="19">
        <f t="shared" si="17"/>
        <v>6100.8872171842304</v>
      </c>
      <c r="Q56" s="19">
        <f t="shared" si="17"/>
        <v>5943</v>
      </c>
      <c r="R56" s="19">
        <f t="shared" si="17"/>
        <v>5943.0000000000009</v>
      </c>
      <c r="S56" s="19">
        <f t="shared" si="17"/>
        <v>8059.4802109788416</v>
      </c>
      <c r="T56" s="19">
        <f t="shared" si="17"/>
        <v>9744.8104223767532</v>
      </c>
      <c r="U56" s="19">
        <f t="shared" si="17"/>
        <v>8546.9776538911428</v>
      </c>
      <c r="V56" s="19">
        <f t="shared" si="17"/>
        <v>10258.353380260729</v>
      </c>
      <c r="W56" s="19">
        <f t="shared" si="17"/>
        <v>9016.4505219601433</v>
      </c>
      <c r="X56" s="19">
        <f>SUM(X53:X55)</f>
        <v>414633.37735109287</v>
      </c>
      <c r="Y56" s="70"/>
      <c r="Z56" s="1"/>
      <c r="AA56" s="1"/>
      <c r="AB56" s="3"/>
      <c r="AC56" s="1"/>
      <c r="AD56" s="1"/>
      <c r="AE56" s="1"/>
      <c r="AF56" s="1"/>
      <c r="AG56" s="60" t="s">
        <v>92</v>
      </c>
      <c r="AH56" s="1052">
        <v>0</v>
      </c>
      <c r="AI56" s="78" t="s">
        <v>815</v>
      </c>
      <c r="AJ56" s="1"/>
      <c r="AK56" s="1"/>
      <c r="AL56" s="1"/>
    </row>
    <row r="57" spans="2:38" ht="21" customHeight="1">
      <c r="B57" s="1"/>
      <c r="C57" s="39"/>
      <c r="D57" s="1"/>
      <c r="E57" s="1"/>
      <c r="F57" s="1"/>
      <c r="G57" s="1"/>
      <c r="H57" s="1"/>
      <c r="I57" s="1"/>
      <c r="J57" s="1"/>
      <c r="K57" s="1"/>
      <c r="L57" s="1"/>
      <c r="M57" s="1"/>
      <c r="N57" s="1"/>
      <c r="O57" s="1"/>
      <c r="P57" s="1"/>
      <c r="Q57" s="1"/>
      <c r="R57" s="1"/>
      <c r="S57" s="1"/>
      <c r="T57" s="1"/>
      <c r="U57" s="1"/>
      <c r="V57" s="1"/>
      <c r="W57" s="1"/>
      <c r="X57" s="1"/>
      <c r="Y57" s="1"/>
      <c r="Z57" s="1"/>
      <c r="AA57" s="1"/>
      <c r="AB57" s="3"/>
      <c r="AC57" s="1"/>
      <c r="AD57" s="1"/>
      <c r="AE57" s="1"/>
      <c r="AF57" s="1"/>
      <c r="AG57" s="60" t="s">
        <v>93</v>
      </c>
      <c r="AH57" s="79">
        <v>0</v>
      </c>
      <c r="AI57" s="1"/>
      <c r="AJ57" s="1"/>
      <c r="AK57" s="1"/>
      <c r="AL57" s="1"/>
    </row>
    <row r="58" spans="2:38" ht="21" customHeight="1">
      <c r="B58" s="1"/>
      <c r="C58" s="39"/>
      <c r="D58" s="1"/>
      <c r="E58" s="1"/>
      <c r="F58" s="1"/>
      <c r="G58" s="1"/>
      <c r="H58" s="1"/>
      <c r="I58" s="1"/>
      <c r="J58" s="1"/>
      <c r="K58" s="1"/>
      <c r="L58" s="1"/>
      <c r="M58" s="1"/>
      <c r="N58" s="1"/>
      <c r="O58" s="1"/>
      <c r="P58" s="1"/>
      <c r="Q58" s="1"/>
      <c r="R58" s="1"/>
      <c r="S58" s="1"/>
      <c r="T58" s="1"/>
      <c r="U58" s="1"/>
      <c r="V58" s="1"/>
      <c r="W58" s="1"/>
      <c r="X58" s="1"/>
      <c r="Y58" s="1"/>
      <c r="Z58" s="1"/>
      <c r="AA58" s="1"/>
      <c r="AB58" s="3"/>
      <c r="AC58" s="1"/>
      <c r="AD58" s="1"/>
      <c r="AE58" s="1"/>
      <c r="AF58" s="1"/>
      <c r="AG58" s="1"/>
      <c r="AH58" s="1"/>
      <c r="AI58" s="1"/>
      <c r="AJ58" s="1"/>
      <c r="AK58" s="1"/>
      <c r="AL58" s="1"/>
    </row>
    <row r="59" spans="2:38" ht="21" customHeight="1">
      <c r="B59" s="80"/>
      <c r="C59" s="39" t="s">
        <v>94</v>
      </c>
      <c r="D59" s="1"/>
      <c r="E59" s="1"/>
      <c r="F59" s="1"/>
      <c r="G59" s="1"/>
      <c r="H59" s="1"/>
      <c r="I59" s="1"/>
      <c r="J59" s="1"/>
      <c r="K59" s="1"/>
      <c r="L59" s="1"/>
      <c r="M59" s="1"/>
      <c r="N59" s="1"/>
      <c r="O59" s="1"/>
      <c r="P59" s="1"/>
      <c r="Q59" s="1"/>
      <c r="R59" s="1"/>
      <c r="S59" s="1"/>
      <c r="T59" s="1"/>
      <c r="U59" s="1"/>
      <c r="V59" s="1"/>
      <c r="W59" s="1"/>
      <c r="X59" s="1"/>
      <c r="Y59" s="1"/>
      <c r="Z59" s="1"/>
      <c r="AA59" s="1"/>
      <c r="AB59" s="3"/>
      <c r="AC59" s="1"/>
      <c r="AD59" s="1"/>
      <c r="AE59" s="60" t="s">
        <v>95</v>
      </c>
      <c r="AF59" s="1"/>
      <c r="AG59" s="1"/>
      <c r="AH59" s="1"/>
      <c r="AI59" s="1"/>
      <c r="AJ59" s="1"/>
      <c r="AK59" s="1"/>
      <c r="AL59" s="1"/>
    </row>
    <row r="60" spans="2:38" ht="21" customHeight="1" thickBot="1">
      <c r="B60" s="1"/>
      <c r="C60" s="4" t="s">
        <v>96</v>
      </c>
      <c r="D60" s="81" t="s">
        <v>97</v>
      </c>
      <c r="E60" s="82">
        <f>$E$2</f>
        <v>45565</v>
      </c>
      <c r="F60" s="1"/>
      <c r="G60" s="1"/>
      <c r="H60" s="1"/>
      <c r="I60" s="1"/>
      <c r="J60" s="1"/>
      <c r="K60" s="1"/>
      <c r="L60" s="1"/>
      <c r="M60" s="1"/>
      <c r="N60" s="1"/>
      <c r="O60" s="1"/>
      <c r="P60" s="1"/>
      <c r="Q60" s="1"/>
      <c r="R60" s="1"/>
      <c r="S60" s="1"/>
      <c r="T60" s="1"/>
      <c r="U60" s="1"/>
      <c r="V60" s="1"/>
      <c r="W60" s="1"/>
      <c r="X60" s="1"/>
      <c r="Y60" s="1"/>
      <c r="Z60" s="1"/>
      <c r="AA60" s="1"/>
      <c r="AB60" s="3"/>
      <c r="AC60" s="1"/>
      <c r="AD60" s="1"/>
      <c r="AE60" s="60" t="s">
        <v>81</v>
      </c>
      <c r="AF60" s="1"/>
      <c r="AG60" s="1"/>
      <c r="AH60" s="1"/>
      <c r="AI60" s="1"/>
      <c r="AJ60" s="1"/>
      <c r="AK60" s="1"/>
      <c r="AL60" s="1"/>
    </row>
    <row r="61" spans="2:38" ht="21" customHeight="1" thickBot="1">
      <c r="B61" s="1"/>
      <c r="C61" s="41" t="s">
        <v>84</v>
      </c>
      <c r="D61" s="71" t="str">
        <f>D6</f>
        <v>제1기</v>
      </c>
      <c r="E61" s="71" t="str">
        <f t="shared" ref="E61:X61" si="18">E6</f>
        <v>제2기</v>
      </c>
      <c r="F61" s="71" t="str">
        <f t="shared" si="18"/>
        <v>제3기</v>
      </c>
      <c r="G61" s="71" t="str">
        <f t="shared" si="18"/>
        <v>제4기</v>
      </c>
      <c r="H61" s="71" t="str">
        <f t="shared" si="18"/>
        <v>제5기</v>
      </c>
      <c r="I61" s="71" t="str">
        <f t="shared" si="18"/>
        <v>제6기</v>
      </c>
      <c r="J61" s="13" t="str">
        <f t="shared" si="18"/>
        <v>제7기</v>
      </c>
      <c r="K61" s="13" t="str">
        <f t="shared" si="18"/>
        <v>제8기</v>
      </c>
      <c r="L61" s="13" t="str">
        <f t="shared" si="18"/>
        <v>제9기</v>
      </c>
      <c r="M61" s="13" t="str">
        <f t="shared" si="18"/>
        <v>제10기</v>
      </c>
      <c r="N61" s="13" t="str">
        <f t="shared" si="18"/>
        <v>제11기</v>
      </c>
      <c r="O61" s="13" t="str">
        <f t="shared" si="18"/>
        <v>제12기</v>
      </c>
      <c r="P61" s="13" t="str">
        <f t="shared" si="18"/>
        <v>제13기</v>
      </c>
      <c r="Q61" s="13" t="str">
        <f t="shared" si="18"/>
        <v>제14기</v>
      </c>
      <c r="R61" s="13" t="str">
        <f t="shared" si="18"/>
        <v>제15기</v>
      </c>
      <c r="S61" s="13" t="str">
        <f t="shared" si="18"/>
        <v>제16기</v>
      </c>
      <c r="T61" s="13" t="str">
        <f t="shared" si="18"/>
        <v>제17기</v>
      </c>
      <c r="U61" s="13" t="str">
        <f t="shared" si="18"/>
        <v>제18기</v>
      </c>
      <c r="V61" s="13" t="str">
        <f t="shared" si="18"/>
        <v>제19기</v>
      </c>
      <c r="W61" s="13" t="str">
        <f t="shared" si="18"/>
        <v>제20기</v>
      </c>
      <c r="X61" s="13" t="str">
        <f t="shared" si="18"/>
        <v>제21기</v>
      </c>
      <c r="Y61" s="1"/>
      <c r="Z61" s="1"/>
      <c r="AA61" s="1"/>
      <c r="AB61" s="3"/>
      <c r="AC61" s="1"/>
      <c r="AD61" s="1"/>
      <c r="AE61" s="2437" t="s">
        <v>98</v>
      </c>
      <c r="AF61" s="83"/>
      <c r="AG61" s="84"/>
      <c r="AH61" s="84"/>
      <c r="AI61" s="85"/>
      <c r="AJ61" s="1"/>
      <c r="AK61" s="1"/>
      <c r="AL61" s="1"/>
    </row>
    <row r="62" spans="2:38" ht="21" customHeight="1" thickBot="1">
      <c r="B62" s="1"/>
      <c r="C62" s="41" t="s">
        <v>31</v>
      </c>
      <c r="D62" s="71">
        <f>D52</f>
        <v>44592</v>
      </c>
      <c r="E62" s="71">
        <f t="shared" ref="E62:X62" si="19">E52</f>
        <v>44773</v>
      </c>
      <c r="F62" s="71">
        <f t="shared" si="19"/>
        <v>44957</v>
      </c>
      <c r="G62" s="71">
        <f t="shared" si="19"/>
        <v>45138</v>
      </c>
      <c r="H62" s="71">
        <f t="shared" si="19"/>
        <v>45322</v>
      </c>
      <c r="I62" s="71">
        <f t="shared" si="19"/>
        <v>45504</v>
      </c>
      <c r="J62" s="13">
        <f t="shared" si="19"/>
        <v>45688</v>
      </c>
      <c r="K62" s="13">
        <f t="shared" si="19"/>
        <v>45869</v>
      </c>
      <c r="L62" s="13">
        <f t="shared" si="19"/>
        <v>46053</v>
      </c>
      <c r="M62" s="13">
        <f t="shared" si="19"/>
        <v>46234</v>
      </c>
      <c r="N62" s="13">
        <f t="shared" si="19"/>
        <v>46418</v>
      </c>
      <c r="O62" s="13">
        <f t="shared" si="19"/>
        <v>46599</v>
      </c>
      <c r="P62" s="13">
        <f t="shared" si="19"/>
        <v>46783</v>
      </c>
      <c r="Q62" s="13">
        <f t="shared" si="19"/>
        <v>46965</v>
      </c>
      <c r="R62" s="13">
        <f t="shared" si="19"/>
        <v>47149</v>
      </c>
      <c r="S62" s="13">
        <f t="shared" si="19"/>
        <v>47330</v>
      </c>
      <c r="T62" s="13">
        <f t="shared" si="19"/>
        <v>47514</v>
      </c>
      <c r="U62" s="13">
        <f t="shared" si="19"/>
        <v>47695</v>
      </c>
      <c r="V62" s="13">
        <f t="shared" si="19"/>
        <v>47879</v>
      </c>
      <c r="W62" s="13">
        <f t="shared" si="19"/>
        <v>48029</v>
      </c>
      <c r="X62" s="13">
        <f t="shared" si="19"/>
        <v>48029</v>
      </c>
      <c r="Y62" s="1"/>
      <c r="Z62" s="1"/>
      <c r="AA62" s="1"/>
      <c r="AB62" s="3"/>
      <c r="AC62" s="1"/>
      <c r="AD62" s="1"/>
      <c r="AE62" s="2438"/>
      <c r="AF62" s="83">
        <f ca="1">D70</f>
        <v>104048.93522714285</v>
      </c>
      <c r="AG62" s="84">
        <v>-0.01</v>
      </c>
      <c r="AH62" s="84">
        <v>0</v>
      </c>
      <c r="AI62" s="85">
        <v>0.01</v>
      </c>
      <c r="AJ62" s="86" t="s">
        <v>99</v>
      </c>
      <c r="AK62" s="1"/>
      <c r="AL62" s="86" t="s">
        <v>100</v>
      </c>
    </row>
    <row r="63" spans="2:38" ht="21" customHeight="1" thickBot="1">
      <c r="B63" s="1"/>
      <c r="C63" s="47" t="s">
        <v>87</v>
      </c>
      <c r="D63" s="97">
        <f>D48</f>
        <v>0</v>
      </c>
      <c r="E63" s="97">
        <f>E48</f>
        <v>0</v>
      </c>
      <c r="F63" s="97">
        <f>F48</f>
        <v>0</v>
      </c>
      <c r="G63" s="97">
        <f t="shared" ref="G63:M63" si="20">G48</f>
        <v>0</v>
      </c>
      <c r="H63" s="97">
        <f t="shared" si="20"/>
        <v>0</v>
      </c>
      <c r="I63" s="97">
        <f t="shared" si="20"/>
        <v>0</v>
      </c>
      <c r="J63" s="18">
        <f>J48</f>
        <v>0</v>
      </c>
      <c r="K63" s="18">
        <f>K48</f>
        <v>0</v>
      </c>
      <c r="L63" s="18">
        <f t="shared" si="20"/>
        <v>0</v>
      </c>
      <c r="M63" s="18">
        <f t="shared" si="20"/>
        <v>0</v>
      </c>
      <c r="N63" s="18">
        <f>N48</f>
        <v>0</v>
      </c>
      <c r="O63" s="18">
        <f t="shared" ref="O63:W63" si="21">O48</f>
        <v>0</v>
      </c>
      <c r="P63" s="18">
        <f>P48</f>
        <v>0</v>
      </c>
      <c r="Q63" s="18">
        <f t="shared" si="21"/>
        <v>0</v>
      </c>
      <c r="R63" s="18">
        <f t="shared" si="21"/>
        <v>0</v>
      </c>
      <c r="S63" s="18">
        <f t="shared" si="21"/>
        <v>0</v>
      </c>
      <c r="T63" s="18">
        <f t="shared" si="21"/>
        <v>0</v>
      </c>
      <c r="U63" s="18">
        <f t="shared" si="21"/>
        <v>0</v>
      </c>
      <c r="V63" s="18">
        <f t="shared" si="21"/>
        <v>0</v>
      </c>
      <c r="W63" s="18">
        <f t="shared" si="21"/>
        <v>0</v>
      </c>
      <c r="X63" s="18">
        <f>X48</f>
        <v>147194.49797605426</v>
      </c>
      <c r="Y63" s="1"/>
      <c r="Z63" s="1"/>
      <c r="AA63" s="1"/>
      <c r="AB63" s="3"/>
      <c r="AC63" s="1"/>
      <c r="AD63" s="1"/>
      <c r="AE63" s="2427" t="s">
        <v>101</v>
      </c>
      <c r="AF63" s="87">
        <v>-0.01</v>
      </c>
      <c r="AG63" s="1833">
        <v>94567.701495714282</v>
      </c>
      <c r="AH63" s="1833">
        <v>88890.456781428569</v>
      </c>
      <c r="AI63" s="1834">
        <v>83601.904934285718</v>
      </c>
      <c r="AJ63" s="1"/>
      <c r="AK63" s="1"/>
      <c r="AL63" s="1"/>
    </row>
    <row r="64" spans="2:38" ht="21" customHeight="1" thickBot="1">
      <c r="B64" s="1"/>
      <c r="C64" s="47" t="s">
        <v>102</v>
      </c>
      <c r="D64" s="98">
        <f>(D62-$E$60)/365</f>
        <v>-2.6657534246575341</v>
      </c>
      <c r="E64" s="98">
        <f t="shared" ref="E64:W64" si="22">(E62-$E$60)/365</f>
        <v>-2.1698630136986301</v>
      </c>
      <c r="F64" s="98">
        <f>(F62-$E$60)/365</f>
        <v>-1.6657534246575343</v>
      </c>
      <c r="G64" s="98">
        <f t="shared" si="22"/>
        <v>-1.1698630136986301</v>
      </c>
      <c r="H64" s="98">
        <f t="shared" si="22"/>
        <v>-0.66575342465753429</v>
      </c>
      <c r="I64" s="98">
        <f>(I62-$E$60)/365</f>
        <v>-0.16712328767123288</v>
      </c>
      <c r="J64" s="88">
        <f t="shared" si="22"/>
        <v>0.33698630136986302</v>
      </c>
      <c r="K64" s="88">
        <f t="shared" si="22"/>
        <v>0.83287671232876714</v>
      </c>
      <c r="L64" s="88">
        <f t="shared" si="22"/>
        <v>1.3369863013698631</v>
      </c>
      <c r="M64" s="88">
        <f t="shared" si="22"/>
        <v>1.832876712328767</v>
      </c>
      <c r="N64" s="88">
        <f t="shared" si="22"/>
        <v>2.3369863013698629</v>
      </c>
      <c r="O64" s="88">
        <f t="shared" si="22"/>
        <v>2.8328767123287673</v>
      </c>
      <c r="P64" s="88">
        <f t="shared" si="22"/>
        <v>3.3369863013698629</v>
      </c>
      <c r="Q64" s="88">
        <f>(Q62-$E$60)/365</f>
        <v>3.8356164383561642</v>
      </c>
      <c r="R64" s="88">
        <f t="shared" si="22"/>
        <v>4.3397260273972602</v>
      </c>
      <c r="S64" s="88">
        <f t="shared" si="22"/>
        <v>4.8356164383561646</v>
      </c>
      <c r="T64" s="88">
        <f t="shared" si="22"/>
        <v>5.3397260273972602</v>
      </c>
      <c r="U64" s="88">
        <f t="shared" si="22"/>
        <v>5.8356164383561646</v>
      </c>
      <c r="V64" s="88">
        <f t="shared" si="22"/>
        <v>6.3397260273972602</v>
      </c>
      <c r="W64" s="88">
        <f t="shared" si="22"/>
        <v>6.7506849315068491</v>
      </c>
      <c r="X64" s="88">
        <f>(X62-$E$60)/365</f>
        <v>6.7506849315068491</v>
      </c>
      <c r="Y64" s="1"/>
      <c r="Z64" s="1"/>
      <c r="AA64" s="1"/>
      <c r="AB64" s="3"/>
      <c r="AC64" s="1"/>
      <c r="AD64" s="1"/>
      <c r="AE64" s="2428"/>
      <c r="AF64" s="87">
        <v>0</v>
      </c>
      <c r="AG64" s="1833">
        <v>95183.734812857147</v>
      </c>
      <c r="AH64" s="1835">
        <f ca="1">D88</f>
        <v>104048.93522714285</v>
      </c>
      <c r="AI64" s="1834">
        <v>84145.312454285711</v>
      </c>
      <c r="AJ64" s="1"/>
      <c r="AK64" s="1"/>
      <c r="AL64" s="1"/>
    </row>
    <row r="65" spans="3:36" ht="21" customHeight="1" thickBot="1">
      <c r="C65" s="47" t="s">
        <v>103</v>
      </c>
      <c r="D65" s="99">
        <f ca="1">할인율!$J$7+$AH$57</f>
        <v>0.10984657800436334</v>
      </c>
      <c r="E65" s="99">
        <f ca="1">할인율!$J$7+$AH$57</f>
        <v>0.10984657800436334</v>
      </c>
      <c r="F65" s="99">
        <f ca="1">할인율!$J$7+$AH$57</f>
        <v>0.10984657800436334</v>
      </c>
      <c r="G65" s="99">
        <f ca="1">할인율!$J$7+$AH$57</f>
        <v>0.10984657800436334</v>
      </c>
      <c r="H65" s="99">
        <f ca="1">할인율!$J$7+$AH$57</f>
        <v>0.10984657800436334</v>
      </c>
      <c r="I65" s="99">
        <f ca="1">할인율!$J$7+$AH$57</f>
        <v>0.10984657800436334</v>
      </c>
      <c r="J65" s="89">
        <f ca="1">할인율!$J$7+$AH$57</f>
        <v>0.10984657800436334</v>
      </c>
      <c r="K65" s="89">
        <f ca="1">할인율!$J$7+$AH$57</f>
        <v>0.10984657800436334</v>
      </c>
      <c r="L65" s="89">
        <f ca="1">할인율!$J$7+$AH$57</f>
        <v>0.10984657800436334</v>
      </c>
      <c r="M65" s="89">
        <f ca="1">할인율!$J$7+$AH$57</f>
        <v>0.10984657800436334</v>
      </c>
      <c r="N65" s="89">
        <f ca="1">할인율!$J$7+$AH$57</f>
        <v>0.10984657800436334</v>
      </c>
      <c r="O65" s="89">
        <f ca="1">할인율!$J$7+$AH$57</f>
        <v>0.10984657800436334</v>
      </c>
      <c r="P65" s="89">
        <f ca="1">할인율!$J$7+$AH$57</f>
        <v>0.10984657800436334</v>
      </c>
      <c r="Q65" s="89">
        <f ca="1">할인율!$J$7+$AH$57</f>
        <v>0.10984657800436334</v>
      </c>
      <c r="R65" s="89">
        <f ca="1">할인율!$J$7+$AH$57</f>
        <v>0.10984657800436334</v>
      </c>
      <c r="S65" s="89">
        <f ca="1">할인율!$J$7+$AH$57</f>
        <v>0.10984657800436334</v>
      </c>
      <c r="T65" s="89">
        <f ca="1">할인율!$J$7+$AH$57</f>
        <v>0.10984657800436334</v>
      </c>
      <c r="U65" s="89">
        <f ca="1">할인율!$J$7+$AH$57</f>
        <v>0.10984657800436334</v>
      </c>
      <c r="V65" s="89">
        <f ca="1">할인율!$J$7+$AH$57</f>
        <v>0.10984657800436334</v>
      </c>
      <c r="W65" s="89">
        <f ca="1">할인율!$J$7+$AH$57</f>
        <v>0.10984657800436334</v>
      </c>
      <c r="X65" s="89">
        <f ca="1">할인율!$J$7+$AH$57</f>
        <v>0.10984657800436334</v>
      </c>
      <c r="Y65" s="1"/>
      <c r="Z65" s="1"/>
      <c r="AA65" s="1"/>
      <c r="AB65" s="3"/>
      <c r="AC65" s="1"/>
      <c r="AD65" s="1"/>
      <c r="AE65" s="2429"/>
      <c r="AF65" s="87">
        <v>0.01</v>
      </c>
      <c r="AG65" s="1833">
        <v>95799.768129999997</v>
      </c>
      <c r="AH65" s="1833">
        <v>90047.29581428571</v>
      </c>
      <c r="AI65" s="1834">
        <v>84688.719972857143</v>
      </c>
    </row>
    <row r="66" spans="3:36" ht="21" customHeight="1" thickBot="1">
      <c r="C66" s="47" t="s">
        <v>104</v>
      </c>
      <c r="D66" s="100">
        <f ca="1">1/((1+D65)^D64)</f>
        <v>1.320261189209323</v>
      </c>
      <c r="E66" s="100">
        <f ca="1">1/((1+E65)^E64)</f>
        <v>1.253759957549992</v>
      </c>
      <c r="F66" s="100">
        <f ca="1">1/((1+F65)^F64)</f>
        <v>1.1895889174009171</v>
      </c>
      <c r="G66" s="100">
        <f ca="1">1/((1+G65)^G64)</f>
        <v>1.1296696159611557</v>
      </c>
      <c r="H66" s="100">
        <f t="shared" ref="H66:M66" ca="1" si="23">1/((1+H65)^H64)</f>
        <v>1.0718498763495221</v>
      </c>
      <c r="I66" s="100">
        <f ca="1">1/((1+I65)^I64)</f>
        <v>1.0175704637880412</v>
      </c>
      <c r="J66" s="90">
        <f t="shared" ca="1" si="23"/>
        <v>0.96548828115568386</v>
      </c>
      <c r="K66" s="90">
        <f t="shared" ca="1" si="23"/>
        <v>0.91685687369307778</v>
      </c>
      <c r="L66" s="90">
        <f t="shared" ca="1" si="23"/>
        <v>0.86992950223061194</v>
      </c>
      <c r="M66" s="90">
        <f t="shared" ca="1" si="23"/>
        <v>0.826111366979836</v>
      </c>
      <c r="N66" s="90">
        <f ca="1">1/((1+N65)^N64)</f>
        <v>0.7838286115138986</v>
      </c>
      <c r="O66" s="90">
        <f t="shared" ref="O66:Q66" ca="1" si="24">1/((1+O65)^O64)</f>
        <v>0.74434735697008025</v>
      </c>
      <c r="P66" s="90">
        <f t="shared" ca="1" si="24"/>
        <v>0.70624951867069408</v>
      </c>
      <c r="Q66" s="90">
        <f t="shared" ca="1" si="24"/>
        <v>0.67048442708358347</v>
      </c>
      <c r="R66" s="90">
        <f ca="1">1/((1+R65)^R64)</f>
        <v>0.63616710594837356</v>
      </c>
      <c r="S66" s="90">
        <f t="shared" ref="S66:U66" ca="1" si="25">1/((1+S65)^S64)</f>
        <v>0.60412352515353474</v>
      </c>
      <c r="T66" s="90">
        <f t="shared" ca="1" si="25"/>
        <v>0.57320274581760466</v>
      </c>
      <c r="U66" s="90">
        <f t="shared" ca="1" si="25"/>
        <v>0.54433066436968336</v>
      </c>
      <c r="V66" s="90">
        <f ca="1">1/((1+V65)^V64)</f>
        <v>0.51647025559901416</v>
      </c>
      <c r="W66" s="90">
        <f t="shared" ref="W66" ca="1" si="26">1/((1+W65)^W64)</f>
        <v>0.49481642086202532</v>
      </c>
      <c r="X66" s="90">
        <f ca="1">1/((1+X65)^X64)</f>
        <v>0.49481642086202532</v>
      </c>
      <c r="Y66" s="1"/>
      <c r="Z66" s="1"/>
      <c r="AA66" s="1"/>
      <c r="AB66" s="3"/>
      <c r="AC66" s="1"/>
      <c r="AD66" s="1"/>
      <c r="AE66" s="1"/>
      <c r="AF66" s="86" t="s">
        <v>92</v>
      </c>
      <c r="AG66" s="1"/>
      <c r="AH66" s="1"/>
      <c r="AI66" s="1"/>
    </row>
    <row r="67" spans="3:36" ht="21" customHeight="1" thickBot="1">
      <c r="C67" s="47" t="s">
        <v>105</v>
      </c>
      <c r="D67" s="97">
        <f ca="1">D63*D66</f>
        <v>0</v>
      </c>
      <c r="E67" s="97">
        <f t="shared" ref="E67:M67" si="27">IF(E64&lt;=0,0,E63*E66)</f>
        <v>0</v>
      </c>
      <c r="F67" s="97">
        <f t="shared" si="27"/>
        <v>0</v>
      </c>
      <c r="G67" s="97">
        <f t="shared" si="27"/>
        <v>0</v>
      </c>
      <c r="H67" s="97">
        <f t="shared" si="27"/>
        <v>0</v>
      </c>
      <c r="I67" s="97">
        <f t="shared" si="27"/>
        <v>0</v>
      </c>
      <c r="J67" s="19">
        <f t="shared" ca="1" si="27"/>
        <v>0</v>
      </c>
      <c r="K67" s="19">
        <f t="shared" ca="1" si="27"/>
        <v>0</v>
      </c>
      <c r="L67" s="19">
        <f t="shared" ca="1" si="27"/>
        <v>0</v>
      </c>
      <c r="M67" s="19">
        <f t="shared" ca="1" si="27"/>
        <v>0</v>
      </c>
      <c r="N67" s="19">
        <f t="shared" ref="N67:W67" ca="1" si="28">IF(N64&lt;=0,0,N63*N66)</f>
        <v>0</v>
      </c>
      <c r="O67" s="19">
        <f t="shared" ca="1" si="28"/>
        <v>0</v>
      </c>
      <c r="P67" s="19">
        <f ca="1">IF(P64&lt;=0,0,P63*P66)</f>
        <v>0</v>
      </c>
      <c r="Q67" s="19">
        <f ca="1">IF(Q64&lt;=0,0,Q63*Q66)</f>
        <v>0</v>
      </c>
      <c r="R67" s="19">
        <f t="shared" ca="1" si="28"/>
        <v>0</v>
      </c>
      <c r="S67" s="19">
        <f t="shared" ca="1" si="28"/>
        <v>0</v>
      </c>
      <c r="T67" s="19">
        <f t="shared" ca="1" si="28"/>
        <v>0</v>
      </c>
      <c r="U67" s="19">
        <f t="shared" ca="1" si="28"/>
        <v>0</v>
      </c>
      <c r="V67" s="19">
        <f t="shared" ca="1" si="28"/>
        <v>0</v>
      </c>
      <c r="W67" s="19">
        <f t="shared" ca="1" si="28"/>
        <v>0</v>
      </c>
      <c r="X67" s="19">
        <f ca="1">IF(X64&lt;=0,0,X63*X66)</f>
        <v>72834.2546590938</v>
      </c>
      <c r="Y67" s="1">
        <v>44282</v>
      </c>
      <c r="Z67" s="1"/>
      <c r="AA67" s="1"/>
      <c r="AB67" s="3"/>
      <c r="AC67" s="1"/>
      <c r="AD67" s="1"/>
      <c r="AE67" s="86" t="s">
        <v>106</v>
      </c>
      <c r="AF67" s="1"/>
      <c r="AG67" s="1"/>
      <c r="AH67" s="1"/>
      <c r="AI67" s="1"/>
    </row>
    <row r="68" spans="3:36" ht="21" customHeight="1" thickBot="1">
      <c r="C68" s="47" t="s">
        <v>107</v>
      </c>
      <c r="D68" s="2430">
        <f ca="1">ROUND(SUM(J67:X67)*1000000,0)</f>
        <v>72834254659</v>
      </c>
      <c r="E68" s="2431"/>
      <c r="F68" s="91"/>
      <c r="G68" s="1"/>
      <c r="H68" s="92"/>
      <c r="I68" s="1"/>
      <c r="J68" s="1"/>
      <c r="K68" s="1"/>
      <c r="L68" s="1"/>
      <c r="M68" s="1"/>
      <c r="N68" s="1"/>
      <c r="O68" s="1"/>
      <c r="P68" s="1"/>
      <c r="Q68" s="1"/>
      <c r="R68" s="1"/>
      <c r="S68" s="1"/>
      <c r="T68" s="1"/>
      <c r="U68" s="1"/>
      <c r="V68" s="1"/>
      <c r="W68" s="1"/>
      <c r="X68" s="1"/>
      <c r="Y68" s="1">
        <f ca="1">X67/Y67-1</f>
        <v>0.64478240953646626</v>
      </c>
      <c r="Z68" s="1"/>
      <c r="AA68" s="1"/>
      <c r="AB68" s="3"/>
      <c r="AC68" s="1"/>
      <c r="AD68" s="1"/>
      <c r="AE68" s="2437" t="s">
        <v>98</v>
      </c>
      <c r="AF68" s="1"/>
      <c r="AG68" s="1"/>
      <c r="AH68" s="1"/>
      <c r="AI68" s="1"/>
    </row>
    <row r="69" spans="3:36" ht="21" customHeight="1" thickBot="1">
      <c r="C69" s="47" t="s">
        <v>108</v>
      </c>
      <c r="D69" s="2432">
        <f>N88</f>
        <v>700000</v>
      </c>
      <c r="E69" s="2433"/>
      <c r="F69" s="92"/>
      <c r="G69" s="1"/>
      <c r="H69" s="1"/>
      <c r="I69" s="1"/>
      <c r="J69" s="1"/>
      <c r="K69" s="1"/>
      <c r="L69" s="1"/>
      <c r="M69" s="1"/>
      <c r="N69" s="1"/>
      <c r="O69" s="1"/>
      <c r="P69" s="1"/>
      <c r="Q69" s="1"/>
      <c r="R69" s="1"/>
      <c r="S69" s="1"/>
      <c r="T69" s="1"/>
      <c r="U69" s="1"/>
      <c r="V69" s="1"/>
      <c r="W69" s="1"/>
      <c r="X69" s="1"/>
      <c r="Y69" s="1"/>
      <c r="Z69" s="1"/>
      <c r="AA69" s="1"/>
      <c r="AB69" s="3"/>
      <c r="AC69" s="1"/>
      <c r="AD69" s="1"/>
      <c r="AE69" s="2438"/>
      <c r="AF69" s="93">
        <f ca="1">D82</f>
        <v>55309.136369645799</v>
      </c>
      <c r="AG69" s="84">
        <v>-0.01</v>
      </c>
      <c r="AH69" s="84">
        <v>0</v>
      </c>
      <c r="AI69" s="85">
        <v>0.01</v>
      </c>
      <c r="AJ69" s="1865"/>
    </row>
    <row r="70" spans="3:36" ht="33.75" customHeight="1" thickBot="1">
      <c r="C70" s="94" t="s">
        <v>109</v>
      </c>
      <c r="D70" s="2434">
        <f ca="1">D68/D69</f>
        <v>104048.93522714285</v>
      </c>
      <c r="E70" s="2435"/>
      <c r="F70" s="95" t="s">
        <v>1201</v>
      </c>
      <c r="G70" s="1"/>
      <c r="H70" s="86"/>
      <c r="I70" s="1"/>
      <c r="J70" s="1"/>
      <c r="K70" s="1"/>
      <c r="L70" s="1"/>
      <c r="M70" s="1"/>
      <c r="N70" s="1"/>
      <c r="O70" s="1"/>
      <c r="P70" s="1"/>
      <c r="Q70" s="1"/>
      <c r="R70" s="1"/>
      <c r="S70" s="1"/>
      <c r="T70" s="1"/>
      <c r="U70" s="1"/>
      <c r="V70" s="1"/>
      <c r="W70" s="1"/>
      <c r="X70" s="1"/>
      <c r="Y70" s="1"/>
      <c r="Z70" s="1"/>
      <c r="AA70" s="1"/>
      <c r="AB70" s="3"/>
      <c r="AC70" s="1"/>
      <c r="AD70" s="1"/>
      <c r="AE70" s="2427" t="s">
        <v>101</v>
      </c>
      <c r="AF70" s="87">
        <v>-0.01</v>
      </c>
      <c r="AG70" s="1833">
        <v>54702.095310749588</v>
      </c>
      <c r="AH70" s="1833">
        <v>51922.731536449755</v>
      </c>
      <c r="AI70" s="1834">
        <v>49326.122307248763</v>
      </c>
      <c r="AJ70" s="1865"/>
    </row>
    <row r="71" spans="3:36" ht="21" customHeight="1" thickBot="1">
      <c r="C71" s="96"/>
      <c r="D71" s="1"/>
      <c r="E71" s="1"/>
      <c r="F71" s="1"/>
      <c r="G71" s="1"/>
      <c r="H71" s="1"/>
      <c r="I71" s="1"/>
      <c r="J71" s="1"/>
      <c r="K71" s="1"/>
      <c r="L71" s="1"/>
      <c r="M71" s="1"/>
      <c r="N71" s="1"/>
      <c r="O71" s="1"/>
      <c r="P71" s="1"/>
      <c r="Q71" s="1"/>
      <c r="R71" s="1"/>
      <c r="S71" s="1"/>
      <c r="T71" s="1"/>
      <c r="U71" s="1"/>
      <c r="V71" s="1"/>
      <c r="W71" s="1"/>
      <c r="X71" s="1"/>
      <c r="Y71" s="1"/>
      <c r="Z71" s="1"/>
      <c r="AA71" s="1"/>
      <c r="AB71" s="3"/>
      <c r="AC71" s="1"/>
      <c r="AD71" s="1"/>
      <c r="AE71" s="2428"/>
      <c r="AF71" s="87">
        <v>0</v>
      </c>
      <c r="AG71" s="1833">
        <v>54835.298560955518</v>
      </c>
      <c r="AH71" s="1835">
        <f ca="1">D89</f>
        <v>55309.136369645799</v>
      </c>
      <c r="AI71" s="1834">
        <v>49443.621873764416</v>
      </c>
      <c r="AJ71" s="1865"/>
    </row>
    <row r="72" spans="3:36" ht="21" customHeight="1" thickBot="1">
      <c r="C72" s="4" t="s">
        <v>110</v>
      </c>
      <c r="D72" s="81" t="s">
        <v>97</v>
      </c>
      <c r="E72" s="82">
        <f>$E$2</f>
        <v>45565</v>
      </c>
      <c r="F72" s="1"/>
      <c r="G72" s="1"/>
      <c r="H72" s="1"/>
      <c r="I72" s="1"/>
      <c r="J72" s="1"/>
      <c r="K72" s="1"/>
      <c r="L72" s="1"/>
      <c r="M72" s="1"/>
      <c r="N72" s="1"/>
      <c r="O72" s="1"/>
      <c r="P72" s="1"/>
      <c r="Q72" s="1"/>
      <c r="R72" s="1"/>
      <c r="S72" s="1"/>
      <c r="T72" s="1"/>
      <c r="U72" s="1"/>
      <c r="V72" s="1"/>
      <c r="W72" s="1"/>
      <c r="X72" s="1"/>
      <c r="Y72" s="1"/>
      <c r="Z72" s="1"/>
      <c r="AA72" s="1"/>
      <c r="AB72" s="3"/>
      <c r="AC72" s="1"/>
      <c r="AD72" s="1"/>
      <c r="AE72" s="2429"/>
      <c r="AF72" s="87">
        <v>0.01</v>
      </c>
      <c r="AG72" s="1833">
        <v>54968.501811161448</v>
      </c>
      <c r="AH72" s="1833">
        <v>52172.871772034596</v>
      </c>
      <c r="AI72" s="1834">
        <v>49561.121440486</v>
      </c>
      <c r="AJ72" s="1865"/>
    </row>
    <row r="73" spans="3:36" ht="21" customHeight="1" thickBot="1">
      <c r="C73" s="41" t="s">
        <v>84</v>
      </c>
      <c r="D73" s="71" t="str">
        <f>D6</f>
        <v>제1기</v>
      </c>
      <c r="E73" s="71" t="str">
        <f t="shared" ref="E73:X73" si="29">E6</f>
        <v>제2기</v>
      </c>
      <c r="F73" s="71" t="str">
        <f t="shared" si="29"/>
        <v>제3기</v>
      </c>
      <c r="G73" s="71" t="str">
        <f t="shared" si="29"/>
        <v>제4기</v>
      </c>
      <c r="H73" s="71" t="str">
        <f t="shared" si="29"/>
        <v>제5기</v>
      </c>
      <c r="I73" s="71" t="str">
        <f t="shared" si="29"/>
        <v>제6기</v>
      </c>
      <c r="J73" s="13" t="str">
        <f t="shared" si="29"/>
        <v>제7기</v>
      </c>
      <c r="K73" s="13" t="str">
        <f t="shared" si="29"/>
        <v>제8기</v>
      </c>
      <c r="L73" s="13" t="str">
        <f t="shared" si="29"/>
        <v>제9기</v>
      </c>
      <c r="M73" s="13" t="str">
        <f t="shared" si="29"/>
        <v>제10기</v>
      </c>
      <c r="N73" s="13" t="str">
        <f t="shared" si="29"/>
        <v>제11기</v>
      </c>
      <c r="O73" s="13" t="str">
        <f t="shared" si="29"/>
        <v>제12기</v>
      </c>
      <c r="P73" s="13" t="str">
        <f t="shared" si="29"/>
        <v>제13기</v>
      </c>
      <c r="Q73" s="13" t="str">
        <f t="shared" si="29"/>
        <v>제14기</v>
      </c>
      <c r="R73" s="13" t="str">
        <f t="shared" si="29"/>
        <v>제15기</v>
      </c>
      <c r="S73" s="13" t="str">
        <f t="shared" si="29"/>
        <v>제16기</v>
      </c>
      <c r="T73" s="13" t="str">
        <f t="shared" si="29"/>
        <v>제17기</v>
      </c>
      <c r="U73" s="13" t="str">
        <f t="shared" si="29"/>
        <v>제18기</v>
      </c>
      <c r="V73" s="13" t="str">
        <f t="shared" si="29"/>
        <v>제19기</v>
      </c>
      <c r="W73" s="13" t="str">
        <f t="shared" si="29"/>
        <v>제20기</v>
      </c>
      <c r="X73" s="13" t="str">
        <f t="shared" si="29"/>
        <v>제21기</v>
      </c>
      <c r="Y73" s="1"/>
      <c r="Z73" s="1"/>
      <c r="AA73" s="1"/>
      <c r="AB73" s="3"/>
      <c r="AC73" s="1"/>
      <c r="AD73" s="1"/>
      <c r="AE73" s="1"/>
      <c r="AF73" s="1"/>
      <c r="AG73" s="1"/>
      <c r="AH73" s="1"/>
      <c r="AI73" s="1"/>
      <c r="AJ73" s="1865"/>
    </row>
    <row r="74" spans="3:36" ht="21" customHeight="1" thickBot="1">
      <c r="C74" s="41" t="s">
        <v>31</v>
      </c>
      <c r="D74" s="71">
        <f>D62</f>
        <v>44592</v>
      </c>
      <c r="E74" s="71">
        <f t="shared" ref="E74:X74" si="30">E62</f>
        <v>44773</v>
      </c>
      <c r="F74" s="71">
        <f t="shared" si="30"/>
        <v>44957</v>
      </c>
      <c r="G74" s="71">
        <f t="shared" si="30"/>
        <v>45138</v>
      </c>
      <c r="H74" s="71">
        <f t="shared" si="30"/>
        <v>45322</v>
      </c>
      <c r="I74" s="71">
        <f t="shared" si="30"/>
        <v>45504</v>
      </c>
      <c r="J74" s="13">
        <f t="shared" si="30"/>
        <v>45688</v>
      </c>
      <c r="K74" s="13">
        <f t="shared" si="30"/>
        <v>45869</v>
      </c>
      <c r="L74" s="13">
        <f t="shared" si="30"/>
        <v>46053</v>
      </c>
      <c r="M74" s="13">
        <f t="shared" si="30"/>
        <v>46234</v>
      </c>
      <c r="N74" s="13">
        <f t="shared" si="30"/>
        <v>46418</v>
      </c>
      <c r="O74" s="13">
        <f t="shared" si="30"/>
        <v>46599</v>
      </c>
      <c r="P74" s="13">
        <f t="shared" si="30"/>
        <v>46783</v>
      </c>
      <c r="Q74" s="13">
        <f t="shared" si="30"/>
        <v>46965</v>
      </c>
      <c r="R74" s="13">
        <f t="shared" si="30"/>
        <v>47149</v>
      </c>
      <c r="S74" s="13">
        <f t="shared" si="30"/>
        <v>47330</v>
      </c>
      <c r="T74" s="13">
        <f t="shared" si="30"/>
        <v>47514</v>
      </c>
      <c r="U74" s="13">
        <f t="shared" si="30"/>
        <v>47695</v>
      </c>
      <c r="V74" s="13">
        <f t="shared" si="30"/>
        <v>47879</v>
      </c>
      <c r="W74" s="13">
        <f t="shared" si="30"/>
        <v>48029</v>
      </c>
      <c r="X74" s="13">
        <f t="shared" si="30"/>
        <v>48029</v>
      </c>
      <c r="Y74" s="1"/>
      <c r="Z74" s="1"/>
      <c r="AA74" s="1"/>
      <c r="AB74" s="3"/>
      <c r="AC74" s="1"/>
      <c r="AD74" s="1"/>
      <c r="AE74" s="1"/>
      <c r="AF74" s="1"/>
      <c r="AG74" s="1"/>
      <c r="AH74" s="1"/>
      <c r="AI74" s="1"/>
    </row>
    <row r="75" spans="3:36" ht="21" customHeight="1" thickBot="1">
      <c r="C75" s="47" t="s">
        <v>91</v>
      </c>
      <c r="D75" s="97"/>
      <c r="E75" s="97">
        <f>E56</f>
        <v>0</v>
      </c>
      <c r="F75" s="97">
        <f>F56</f>
        <v>0</v>
      </c>
      <c r="G75" s="97">
        <f t="shared" ref="G75:W75" si="31">G56</f>
        <v>0</v>
      </c>
      <c r="H75" s="97">
        <f t="shared" si="31"/>
        <v>0</v>
      </c>
      <c r="I75" s="97">
        <f>I56</f>
        <v>4860</v>
      </c>
      <c r="J75" s="18">
        <f>J56</f>
        <v>4860</v>
      </c>
      <c r="K75" s="18">
        <f t="shared" si="31"/>
        <v>4860.0000000000009</v>
      </c>
      <c r="L75" s="18">
        <f t="shared" si="31"/>
        <v>4860.0000000000009</v>
      </c>
      <c r="M75" s="18">
        <f t="shared" si="31"/>
        <v>4860.0000000000009</v>
      </c>
      <c r="N75" s="18">
        <f t="shared" si="31"/>
        <v>5943</v>
      </c>
      <c r="O75" s="18">
        <f t="shared" si="31"/>
        <v>5943</v>
      </c>
      <c r="P75" s="18">
        <f t="shared" si="31"/>
        <v>6100.8872171842304</v>
      </c>
      <c r="Q75" s="18">
        <f t="shared" si="31"/>
        <v>5943</v>
      </c>
      <c r="R75" s="18">
        <f t="shared" si="31"/>
        <v>5943.0000000000009</v>
      </c>
      <c r="S75" s="18">
        <f t="shared" si="31"/>
        <v>8059.4802109788416</v>
      </c>
      <c r="T75" s="18">
        <f t="shared" si="31"/>
        <v>9744.8104223767532</v>
      </c>
      <c r="U75" s="18">
        <f t="shared" si="31"/>
        <v>8546.9776538911428</v>
      </c>
      <c r="V75" s="18">
        <f t="shared" si="31"/>
        <v>10258.353380260729</v>
      </c>
      <c r="W75" s="18">
        <f t="shared" si="31"/>
        <v>9016.4505219601433</v>
      </c>
      <c r="X75" s="18">
        <f>X56</f>
        <v>414633.37735109287</v>
      </c>
      <c r="Y75" s="1"/>
      <c r="Z75" s="1"/>
      <c r="AA75" s="1"/>
      <c r="AB75" s="3"/>
      <c r="AC75" s="56" t="s">
        <v>111</v>
      </c>
      <c r="AD75" s="1"/>
      <c r="AE75" s="1"/>
      <c r="AF75" s="1"/>
      <c r="AG75" s="1"/>
      <c r="AH75" s="1"/>
      <c r="AI75" s="1"/>
    </row>
    <row r="76" spans="3:36" ht="21" customHeight="1" thickBot="1">
      <c r="C76" s="47" t="s">
        <v>112</v>
      </c>
      <c r="D76" s="98"/>
      <c r="E76" s="98">
        <f>(E74-$E$72)/365</f>
        <v>-2.1698630136986301</v>
      </c>
      <c r="F76" s="98">
        <f>(F74-$E$72)/365</f>
        <v>-1.6657534246575343</v>
      </c>
      <c r="G76" s="98">
        <f t="shared" ref="G76:W76" si="32">(G74-$E$72)/365</f>
        <v>-1.1698630136986301</v>
      </c>
      <c r="H76" s="98">
        <f t="shared" si="32"/>
        <v>-0.66575342465753429</v>
      </c>
      <c r="I76" s="98">
        <f>(I74-$E$72)/365</f>
        <v>-0.16712328767123288</v>
      </c>
      <c r="J76" s="88">
        <f>(J74-$E$72)/365</f>
        <v>0.33698630136986302</v>
      </c>
      <c r="K76" s="88">
        <f t="shared" si="32"/>
        <v>0.83287671232876714</v>
      </c>
      <c r="L76" s="88">
        <f t="shared" si="32"/>
        <v>1.3369863013698631</v>
      </c>
      <c r="M76" s="88">
        <f t="shared" si="32"/>
        <v>1.832876712328767</v>
      </c>
      <c r="N76" s="88">
        <f t="shared" si="32"/>
        <v>2.3369863013698629</v>
      </c>
      <c r="O76" s="88">
        <f t="shared" si="32"/>
        <v>2.8328767123287673</v>
      </c>
      <c r="P76" s="88">
        <f t="shared" si="32"/>
        <v>3.3369863013698629</v>
      </c>
      <c r="Q76" s="88">
        <f t="shared" si="32"/>
        <v>3.8356164383561642</v>
      </c>
      <c r="R76" s="88">
        <f t="shared" si="32"/>
        <v>4.3397260273972602</v>
      </c>
      <c r="S76" s="88">
        <f t="shared" si="32"/>
        <v>4.8356164383561646</v>
      </c>
      <c r="T76" s="88">
        <f t="shared" si="32"/>
        <v>5.3397260273972602</v>
      </c>
      <c r="U76" s="88">
        <f t="shared" si="32"/>
        <v>5.8356164383561646</v>
      </c>
      <c r="V76" s="88">
        <f t="shared" si="32"/>
        <v>6.3397260273972602</v>
      </c>
      <c r="W76" s="88">
        <f t="shared" si="32"/>
        <v>6.7506849315068491</v>
      </c>
      <c r="X76" s="88">
        <f>(X74-$E$72)/365</f>
        <v>6.7506849315068491</v>
      </c>
      <c r="Y76" s="1"/>
      <c r="Z76" s="1"/>
      <c r="AA76" s="1"/>
      <c r="AB76" s="3"/>
      <c r="AC76" s="59" t="b">
        <f ca="1">D68+D80=F88</f>
        <v>1</v>
      </c>
      <c r="AD76" s="1"/>
      <c r="AE76" s="1"/>
      <c r="AF76" s="1"/>
      <c r="AG76" s="1"/>
      <c r="AH76" s="1"/>
      <c r="AI76" s="1"/>
    </row>
    <row r="77" spans="3:36" ht="21" customHeight="1" thickBot="1">
      <c r="C77" s="47" t="s">
        <v>103</v>
      </c>
      <c r="D77" s="99"/>
      <c r="E77" s="99">
        <f ca="1">할인율!$E$7+$AH$57</f>
        <v>0.10984657800436334</v>
      </c>
      <c r="F77" s="99">
        <f ca="1">할인율!$E$7+$AH$57</f>
        <v>0.10984657800436334</v>
      </c>
      <c r="G77" s="99">
        <f ca="1">할인율!$E$7+$AH$57</f>
        <v>0.10984657800436334</v>
      </c>
      <c r="H77" s="99">
        <f ca="1">할인율!$E$7+$AH$57</f>
        <v>0.10984657800436334</v>
      </c>
      <c r="I77" s="99">
        <f ca="1">할인율!$E$7+$AH$57</f>
        <v>0.10984657800436334</v>
      </c>
      <c r="J77" s="89">
        <f ca="1">할인율!$E$7+$AH$57</f>
        <v>0.10984657800436334</v>
      </c>
      <c r="K77" s="89">
        <f ca="1">할인율!$E$7+$AH$57</f>
        <v>0.10984657800436334</v>
      </c>
      <c r="L77" s="89">
        <f ca="1">할인율!$E$7+$AH$57</f>
        <v>0.10984657800436334</v>
      </c>
      <c r="M77" s="89">
        <f ca="1">할인율!$E$7+$AH$57</f>
        <v>0.10984657800436334</v>
      </c>
      <c r="N77" s="89">
        <f ca="1">할인율!$E$7+$AH$57</f>
        <v>0.10984657800436334</v>
      </c>
      <c r="O77" s="89">
        <f ca="1">할인율!$E$7+$AH$57</f>
        <v>0.10984657800436334</v>
      </c>
      <c r="P77" s="89">
        <f ca="1">할인율!$E$7+$AH$57</f>
        <v>0.10984657800436334</v>
      </c>
      <c r="Q77" s="89">
        <f ca="1">할인율!$E$7+$AH$57</f>
        <v>0.10984657800436334</v>
      </c>
      <c r="R77" s="89">
        <f ca="1">할인율!$E$7+$AH$57</f>
        <v>0.10984657800436334</v>
      </c>
      <c r="S77" s="89">
        <f ca="1">할인율!$E$7+$AH$57</f>
        <v>0.10984657800436334</v>
      </c>
      <c r="T77" s="89">
        <f ca="1">할인율!$E$7+$AH$57</f>
        <v>0.10984657800436334</v>
      </c>
      <c r="U77" s="89">
        <f ca="1">할인율!$E$7+$AH$57</f>
        <v>0.10984657800436334</v>
      </c>
      <c r="V77" s="89">
        <f ca="1">할인율!$E$7+$AH$57</f>
        <v>0.10984657800436334</v>
      </c>
      <c r="W77" s="89">
        <f ca="1">할인율!$E$7+$AH$57</f>
        <v>0.10984657800436334</v>
      </c>
      <c r="X77" s="89">
        <f ca="1">할인율!$E$7+$AH$57</f>
        <v>0.10984657800436334</v>
      </c>
      <c r="Y77" s="1"/>
      <c r="Z77" s="1"/>
      <c r="AA77" s="1"/>
      <c r="AB77" s="3"/>
      <c r="AC77" s="1"/>
      <c r="AD77" s="1"/>
      <c r="AE77" s="1"/>
      <c r="AF77" s="1"/>
      <c r="AG77" s="1"/>
      <c r="AH77" s="1"/>
      <c r="AI77" s="1"/>
    </row>
    <row r="78" spans="3:36" ht="21" customHeight="1" thickBot="1">
      <c r="C78" s="47" t="s">
        <v>104</v>
      </c>
      <c r="D78" s="100"/>
      <c r="E78" s="100">
        <f ca="1">1/((1+E77)^E76)</f>
        <v>1.253759957549992</v>
      </c>
      <c r="F78" s="100">
        <f ca="1">1/((1+F77)^F76)</f>
        <v>1.1895889174009171</v>
      </c>
      <c r="G78" s="100">
        <f t="shared" ref="G78:W78" ca="1" si="33">1/((1+G77)^G76)</f>
        <v>1.1296696159611557</v>
      </c>
      <c r="H78" s="100">
        <f t="shared" ca="1" si="33"/>
        <v>1.0718498763495221</v>
      </c>
      <c r="I78" s="100">
        <f ca="1">1/((1+I77)^I76)</f>
        <v>1.0175704637880412</v>
      </c>
      <c r="J78" s="90">
        <f ca="1">1/((1+J77)^J76)</f>
        <v>0.96548828115568386</v>
      </c>
      <c r="K78" s="90">
        <f t="shared" ca="1" si="33"/>
        <v>0.91685687369307778</v>
      </c>
      <c r="L78" s="90">
        <f t="shared" ca="1" si="33"/>
        <v>0.86992950223061194</v>
      </c>
      <c r="M78" s="90">
        <f t="shared" ca="1" si="33"/>
        <v>0.826111366979836</v>
      </c>
      <c r="N78" s="90">
        <f t="shared" ca="1" si="33"/>
        <v>0.7838286115138986</v>
      </c>
      <c r="O78" s="90">
        <f t="shared" ca="1" si="33"/>
        <v>0.74434735697008025</v>
      </c>
      <c r="P78" s="90">
        <f t="shared" ca="1" si="33"/>
        <v>0.70624951867069408</v>
      </c>
      <c r="Q78" s="90">
        <f t="shared" ca="1" si="33"/>
        <v>0.67048442708358347</v>
      </c>
      <c r="R78" s="90">
        <f t="shared" ca="1" si="33"/>
        <v>0.63616710594837356</v>
      </c>
      <c r="S78" s="90">
        <f t="shared" ca="1" si="33"/>
        <v>0.60412352515353474</v>
      </c>
      <c r="T78" s="90">
        <f t="shared" ca="1" si="33"/>
        <v>0.57320274581760466</v>
      </c>
      <c r="U78" s="90">
        <f t="shared" ca="1" si="33"/>
        <v>0.54433066436968336</v>
      </c>
      <c r="V78" s="90">
        <f ca="1">1/((1+V77)^V76)</f>
        <v>0.51647025559901416</v>
      </c>
      <c r="W78" s="90">
        <f t="shared" ca="1" si="33"/>
        <v>0.49481642086202532</v>
      </c>
      <c r="X78" s="90">
        <f ca="1">1/((1+X77)^X76)</f>
        <v>0.49481642086202532</v>
      </c>
      <c r="Y78" s="1"/>
      <c r="Z78" s="1"/>
      <c r="AA78" s="1"/>
      <c r="AB78" s="3"/>
      <c r="AC78" s="1"/>
      <c r="AD78" s="1"/>
      <c r="AE78" s="1"/>
      <c r="AF78" s="1"/>
      <c r="AG78" s="1"/>
      <c r="AH78" s="1"/>
      <c r="AI78" s="1"/>
    </row>
    <row r="79" spans="3:36" ht="21" customHeight="1" thickBot="1">
      <c r="C79" s="47" t="s">
        <v>105</v>
      </c>
      <c r="D79" s="97"/>
      <c r="E79" s="97">
        <f>IF(E76&lt;=0,0,E75*E78)</f>
        <v>0</v>
      </c>
      <c r="F79" s="97">
        <f>IF(F76&lt;=0,0,F75*F78)</f>
        <v>0</v>
      </c>
      <c r="G79" s="97">
        <f>IF(G76&lt;=0,0,G75*G78)</f>
        <v>0</v>
      </c>
      <c r="H79" s="97">
        <f t="shared" ref="H79:W79" si="34">IF(H76&lt;=0,0,H75*H78)</f>
        <v>0</v>
      </c>
      <c r="I79" s="97">
        <f t="shared" si="34"/>
        <v>0</v>
      </c>
      <c r="J79" s="19">
        <f t="shared" ca="1" si="34"/>
        <v>4692.2730464166234</v>
      </c>
      <c r="K79" s="19">
        <f t="shared" ca="1" si="34"/>
        <v>4455.9244061483587</v>
      </c>
      <c r="L79" s="19">
        <f t="shared" ca="1" si="34"/>
        <v>4227.8573808407746</v>
      </c>
      <c r="M79" s="19">
        <f t="shared" ca="1" si="34"/>
        <v>4014.9012435220038</v>
      </c>
      <c r="N79" s="19">
        <f t="shared" ca="1" si="34"/>
        <v>4658.2934382270996</v>
      </c>
      <c r="O79" s="19">
        <f t="shared" ca="1" si="34"/>
        <v>4423.6563424731867</v>
      </c>
      <c r="P79" s="19">
        <f t="shared" ca="1" si="34"/>
        <v>4308.7486606005532</v>
      </c>
      <c r="Q79" s="19">
        <f t="shared" ca="1" si="34"/>
        <v>3984.6889501577366</v>
      </c>
      <c r="R79" s="19">
        <f t="shared" ca="1" si="34"/>
        <v>3780.7411106511845</v>
      </c>
      <c r="S79" s="19">
        <f t="shared" ca="1" si="34"/>
        <v>4868.9215959616913</v>
      </c>
      <c r="T79" s="19">
        <f t="shared" ca="1" si="34"/>
        <v>5585.7520915783671</v>
      </c>
      <c r="U79" s="19">
        <f t="shared" ca="1" si="34"/>
        <v>4652.3820246954037</v>
      </c>
      <c r="V79" s="19">
        <f t="shared" ca="1" si="34"/>
        <v>5298.1343923282693</v>
      </c>
      <c r="W79" s="19">
        <f t="shared" ca="1" si="34"/>
        <v>4461.4877761558582</v>
      </c>
      <c r="X79" s="19">
        <f ca="1">IF(X76&lt;=0,0,X75*X78)</f>
        <v>205167.40375080131</v>
      </c>
      <c r="Y79" s="1"/>
      <c r="Z79" s="1"/>
      <c r="AA79" s="1"/>
      <c r="AB79" s="3"/>
      <c r="AC79" s="1"/>
      <c r="AD79" s="1"/>
      <c r="AE79" s="1"/>
      <c r="AF79" s="1"/>
      <c r="AG79" s="1"/>
      <c r="AH79" s="1"/>
      <c r="AI79" s="1"/>
    </row>
    <row r="80" spans="3:36" ht="21" customHeight="1" thickBot="1">
      <c r="C80" s="47" t="s">
        <v>107</v>
      </c>
      <c r="D80" s="2430">
        <f ca="1">ROUND(SUM(J79:X79)*1000000,0)</f>
        <v>268581166211</v>
      </c>
      <c r="E80" s="2431"/>
      <c r="F80" s="91"/>
      <c r="G80" s="1"/>
      <c r="H80" s="92"/>
      <c r="I80" s="1"/>
      <c r="J80" s="1"/>
      <c r="K80" s="1"/>
      <c r="L80" s="1"/>
      <c r="M80" s="1"/>
      <c r="N80" s="1"/>
      <c r="O80" s="1"/>
      <c r="P80" s="1"/>
      <c r="Q80" s="1"/>
      <c r="R80" s="1"/>
      <c r="S80" s="1"/>
      <c r="T80" s="1"/>
      <c r="U80" s="1"/>
      <c r="V80" s="1"/>
      <c r="W80" s="1"/>
      <c r="X80" s="1"/>
      <c r="Y80" s="1"/>
      <c r="Z80" s="1"/>
      <c r="AA80" s="1"/>
      <c r="AB80" s="3"/>
      <c r="AC80" s="1"/>
      <c r="AD80" s="1"/>
      <c r="AE80" s="1"/>
      <c r="AF80" s="1"/>
      <c r="AG80" s="1"/>
      <c r="AH80" s="1"/>
      <c r="AI80" s="1"/>
    </row>
    <row r="81" spans="3:25" ht="21" customHeight="1" thickBot="1">
      <c r="C81" s="47" t="s">
        <v>108</v>
      </c>
      <c r="D81" s="2432">
        <f>N89+N90</f>
        <v>4856000</v>
      </c>
      <c r="E81" s="2433"/>
      <c r="F81" s="92"/>
      <c r="G81" s="1"/>
      <c r="H81" s="1"/>
      <c r="I81" s="1"/>
      <c r="J81" s="1"/>
      <c r="K81" s="1"/>
      <c r="L81" s="1"/>
      <c r="M81" s="1"/>
      <c r="N81" s="1"/>
      <c r="O81" s="1"/>
      <c r="P81" s="1"/>
      <c r="Q81" s="1"/>
      <c r="R81" s="1"/>
      <c r="S81" s="1"/>
      <c r="T81" s="1"/>
      <c r="Y81" s="1"/>
    </row>
    <row r="82" spans="3:25" ht="45" customHeight="1" thickBot="1">
      <c r="C82" s="94" t="s">
        <v>109</v>
      </c>
      <c r="D82" s="2434">
        <f ca="1">D80/D81</f>
        <v>55309.136369645799</v>
      </c>
      <c r="E82" s="2435"/>
      <c r="F82" s="95" t="s">
        <v>113</v>
      </c>
      <c r="G82" s="1"/>
      <c r="H82" s="1"/>
      <c r="I82" s="2389"/>
      <c r="J82" s="2390"/>
      <c r="K82" s="2390"/>
      <c r="L82" s="2390"/>
      <c r="M82" s="1"/>
      <c r="N82" s="1"/>
      <c r="O82" s="1"/>
      <c r="P82" s="1"/>
      <c r="Q82" s="1"/>
      <c r="R82" s="1"/>
      <c r="S82" s="1"/>
      <c r="T82" s="1"/>
    </row>
    <row r="83" spans="3:25" ht="21" customHeight="1">
      <c r="C83" s="1"/>
      <c r="D83" s="1"/>
      <c r="E83" s="1"/>
      <c r="F83" s="92"/>
      <c r="G83" s="1"/>
      <c r="H83" s="1"/>
      <c r="I83" s="1"/>
      <c r="J83" s="1"/>
      <c r="K83" s="1"/>
      <c r="L83" s="1"/>
      <c r="M83" s="1"/>
      <c r="N83" s="1"/>
      <c r="O83" s="1"/>
      <c r="P83" s="1"/>
      <c r="Q83" s="1"/>
      <c r="R83" s="1"/>
      <c r="S83" s="1"/>
      <c r="T83" s="1"/>
    </row>
    <row r="84" spans="3:25" ht="21" customHeight="1">
      <c r="C84" s="1"/>
      <c r="D84" s="1"/>
      <c r="E84" s="1"/>
      <c r="F84" s="92"/>
      <c r="G84" s="1"/>
      <c r="H84" s="1"/>
      <c r="I84" s="1"/>
      <c r="J84" s="1"/>
      <c r="K84" s="1"/>
      <c r="L84" s="1"/>
      <c r="M84" s="1"/>
      <c r="N84" s="1"/>
      <c r="O84" s="1"/>
      <c r="P84" s="1"/>
      <c r="Q84" s="1"/>
      <c r="R84" s="1"/>
      <c r="S84" s="1"/>
      <c r="T84" s="1"/>
    </row>
    <row r="85" spans="3:25" ht="21" customHeight="1">
      <c r="C85" s="2436" t="s">
        <v>1479</v>
      </c>
      <c r="D85" s="2436"/>
      <c r="E85" s="2436"/>
      <c r="F85" s="2436"/>
      <c r="G85" s="2436"/>
      <c r="H85" s="2436"/>
      <c r="I85" s="101" t="s">
        <v>114</v>
      </c>
      <c r="J85" s="1"/>
      <c r="K85" s="1"/>
      <c r="L85" s="1"/>
      <c r="M85" s="102" t="s">
        <v>115</v>
      </c>
      <c r="N85" s="1"/>
      <c r="O85" s="1"/>
      <c r="P85" s="1"/>
      <c r="Q85" s="1"/>
      <c r="R85" s="1"/>
      <c r="S85" s="1"/>
      <c r="T85" s="1"/>
    </row>
    <row r="86" spans="3:25" ht="21" customHeight="1" thickBot="1">
      <c r="C86" s="1"/>
      <c r="D86" s="1"/>
      <c r="E86" s="1"/>
      <c r="F86" s="103" t="s">
        <v>116</v>
      </c>
      <c r="G86" s="1"/>
      <c r="H86" s="1"/>
      <c r="I86" s="86" t="s">
        <v>117</v>
      </c>
      <c r="J86" s="1"/>
      <c r="K86" s="1"/>
      <c r="L86" s="1"/>
      <c r="M86" s="1"/>
      <c r="N86" s="104"/>
      <c r="O86" s="92"/>
      <c r="P86" s="92"/>
      <c r="Q86" s="1"/>
      <c r="R86" s="1"/>
      <c r="S86" s="1"/>
      <c r="T86" s="1"/>
    </row>
    <row r="87" spans="3:25" ht="21" customHeight="1" thickBot="1">
      <c r="C87" s="105" t="s">
        <v>118</v>
      </c>
      <c r="D87" s="106" t="s">
        <v>119</v>
      </c>
      <c r="E87" s="106" t="s">
        <v>120</v>
      </c>
      <c r="F87" s="106"/>
      <c r="G87" s="1"/>
      <c r="H87" s="107" t="s">
        <v>121</v>
      </c>
      <c r="I87" s="108" t="s">
        <v>122</v>
      </c>
      <c r="J87" s="107" t="s">
        <v>123</v>
      </c>
      <c r="K87" s="107" t="s">
        <v>124</v>
      </c>
      <c r="L87" s="1"/>
      <c r="M87" s="109" t="s">
        <v>125</v>
      </c>
      <c r="N87" s="110" t="s">
        <v>120</v>
      </c>
      <c r="O87" s="110" t="s">
        <v>126</v>
      </c>
      <c r="P87" s="110" t="s">
        <v>127</v>
      </c>
      <c r="Q87" s="1"/>
      <c r="R87" s="86" t="s">
        <v>128</v>
      </c>
      <c r="S87" s="111" t="s">
        <v>81</v>
      </c>
      <c r="T87" s="112">
        <v>80000</v>
      </c>
    </row>
    <row r="88" spans="3:25" ht="21" customHeight="1" thickBot="1">
      <c r="C88" s="113" t="s">
        <v>81</v>
      </c>
      <c r="D88" s="114">
        <f ca="1">D70</f>
        <v>104048.93522714285</v>
      </c>
      <c r="E88" s="114">
        <v>700000</v>
      </c>
      <c r="F88" s="2445">
        <f ca="1">SUMPRODUCT(D88:D89,E88:E89)</f>
        <v>341415420870</v>
      </c>
      <c r="G88" s="1"/>
      <c r="H88" s="112">
        <f>K88*P88</f>
        <v>1000000000</v>
      </c>
      <c r="I88" s="115">
        <f ca="1">D88*K88</f>
        <v>2080978704.5428569</v>
      </c>
      <c r="J88" s="116">
        <f ca="1">D88*K88</f>
        <v>2080978704.5428569</v>
      </c>
      <c r="K88" s="112">
        <v>20000</v>
      </c>
      <c r="L88" s="1"/>
      <c r="M88" s="117" t="s">
        <v>129</v>
      </c>
      <c r="N88" s="118">
        <f>케이원15호정리!C5</f>
        <v>700000</v>
      </c>
      <c r="O88" s="118">
        <f>N88*P88</f>
        <v>35000000000</v>
      </c>
      <c r="P88" s="118">
        <v>50000</v>
      </c>
      <c r="Q88" s="1"/>
      <c r="R88" s="1"/>
      <c r="S88" s="1"/>
      <c r="T88" s="1"/>
    </row>
    <row r="89" spans="3:25" ht="21" customHeight="1" thickBot="1">
      <c r="C89" s="113" t="s">
        <v>130</v>
      </c>
      <c r="D89" s="114">
        <f ca="1">D82</f>
        <v>55309.136369645799</v>
      </c>
      <c r="E89" s="114">
        <v>4856000</v>
      </c>
      <c r="F89" s="2446"/>
      <c r="G89" s="1"/>
      <c r="H89" s="112">
        <f>K89*P89</f>
        <v>21840000000</v>
      </c>
      <c r="I89" s="115">
        <f ca="1">D90*K89</f>
        <v>24159030766.261284</v>
      </c>
      <c r="J89" s="116">
        <f ca="1">D89*K89</f>
        <v>24159030766.261284</v>
      </c>
      <c r="K89" s="119">
        <v>436800</v>
      </c>
      <c r="L89" s="1"/>
      <c r="M89" s="117" t="s">
        <v>131</v>
      </c>
      <c r="N89" s="118">
        <f>케이원15호정리!D81</f>
        <v>4856000</v>
      </c>
      <c r="O89" s="118">
        <f>N89*P89</f>
        <v>242800000000</v>
      </c>
      <c r="P89" s="118">
        <v>50000</v>
      </c>
      <c r="Q89" s="1"/>
      <c r="R89" s="1"/>
      <c r="S89" s="1"/>
      <c r="T89" s="1"/>
    </row>
    <row r="90" spans="3:25" ht="21" customHeight="1" thickBot="1">
      <c r="C90" s="86" t="s">
        <v>132</v>
      </c>
      <c r="D90" s="120">
        <f ca="1">D80/(N89+N90)</f>
        <v>55309.136369645799</v>
      </c>
      <c r="E90" s="139">
        <f>SUM(E88:E89)</f>
        <v>5556000</v>
      </c>
      <c r="F90" s="1"/>
      <c r="G90" s="1"/>
      <c r="H90" s="121">
        <f>H88+H89</f>
        <v>22840000000</v>
      </c>
      <c r="I90" s="122">
        <f ca="1">I88+I89</f>
        <v>26240009470.804142</v>
      </c>
      <c r="J90" s="123">
        <f ca="1">J88+J89</f>
        <v>26240009470.804142</v>
      </c>
      <c r="K90" s="124"/>
      <c r="L90" s="1"/>
      <c r="M90" s="125" t="s">
        <v>133</v>
      </c>
      <c r="N90" s="126"/>
      <c r="O90" s="127"/>
      <c r="P90" s="126">
        <v>50000</v>
      </c>
      <c r="Q90" s="1"/>
      <c r="R90" s="1"/>
      <c r="S90" s="1"/>
      <c r="T90" s="1"/>
    </row>
    <row r="91" spans="3:25" ht="21" customHeight="1" thickBot="1">
      <c r="C91" s="1"/>
      <c r="D91" s="1"/>
      <c r="E91" s="1"/>
      <c r="F91" s="120" t="b">
        <f ca="1">F88=D80+D68</f>
        <v>1</v>
      </c>
      <c r="G91" s="1"/>
      <c r="H91" s="124"/>
      <c r="I91" s="128">
        <f ca="1">I90/$H$90-1</f>
        <v>0.1488620608933513</v>
      </c>
      <c r="J91" s="129">
        <f ca="1">J90/$H$90-1</f>
        <v>0.1488620608933513</v>
      </c>
      <c r="K91" s="124"/>
      <c r="L91" s="1"/>
      <c r="M91" s="130" t="s">
        <v>134</v>
      </c>
      <c r="N91" s="131">
        <f>N88+N89</f>
        <v>5556000</v>
      </c>
      <c r="O91" s="1"/>
      <c r="P91" s="1"/>
      <c r="Q91" s="1"/>
      <c r="R91" s="1"/>
      <c r="S91" s="1"/>
      <c r="T91" s="1"/>
    </row>
    <row r="92" spans="3:25" ht="21" customHeight="1" thickBot="1">
      <c r="C92" s="1"/>
      <c r="D92" s="1"/>
      <c r="E92" s="1"/>
      <c r="F92" s="1"/>
      <c r="G92" s="1"/>
      <c r="H92" s="1"/>
      <c r="I92" s="1"/>
      <c r="J92" s="1"/>
      <c r="K92" s="1"/>
      <c r="L92" s="1"/>
      <c r="M92" s="1"/>
      <c r="N92" s="1"/>
      <c r="O92" s="1"/>
      <c r="P92" s="1"/>
      <c r="Q92" s="1"/>
      <c r="R92" s="1"/>
      <c r="S92" s="1"/>
      <c r="T92" s="1"/>
    </row>
    <row r="93" spans="3:25" ht="21" customHeight="1">
      <c r="C93" s="1"/>
      <c r="D93" s="1"/>
      <c r="E93" s="1"/>
      <c r="F93" s="1"/>
      <c r="G93" s="1"/>
      <c r="H93" s="1"/>
      <c r="I93" s="1"/>
      <c r="J93" s="1"/>
      <c r="K93" s="1"/>
      <c r="L93" s="1"/>
      <c r="M93" s="132" t="s">
        <v>135</v>
      </c>
      <c r="N93" s="133"/>
      <c r="O93" s="133"/>
      <c r="P93" s="133"/>
      <c r="Q93" s="134"/>
      <c r="R93" s="1"/>
      <c r="S93" s="1"/>
      <c r="T93" s="1"/>
    </row>
    <row r="94" spans="3:25" ht="21" customHeight="1">
      <c r="C94" s="1"/>
      <c r="D94" s="1"/>
      <c r="E94" s="1"/>
      <c r="F94" s="1"/>
      <c r="G94" s="1"/>
      <c r="H94" s="1" t="s">
        <v>136</v>
      </c>
      <c r="I94" s="1"/>
      <c r="J94" s="1"/>
      <c r="K94" s="1"/>
      <c r="L94" s="1"/>
      <c r="M94" s="135" t="s">
        <v>137</v>
      </c>
      <c r="N94" s="136"/>
      <c r="O94" s="136"/>
      <c r="P94" s="136"/>
      <c r="Q94" s="137"/>
      <c r="R94" s="1"/>
      <c r="S94" s="1"/>
      <c r="T94" s="1"/>
    </row>
    <row r="95" spans="3:25" ht="21" customHeight="1">
      <c r="C95" s="1"/>
      <c r="D95" s="1"/>
      <c r="E95" s="1"/>
      <c r="F95" s="1"/>
      <c r="G95" s="1"/>
      <c r="H95" s="86" t="s">
        <v>138</v>
      </c>
      <c r="I95" s="1"/>
      <c r="J95" s="1"/>
      <c r="K95" s="1"/>
      <c r="L95" s="1"/>
      <c r="M95" s="138" t="s">
        <v>139</v>
      </c>
      <c r="N95" s="136"/>
      <c r="O95" s="136"/>
      <c r="P95" s="136"/>
      <c r="Q95" s="137"/>
      <c r="R95" s="1"/>
      <c r="S95" s="1"/>
      <c r="T95" s="1"/>
    </row>
    <row r="96" spans="3:25" ht="21" customHeight="1">
      <c r="C96" s="1"/>
      <c r="D96" s="1"/>
      <c r="E96" s="1"/>
      <c r="F96" s="1"/>
      <c r="G96" s="1"/>
      <c r="H96" s="1"/>
      <c r="I96" s="1"/>
      <c r="J96" s="1"/>
      <c r="K96" s="1"/>
      <c r="L96" s="1"/>
      <c r="M96" s="135" t="s">
        <v>140</v>
      </c>
      <c r="N96" s="136"/>
      <c r="O96" s="136"/>
      <c r="P96" s="136"/>
      <c r="Q96" s="137"/>
      <c r="R96" s="86"/>
      <c r="S96" s="1"/>
      <c r="T96" s="1"/>
    </row>
    <row r="97" spans="3:18" ht="21" customHeight="1">
      <c r="C97" s="1857" t="s">
        <v>1202</v>
      </c>
      <c r="D97" s="1"/>
      <c r="E97" s="1"/>
      <c r="F97" s="1"/>
      <c r="G97" s="1"/>
      <c r="H97" s="1"/>
      <c r="I97" s="139">
        <f ca="1">I90-H90</f>
        <v>3400009470.804142</v>
      </c>
      <c r="J97" s="1"/>
      <c r="K97" s="1"/>
      <c r="L97" s="1"/>
      <c r="M97" s="135" t="s">
        <v>141</v>
      </c>
      <c r="N97" s="136"/>
      <c r="O97" s="136"/>
      <c r="P97" s="136"/>
      <c r="Q97" s="137"/>
      <c r="R97" s="86"/>
    </row>
    <row r="98" spans="3:18" ht="21" customHeight="1" thickBot="1">
      <c r="C98" s="1855" t="s">
        <v>1206</v>
      </c>
      <c r="D98" s="1"/>
      <c r="E98" s="1"/>
      <c r="F98" s="1"/>
      <c r="G98" s="1"/>
      <c r="H98" s="1"/>
      <c r="I98" s="1"/>
      <c r="J98" s="1"/>
      <c r="K98" s="1"/>
      <c r="L98" s="1"/>
      <c r="M98" s="141" t="s">
        <v>142</v>
      </c>
      <c r="N98" s="142"/>
      <c r="O98" s="142"/>
      <c r="P98" s="142" t="s">
        <v>143</v>
      </c>
      <c r="Q98" s="143"/>
      <c r="R98" s="86"/>
    </row>
    <row r="99" spans="3:18" ht="21" customHeight="1">
      <c r="C99" s="144" t="s">
        <v>144</v>
      </c>
      <c r="D99" s="145"/>
      <c r="E99" s="145"/>
      <c r="F99" s="145"/>
      <c r="G99" s="145"/>
      <c r="H99" s="145"/>
      <c r="I99" s="1"/>
      <c r="J99" s="1"/>
      <c r="K99" s="1"/>
      <c r="L99" s="1"/>
      <c r="M99" s="1"/>
      <c r="N99" s="1"/>
      <c r="O99" s="86"/>
      <c r="P99" s="1"/>
      <c r="Q99" s="1"/>
      <c r="R99" s="86"/>
    </row>
    <row r="100" spans="3:18" ht="21" customHeight="1">
      <c r="C100" s="140"/>
      <c r="D100" s="111" t="s">
        <v>892</v>
      </c>
      <c r="E100" s="1"/>
      <c r="F100" s="1"/>
      <c r="G100" s="1"/>
      <c r="H100" s="1"/>
      <c r="I100" s="1"/>
      <c r="J100" s="1"/>
      <c r="K100" s="1"/>
      <c r="L100" s="1"/>
      <c r="M100" s="1"/>
      <c r="N100" s="1"/>
      <c r="O100" s="86"/>
      <c r="P100" s="1"/>
      <c r="Q100" s="1"/>
      <c r="R100" s="86"/>
    </row>
    <row r="101" spans="3:18" ht="21" customHeight="1">
      <c r="C101" s="1"/>
      <c r="D101" s="1903">
        <f ca="1">D105/D106-1</f>
        <v>0.16296235665144065</v>
      </c>
      <c r="E101" s="1"/>
      <c r="F101" s="1"/>
      <c r="G101" s="1"/>
      <c r="H101" s="1"/>
      <c r="I101" s="1"/>
      <c r="J101" s="1"/>
      <c r="K101" s="1"/>
      <c r="L101" s="1"/>
      <c r="M101" s="1"/>
      <c r="N101" s="1"/>
      <c r="O101" s="1"/>
      <c r="P101" s="1"/>
      <c r="Q101" s="1"/>
      <c r="R101" s="86"/>
    </row>
    <row r="102" spans="3:18" ht="21" customHeight="1" thickBot="1">
      <c r="C102" s="140"/>
      <c r="D102" s="1"/>
      <c r="E102" s="1"/>
      <c r="F102" s="1"/>
      <c r="G102" s="2392" t="s">
        <v>2323</v>
      </c>
      <c r="H102" s="2393"/>
      <c r="I102" s="2393"/>
      <c r="J102" s="2393"/>
      <c r="K102" s="2393"/>
      <c r="L102" s="2393"/>
      <c r="M102" s="2393"/>
      <c r="N102" s="2393"/>
      <c r="O102" s="2394"/>
      <c r="P102" s="2393"/>
      <c r="Q102" s="1"/>
      <c r="R102" s="86"/>
    </row>
    <row r="103" spans="3:18" ht="21" customHeight="1">
      <c r="C103" s="140"/>
      <c r="D103" s="1"/>
      <c r="E103" s="1"/>
      <c r="F103" s="1"/>
      <c r="G103" s="1"/>
      <c r="H103" s="1"/>
      <c r="I103" s="1"/>
      <c r="J103" s="1"/>
      <c r="K103" s="1"/>
      <c r="L103" s="1"/>
      <c r="M103" s="146" t="s">
        <v>145</v>
      </c>
      <c r="N103" s="147"/>
      <c r="O103" s="147"/>
      <c r="P103" s="148" t="s">
        <v>146</v>
      </c>
      <c r="Q103" s="1"/>
      <c r="R103" s="86"/>
    </row>
    <row r="104" spans="3:18" ht="21" customHeight="1" thickBot="1">
      <c r="C104" s="149" t="s">
        <v>147</v>
      </c>
      <c r="D104" s="150" t="s">
        <v>148</v>
      </c>
      <c r="E104" s="150" t="s">
        <v>1481</v>
      </c>
      <c r="F104" s="150" t="s">
        <v>149</v>
      </c>
      <c r="G104" s="1"/>
      <c r="H104" s="1"/>
      <c r="I104" s="1039" t="s">
        <v>150</v>
      </c>
      <c r="J104" s="1"/>
      <c r="K104" s="1"/>
      <c r="L104" s="1"/>
      <c r="M104" s="152" t="s">
        <v>151</v>
      </c>
      <c r="N104" s="153"/>
      <c r="O104" s="153"/>
      <c r="P104" s="154"/>
      <c r="Q104" s="1"/>
      <c r="R104" s="86"/>
    </row>
    <row r="105" spans="3:18" ht="21" customHeight="1" thickTop="1" thickBot="1">
      <c r="C105" s="155">
        <f>E2</f>
        <v>45565</v>
      </c>
      <c r="D105" s="2373">
        <f ca="1">D88</f>
        <v>104048.93522714285</v>
      </c>
      <c r="E105" s="2376">
        <f ca="1">D89</f>
        <v>55309.136369645799</v>
      </c>
      <c r="F105" s="2374">
        <f ca="1">F88</f>
        <v>341415420870</v>
      </c>
      <c r="G105" s="2379">
        <f ca="1">D105/D106-1</f>
        <v>0.16296235665144065</v>
      </c>
      <c r="H105" s="2379">
        <f ca="1">E105/E106-1</f>
        <v>6.2660373959095184E-2</v>
      </c>
      <c r="I105" s="151" t="s">
        <v>1595</v>
      </c>
      <c r="K105" s="1"/>
      <c r="L105" s="1"/>
      <c r="M105" s="156" t="s">
        <v>153</v>
      </c>
      <c r="N105" s="153"/>
      <c r="O105" s="153"/>
      <c r="P105" s="154"/>
      <c r="Q105" s="1"/>
      <c r="R105" s="86"/>
    </row>
    <row r="106" spans="3:18" ht="21" customHeight="1" thickBot="1">
      <c r="C106" s="157">
        <v>45473</v>
      </c>
      <c r="D106" s="158">
        <v>89468.876298571427</v>
      </c>
      <c r="E106" s="2375">
        <v>52047.801654242176</v>
      </c>
      <c r="F106" s="158">
        <v>315372338242</v>
      </c>
      <c r="G106" s="2379">
        <v>-6.5203711306710543E-2</v>
      </c>
      <c r="H106" s="2379">
        <v>-2.0771140273806443E-2</v>
      </c>
      <c r="I106" s="151" t="s">
        <v>1373</v>
      </c>
      <c r="J106" s="86" t="s">
        <v>152</v>
      </c>
      <c r="K106" s="1"/>
      <c r="L106" s="1"/>
      <c r="M106" s="159" t="s">
        <v>154</v>
      </c>
      <c r="N106" s="160"/>
      <c r="O106" s="160"/>
      <c r="P106" s="161"/>
      <c r="Q106" s="1"/>
      <c r="R106" s="86"/>
    </row>
    <row r="107" spans="3:18" ht="21" customHeight="1">
      <c r="C107" s="157">
        <v>45382</v>
      </c>
      <c r="D107" s="158">
        <v>86596.261005714288</v>
      </c>
      <c r="E107" s="158">
        <v>50416.931566515654</v>
      </c>
      <c r="F107" s="158"/>
      <c r="G107" s="151">
        <v>-1.5866198236593854E-2</v>
      </c>
      <c r="H107" s="1">
        <v>-3.8045032721998107E-2</v>
      </c>
      <c r="I107" s="151" t="s">
        <v>1373</v>
      </c>
      <c r="J107" s="1"/>
      <c r="K107" s="1"/>
      <c r="L107" s="1"/>
      <c r="M107" s="1"/>
      <c r="N107" s="1"/>
      <c r="O107" s="86"/>
      <c r="P107" s="1"/>
      <c r="Q107" s="1"/>
      <c r="R107" s="86"/>
    </row>
    <row r="108" spans="3:18" ht="21" customHeight="1">
      <c r="C108" s="157">
        <v>45291</v>
      </c>
      <c r="D108" s="158">
        <v>87992.36531714286</v>
      </c>
      <c r="E108" s="158">
        <v>52410.906208196044</v>
      </c>
      <c r="F108" s="158">
        <v>295073001766</v>
      </c>
      <c r="G108" s="151">
        <v>0.10146734026577398</v>
      </c>
      <c r="H108" s="1">
        <v>8.8537660395460183E-2</v>
      </c>
      <c r="I108" s="151" t="s">
        <v>1373</v>
      </c>
      <c r="J108" s="1"/>
      <c r="K108" s="1"/>
      <c r="L108" s="1"/>
      <c r="M108" s="1"/>
      <c r="N108" s="1"/>
      <c r="O108" s="86"/>
      <c r="P108" s="1"/>
      <c r="Q108" s="1"/>
      <c r="R108" s="86"/>
    </row>
    <row r="109" spans="3:18" ht="21" customHeight="1">
      <c r="C109" s="157">
        <v>45199</v>
      </c>
      <c r="D109" s="158">
        <v>79886.495132857148</v>
      </c>
      <c r="E109" s="158">
        <v>48147.995347405275</v>
      </c>
      <c r="F109" s="158">
        <v>295073001766</v>
      </c>
      <c r="G109" s="151">
        <v>-2.129601799972014E-3</v>
      </c>
      <c r="H109" s="1">
        <v>-2.7635046802304108E-2</v>
      </c>
      <c r="I109" s="1" t="s">
        <v>481</v>
      </c>
      <c r="J109" s="1"/>
      <c r="K109" s="1"/>
      <c r="L109" s="1"/>
      <c r="M109" s="1"/>
      <c r="N109" s="1"/>
      <c r="O109" s="86"/>
      <c r="P109" s="1"/>
      <c r="Q109" s="1"/>
      <c r="R109" s="86"/>
    </row>
    <row r="110" spans="3:18" ht="21" customHeight="1">
      <c r="C110" s="157">
        <v>45107</v>
      </c>
      <c r="D110" s="158">
        <v>80056.984631428568</v>
      </c>
      <c r="E110" s="158">
        <v>49516.382906507417</v>
      </c>
      <c r="F110" s="158">
        <v>295073001766</v>
      </c>
      <c r="G110" s="151"/>
      <c r="H110" s="1"/>
      <c r="I110" s="1" t="s">
        <v>1372</v>
      </c>
      <c r="J110" s="1"/>
      <c r="K110" s="1"/>
      <c r="L110" s="1"/>
      <c r="M110" s="1"/>
      <c r="N110" s="1"/>
      <c r="O110" s="86"/>
      <c r="P110" s="1"/>
      <c r="Q110" s="1"/>
      <c r="R110" s="86"/>
    </row>
    <row r="111" spans="3:18" ht="21" customHeight="1">
      <c r="C111" s="157">
        <v>45016</v>
      </c>
      <c r="D111" s="158">
        <v>77570.965330000006</v>
      </c>
      <c r="E111" s="158">
        <v>48014.276179983528</v>
      </c>
      <c r="F111" s="158">
        <v>295073001766</v>
      </c>
      <c r="G111" s="151"/>
      <c r="H111" s="1"/>
      <c r="I111" s="1857" t="s">
        <v>481</v>
      </c>
      <c r="J111" s="1"/>
      <c r="K111" s="1"/>
      <c r="L111" s="1"/>
      <c r="M111" s="1"/>
      <c r="N111" s="1"/>
      <c r="O111" s="86"/>
      <c r="P111" s="1"/>
      <c r="Q111" s="1"/>
      <c r="R111" s="86"/>
    </row>
    <row r="112" spans="3:18" ht="21" customHeight="1">
      <c r="C112" s="157">
        <v>44926</v>
      </c>
      <c r="D112" s="158">
        <v>65812.944851428576</v>
      </c>
      <c r="E112" s="158">
        <v>51277.5824485173</v>
      </c>
      <c r="F112" s="158">
        <v>295073001766</v>
      </c>
      <c r="G112" s="151"/>
      <c r="H112" s="1"/>
      <c r="I112" s="1"/>
      <c r="J112" s="1"/>
      <c r="K112" s="1"/>
      <c r="L112" s="1"/>
      <c r="M112" s="1"/>
      <c r="N112" s="1"/>
      <c r="O112" s="86"/>
      <c r="P112" s="1"/>
      <c r="Q112" s="1"/>
      <c r="R112" s="86"/>
    </row>
    <row r="113" spans="1:18" ht="21" customHeight="1">
      <c r="A113" s="1"/>
      <c r="B113" s="1"/>
      <c r="C113" s="157">
        <v>44834</v>
      </c>
      <c r="D113" s="158">
        <v>67750.714678571429</v>
      </c>
      <c r="E113" s="158">
        <v>52244.293156301486</v>
      </c>
      <c r="F113" s="158">
        <v>301123787842</v>
      </c>
      <c r="G113" s="151"/>
      <c r="H113" s="1"/>
      <c r="I113" s="1"/>
      <c r="J113" s="1"/>
      <c r="K113" s="1"/>
      <c r="L113" s="1"/>
      <c r="M113" s="1"/>
      <c r="N113" s="1"/>
      <c r="O113" s="86"/>
      <c r="P113" s="1"/>
      <c r="Q113" s="1"/>
      <c r="R113" s="86"/>
    </row>
    <row r="114" spans="1:18" ht="21" customHeight="1">
      <c r="A114" s="1"/>
      <c r="B114" s="1"/>
      <c r="C114" s="157">
        <v>44742</v>
      </c>
      <c r="D114" s="158">
        <v>69242.752541428577</v>
      </c>
      <c r="E114" s="158">
        <v>54354.883058690277</v>
      </c>
      <c r="F114" s="158">
        <v>312417238912</v>
      </c>
      <c r="G114" s="151"/>
      <c r="H114" s="1"/>
      <c r="I114" s="1" t="s">
        <v>1371</v>
      </c>
      <c r="J114" s="1"/>
      <c r="K114" s="1"/>
      <c r="L114" s="1"/>
      <c r="M114" s="1"/>
      <c r="N114" s="1"/>
      <c r="O114" s="86"/>
      <c r="P114" s="1"/>
      <c r="Q114" s="1"/>
      <c r="R114" s="86"/>
    </row>
    <row r="115" spans="1:18" ht="21" customHeight="1">
      <c r="A115" s="1"/>
      <c r="B115" s="1"/>
      <c r="C115" s="157">
        <v>44651</v>
      </c>
      <c r="D115" s="158">
        <v>58330.704704285716</v>
      </c>
      <c r="E115" s="158">
        <v>47264.75827862438</v>
      </c>
      <c r="F115" s="158">
        <v>270349159494</v>
      </c>
      <c r="G115" s="151"/>
      <c r="H115" s="1"/>
      <c r="I115" s="1"/>
      <c r="J115" s="1"/>
      <c r="K115" s="1"/>
      <c r="L115" s="1"/>
      <c r="M115" s="1"/>
      <c r="N115" s="1"/>
      <c r="O115" s="86"/>
      <c r="P115" s="1"/>
      <c r="Q115" s="1"/>
      <c r="R115" s="86"/>
    </row>
    <row r="116" spans="1:18" ht="21" customHeight="1">
      <c r="A116" s="1"/>
      <c r="B116" s="1"/>
      <c r="C116" s="157">
        <v>44561</v>
      </c>
      <c r="D116" s="158">
        <v>59487</v>
      </c>
      <c r="E116" s="158">
        <v>48334</v>
      </c>
      <c r="F116" s="158">
        <v>276351789805</v>
      </c>
      <c r="G116" s="151"/>
      <c r="H116" s="1"/>
      <c r="I116" s="1"/>
      <c r="J116" s="1"/>
      <c r="K116" s="1"/>
      <c r="L116" s="1"/>
      <c r="M116" s="1"/>
      <c r="N116" s="1"/>
      <c r="O116" s="86"/>
      <c r="P116" s="1"/>
      <c r="Q116" s="1"/>
      <c r="R116" s="86"/>
    </row>
    <row r="117" spans="1:18" ht="21" customHeight="1">
      <c r="A117" s="1"/>
      <c r="B117" s="1"/>
      <c r="C117" s="157">
        <v>44469</v>
      </c>
      <c r="D117" s="158">
        <v>63528.656929999997</v>
      </c>
      <c r="E117" s="158">
        <v>49660.646694398682</v>
      </c>
      <c r="F117" s="158">
        <v>285622160199</v>
      </c>
      <c r="G117" s="151"/>
      <c r="H117" s="1"/>
      <c r="I117" s="1"/>
      <c r="J117" s="1"/>
      <c r="K117" s="1"/>
      <c r="L117" s="1"/>
      <c r="M117" s="1"/>
      <c r="N117" s="1"/>
      <c r="O117" s="86"/>
      <c r="P117" s="1"/>
      <c r="Q117" s="1"/>
      <c r="R117" s="86"/>
    </row>
    <row r="118" spans="1:18" ht="21" customHeight="1" thickBot="1">
      <c r="A118" s="1"/>
      <c r="B118" s="1"/>
      <c r="C118" s="140"/>
      <c r="D118" s="1"/>
      <c r="E118" s="1"/>
      <c r="F118" s="1"/>
      <c r="G118" s="1"/>
      <c r="H118" s="1"/>
      <c r="I118" s="1"/>
      <c r="J118" s="1"/>
      <c r="K118" s="1"/>
      <c r="L118" s="1"/>
      <c r="M118" s="1"/>
      <c r="N118" s="1"/>
      <c r="O118" s="86"/>
      <c r="P118" s="1"/>
      <c r="Q118" s="1"/>
      <c r="R118" s="86"/>
    </row>
    <row r="119" spans="1:18" ht="21" customHeight="1" thickBot="1">
      <c r="A119" s="1"/>
      <c r="B119" s="1"/>
      <c r="C119" s="200" t="s">
        <v>503</v>
      </c>
      <c r="D119" s="200" t="s">
        <v>160</v>
      </c>
      <c r="E119" s="1048" t="s">
        <v>893</v>
      </c>
      <c r="F119" s="1"/>
      <c r="G119" s="1"/>
      <c r="H119" s="1"/>
      <c r="I119" s="1"/>
      <c r="J119" s="1"/>
      <c r="K119" s="1"/>
      <c r="L119" s="1"/>
      <c r="M119" s="1"/>
      <c r="N119" s="1"/>
      <c r="O119" s="86"/>
      <c r="P119" s="1"/>
      <c r="Q119" s="1"/>
      <c r="R119" s="86"/>
    </row>
    <row r="120" spans="1:18" ht="21" customHeight="1" thickBot="1">
      <c r="A120" s="1"/>
      <c r="B120" s="1"/>
      <c r="C120" s="1049">
        <f>C105</f>
        <v>45565</v>
      </c>
      <c r="D120" s="1050" t="s">
        <v>129</v>
      </c>
      <c r="E120" s="1051">
        <f ca="1">D105</f>
        <v>104048.93522714285</v>
      </c>
      <c r="F120" s="1"/>
      <c r="G120" s="1"/>
      <c r="H120" s="1"/>
      <c r="I120" s="1"/>
      <c r="J120" s="1"/>
      <c r="K120" s="1"/>
      <c r="L120" s="1"/>
      <c r="M120" s="1"/>
      <c r="N120" s="1"/>
      <c r="O120" s="86"/>
      <c r="P120" s="1"/>
      <c r="Q120" s="1"/>
      <c r="R120" s="1"/>
    </row>
    <row r="121" spans="1:18" ht="21" customHeight="1" thickBot="1">
      <c r="A121" s="1"/>
      <c r="B121" s="1"/>
      <c r="C121" s="1049">
        <f>C120</f>
        <v>45565</v>
      </c>
      <c r="D121" s="1050" t="s">
        <v>186</v>
      </c>
      <c r="E121" s="1051">
        <f ca="1">E105</f>
        <v>55309.136369645799</v>
      </c>
      <c r="F121" s="1"/>
      <c r="G121" s="1"/>
      <c r="H121" s="1"/>
      <c r="I121" s="1"/>
      <c r="J121" s="1"/>
      <c r="K121" s="1"/>
      <c r="L121" s="1"/>
      <c r="M121" s="1"/>
      <c r="N121" s="1"/>
      <c r="O121" s="86"/>
      <c r="P121" s="1"/>
      <c r="Q121" s="1"/>
      <c r="R121" s="1"/>
    </row>
    <row r="122" spans="1:18" ht="21" customHeight="1" thickBot="1">
      <c r="A122" s="1"/>
      <c r="B122" s="1"/>
      <c r="C122" s="140"/>
      <c r="D122" s="1"/>
      <c r="E122" s="1"/>
      <c r="F122" s="1"/>
      <c r="G122" s="1"/>
      <c r="H122" s="1"/>
      <c r="I122" s="1"/>
      <c r="J122" s="1"/>
      <c r="K122" s="1"/>
      <c r="L122" s="1"/>
      <c r="M122" s="1"/>
      <c r="N122" s="1"/>
      <c r="O122" s="86"/>
      <c r="P122" s="1"/>
      <c r="Q122" s="1"/>
      <c r="R122" s="1"/>
    </row>
    <row r="123" spans="1:18" ht="17.25" thickBot="1">
      <c r="A123" s="1"/>
      <c r="B123" s="1"/>
      <c r="C123" s="1861" t="s">
        <v>1209</v>
      </c>
      <c r="D123" s="1"/>
      <c r="E123" s="1"/>
      <c r="F123" s="1"/>
      <c r="G123" s="1"/>
      <c r="H123" s="1"/>
      <c r="I123" s="1"/>
      <c r="J123" s="1"/>
      <c r="K123" s="1"/>
      <c r="L123" s="1"/>
      <c r="M123" s="1"/>
      <c r="N123" s="1"/>
      <c r="O123" s="1"/>
      <c r="P123" s="1"/>
      <c r="Q123" s="1"/>
      <c r="R123" s="1"/>
    </row>
    <row r="124" spans="1:18" ht="21" hidden="1" customHeight="1">
      <c r="A124" s="49"/>
      <c r="B124" s="49"/>
      <c r="C124" s="48" t="s">
        <v>155</v>
      </c>
      <c r="D124" s="48" t="s">
        <v>156</v>
      </c>
      <c r="E124" s="48"/>
      <c r="F124" s="48"/>
      <c r="G124" s="48"/>
      <c r="H124" s="49"/>
      <c r="I124" s="49"/>
      <c r="J124" s="49"/>
      <c r="K124" s="49"/>
      <c r="L124" s="49"/>
      <c r="M124" s="49"/>
      <c r="N124" s="49"/>
      <c r="O124" s="49"/>
      <c r="P124" s="49"/>
      <c r="Q124" s="1"/>
      <c r="R124" s="1"/>
    </row>
    <row r="125" spans="1:18" ht="21" hidden="1" customHeight="1">
      <c r="A125" s="49"/>
      <c r="B125" s="48" t="s">
        <v>157</v>
      </c>
      <c r="C125" s="50">
        <v>92900</v>
      </c>
      <c r="D125" s="162">
        <v>44347</v>
      </c>
      <c r="E125" s="49"/>
      <c r="F125" s="162"/>
      <c r="G125" s="49"/>
      <c r="H125" s="49"/>
      <c r="I125" s="49"/>
      <c r="J125" s="49"/>
      <c r="K125" s="49"/>
      <c r="L125" s="49"/>
      <c r="M125" s="49"/>
      <c r="N125" s="49"/>
      <c r="O125" s="49"/>
      <c r="P125" s="49"/>
      <c r="Q125" s="1"/>
      <c r="R125" s="1"/>
    </row>
    <row r="126" spans="1:18" ht="21" hidden="1" customHeight="1">
      <c r="A126" s="49"/>
      <c r="B126" s="163" t="s">
        <v>158</v>
      </c>
      <c r="C126" s="50">
        <v>62500</v>
      </c>
      <c r="D126" s="162">
        <v>44347</v>
      </c>
      <c r="E126" s="49"/>
      <c r="F126" s="162"/>
      <c r="G126" s="49"/>
      <c r="H126" s="49"/>
      <c r="I126" s="49"/>
      <c r="J126" s="49"/>
      <c r="K126" s="49"/>
      <c r="L126" s="49"/>
      <c r="M126" s="49"/>
      <c r="N126" s="49"/>
      <c r="O126" s="49"/>
      <c r="P126" s="49"/>
      <c r="Q126" s="1"/>
      <c r="R126" s="1"/>
    </row>
    <row r="127" spans="1:18" ht="21" hidden="1" customHeight="1">
      <c r="A127" s="49"/>
      <c r="B127" s="49"/>
      <c r="C127" s="50">
        <f>AD32/10^6</f>
        <v>86000</v>
      </c>
      <c r="D127" s="49"/>
      <c r="E127" s="49"/>
      <c r="F127" s="49"/>
      <c r="G127" s="49"/>
      <c r="H127" s="49"/>
      <c r="I127" s="49"/>
      <c r="J127" s="49"/>
      <c r="K127" s="49"/>
      <c r="L127" s="49"/>
      <c r="M127" s="49"/>
      <c r="N127" s="49"/>
      <c r="O127" s="49"/>
      <c r="P127" s="49"/>
      <c r="Q127" s="1"/>
      <c r="R127" s="1"/>
    </row>
    <row r="128" spans="1:18" ht="21" hidden="1" customHeight="1">
      <c r="A128" s="49"/>
      <c r="B128" s="49"/>
      <c r="C128" s="49"/>
      <c r="D128" s="49"/>
      <c r="E128" s="49"/>
      <c r="F128" s="49"/>
      <c r="G128" s="49"/>
      <c r="H128" s="49"/>
      <c r="I128" s="49"/>
      <c r="J128" s="49"/>
      <c r="K128" s="49"/>
      <c r="L128" s="49"/>
      <c r="M128" s="49"/>
      <c r="N128" s="49"/>
      <c r="O128" s="49"/>
      <c r="P128" s="49"/>
      <c r="Q128" s="1"/>
      <c r="R128" s="1"/>
    </row>
    <row r="129" spans="1:26" ht="21" hidden="1" customHeight="1">
      <c r="A129" s="49"/>
      <c r="B129" s="48"/>
      <c r="C129" s="162">
        <v>44347</v>
      </c>
      <c r="D129" s="162">
        <f t="shared" ref="D129:N130" si="35">D62</f>
        <v>44592</v>
      </c>
      <c r="E129" s="162">
        <f t="shared" si="35"/>
        <v>44773</v>
      </c>
      <c r="F129" s="162">
        <f t="shared" si="35"/>
        <v>44957</v>
      </c>
      <c r="G129" s="162">
        <f t="shared" si="35"/>
        <v>45138</v>
      </c>
      <c r="H129" s="162">
        <f t="shared" si="35"/>
        <v>45322</v>
      </c>
      <c r="I129" s="162">
        <f t="shared" si="35"/>
        <v>45504</v>
      </c>
      <c r="J129" s="162">
        <f t="shared" si="35"/>
        <v>45688</v>
      </c>
      <c r="K129" s="162">
        <f t="shared" si="35"/>
        <v>45869</v>
      </c>
      <c r="L129" s="162">
        <f t="shared" si="35"/>
        <v>46053</v>
      </c>
      <c r="M129" s="162">
        <f t="shared" si="35"/>
        <v>46234</v>
      </c>
      <c r="N129" s="162">
        <f t="shared" si="35"/>
        <v>46418</v>
      </c>
      <c r="O129" s="49"/>
      <c r="P129" s="48" t="s">
        <v>159</v>
      </c>
      <c r="Q129" s="60"/>
      <c r="R129" s="60"/>
      <c r="S129" s="60"/>
      <c r="T129" s="60"/>
      <c r="U129" s="60"/>
      <c r="V129" s="60"/>
      <c r="W129" s="60"/>
      <c r="X129" s="60"/>
      <c r="Y129" s="60"/>
      <c r="Z129" s="60"/>
    </row>
    <row r="130" spans="1:26" ht="21" hidden="1" customHeight="1">
      <c r="A130" s="2444" t="s">
        <v>155</v>
      </c>
      <c r="B130" s="48" t="s">
        <v>157</v>
      </c>
      <c r="C130" s="50">
        <v>-178900</v>
      </c>
      <c r="D130" s="50">
        <f t="shared" si="35"/>
        <v>0</v>
      </c>
      <c r="E130" s="50">
        <f t="shared" si="35"/>
        <v>0</v>
      </c>
      <c r="F130" s="50">
        <f t="shared" si="35"/>
        <v>0</v>
      </c>
      <c r="G130" s="50">
        <f t="shared" si="35"/>
        <v>0</v>
      </c>
      <c r="H130" s="50">
        <f t="shared" si="35"/>
        <v>0</v>
      </c>
      <c r="I130" s="50">
        <f t="shared" si="35"/>
        <v>0</v>
      </c>
      <c r="J130" s="50">
        <f t="shared" si="35"/>
        <v>0</v>
      </c>
      <c r="K130" s="50">
        <f t="shared" si="35"/>
        <v>0</v>
      </c>
      <c r="L130" s="50">
        <f t="shared" si="35"/>
        <v>0</v>
      </c>
      <c r="M130" s="50">
        <f t="shared" si="35"/>
        <v>0</v>
      </c>
      <c r="N130" s="50">
        <f t="shared" si="35"/>
        <v>0</v>
      </c>
      <c r="O130" s="49"/>
      <c r="P130" s="49" t="e">
        <f>XIRR(C130:N130,$C$129:$N$129)</f>
        <v>#NUM!</v>
      </c>
      <c r="Q130" s="1"/>
      <c r="R130" s="1"/>
      <c r="S130" s="1"/>
      <c r="T130" s="1"/>
      <c r="U130" s="1"/>
      <c r="V130" s="1"/>
      <c r="W130" s="1"/>
      <c r="X130" s="1"/>
      <c r="Y130" s="1"/>
      <c r="Z130" s="1"/>
    </row>
    <row r="131" spans="1:26" ht="21" hidden="1" customHeight="1">
      <c r="A131" s="2444"/>
      <c r="B131" s="163" t="s">
        <v>158</v>
      </c>
      <c r="C131" s="50">
        <v>-62500</v>
      </c>
      <c r="D131" s="50">
        <f>D75</f>
        <v>0</v>
      </c>
      <c r="E131" s="50">
        <f t="shared" ref="E131:N131" si="36">E75</f>
        <v>0</v>
      </c>
      <c r="F131" s="50">
        <f t="shared" si="36"/>
        <v>0</v>
      </c>
      <c r="G131" s="50">
        <f t="shared" si="36"/>
        <v>0</v>
      </c>
      <c r="H131" s="50">
        <f t="shared" si="36"/>
        <v>0</v>
      </c>
      <c r="I131" s="50">
        <f t="shared" si="36"/>
        <v>4860</v>
      </c>
      <c r="J131" s="50">
        <f t="shared" si="36"/>
        <v>4860</v>
      </c>
      <c r="K131" s="50">
        <f t="shared" si="36"/>
        <v>4860.0000000000009</v>
      </c>
      <c r="L131" s="50">
        <f t="shared" si="36"/>
        <v>4860.0000000000009</v>
      </c>
      <c r="M131" s="50">
        <f t="shared" si="36"/>
        <v>4860.0000000000009</v>
      </c>
      <c r="N131" s="50">
        <f t="shared" si="36"/>
        <v>5943</v>
      </c>
      <c r="O131" s="49"/>
      <c r="P131" s="49">
        <f>XIRR(C131:N131,$C$129:$N$129)</f>
        <v>-0.14814566858112813</v>
      </c>
      <c r="Q131" s="1"/>
      <c r="R131" s="1"/>
      <c r="S131" s="1"/>
      <c r="T131" s="1"/>
      <c r="U131" s="1"/>
      <c r="V131" s="1"/>
      <c r="W131" s="1"/>
      <c r="X131" s="1"/>
      <c r="Y131" s="1"/>
      <c r="Z131" s="1"/>
    </row>
    <row r="132" spans="1:26" ht="21" hidden="1" customHeight="1">
      <c r="A132" s="49"/>
      <c r="B132" s="49"/>
      <c r="C132" s="50">
        <f>C130+C131</f>
        <v>-241400</v>
      </c>
      <c r="D132" s="50">
        <f t="shared" ref="D132:N132" si="37">D130+D131</f>
        <v>0</v>
      </c>
      <c r="E132" s="50">
        <f t="shared" si="37"/>
        <v>0</v>
      </c>
      <c r="F132" s="50">
        <f t="shared" si="37"/>
        <v>0</v>
      </c>
      <c r="G132" s="50">
        <f t="shared" si="37"/>
        <v>0</v>
      </c>
      <c r="H132" s="50">
        <f t="shared" si="37"/>
        <v>0</v>
      </c>
      <c r="I132" s="50">
        <f t="shared" si="37"/>
        <v>4860</v>
      </c>
      <c r="J132" s="50">
        <f t="shared" si="37"/>
        <v>4860</v>
      </c>
      <c r="K132" s="50">
        <f t="shared" si="37"/>
        <v>4860.0000000000009</v>
      </c>
      <c r="L132" s="50">
        <f t="shared" si="37"/>
        <v>4860.0000000000009</v>
      </c>
      <c r="M132" s="50">
        <f t="shared" si="37"/>
        <v>4860.0000000000009</v>
      </c>
      <c r="N132" s="50">
        <f t="shared" si="37"/>
        <v>5943</v>
      </c>
      <c r="O132" s="49"/>
      <c r="P132" s="49">
        <f>XIRR(C132:N132,$C$129:$N$129)</f>
        <v>-0.36131877973675736</v>
      </c>
      <c r="Q132" s="1"/>
      <c r="R132" s="1"/>
      <c r="S132" s="1"/>
      <c r="T132" s="1"/>
      <c r="U132" s="1"/>
      <c r="V132" s="1"/>
      <c r="W132" s="1"/>
      <c r="X132" s="1"/>
      <c r="Y132" s="1"/>
      <c r="Z132" s="1"/>
    </row>
    <row r="133" spans="1:26" ht="21" customHeight="1" thickBo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1" customHeight="1" thickBot="1">
      <c r="N134" s="1842" t="str">
        <f t="shared" ref="N134:O140" si="38">E61</f>
        <v>제2기</v>
      </c>
      <c r="O134" s="1842" t="str">
        <f t="shared" si="38"/>
        <v>제3기</v>
      </c>
    </row>
    <row r="135" spans="1:26" ht="21" customHeight="1" thickBot="1">
      <c r="N135" s="1843">
        <f t="shared" si="38"/>
        <v>44773</v>
      </c>
      <c r="O135" s="1843">
        <f t="shared" si="38"/>
        <v>44957</v>
      </c>
    </row>
    <row r="136" spans="1:26" ht="21" customHeight="1" thickBot="1">
      <c r="N136" s="1844">
        <f t="shared" si="38"/>
        <v>0</v>
      </c>
      <c r="O136" s="1844">
        <f t="shared" si="38"/>
        <v>0</v>
      </c>
    </row>
    <row r="137" spans="1:26" ht="21" customHeight="1" thickBot="1">
      <c r="N137" s="1845">
        <f t="shared" si="38"/>
        <v>-2.1698630136986301</v>
      </c>
      <c r="O137" s="1845">
        <f t="shared" si="38"/>
        <v>-1.6657534246575343</v>
      </c>
    </row>
    <row r="138" spans="1:26" ht="21" customHeight="1" thickBot="1">
      <c r="N138" s="1846">
        <f t="shared" ca="1" si="38"/>
        <v>0.10984657800436334</v>
      </c>
      <c r="O138" s="1846">
        <f t="shared" ca="1" si="38"/>
        <v>0.10984657800436334</v>
      </c>
    </row>
    <row r="139" spans="1:26" ht="21" customHeight="1" thickBot="1">
      <c r="C139" s="164" t="s">
        <v>160</v>
      </c>
      <c r="D139" s="1837" t="str">
        <f>E6</f>
        <v>제2기</v>
      </c>
      <c r="E139" s="1840" t="s">
        <v>161</v>
      </c>
      <c r="F139" s="1840" t="s">
        <v>162</v>
      </c>
      <c r="G139" s="1840" t="s">
        <v>163</v>
      </c>
      <c r="H139" s="166" t="s">
        <v>164</v>
      </c>
      <c r="I139" s="166" t="s">
        <v>165</v>
      </c>
      <c r="J139" s="166" t="s">
        <v>177</v>
      </c>
      <c r="K139" s="166" t="s">
        <v>178</v>
      </c>
      <c r="L139" s="166" t="s">
        <v>179</v>
      </c>
      <c r="N139" s="1845">
        <f t="shared" ca="1" si="38"/>
        <v>1.253759957549992</v>
      </c>
      <c r="O139" s="1845">
        <f t="shared" ca="1" si="38"/>
        <v>1.1895889174009171</v>
      </c>
    </row>
    <row r="140" spans="1:26" ht="21" customHeight="1" thickBot="1">
      <c r="C140" s="168" t="s">
        <v>31</v>
      </c>
      <c r="D140" s="1837">
        <f t="shared" ref="D140:D148" si="39">E7</f>
        <v>44773</v>
      </c>
      <c r="E140" s="1841">
        <v>44957</v>
      </c>
      <c r="F140" s="1841">
        <v>45138</v>
      </c>
      <c r="G140" s="1841">
        <f>H7</f>
        <v>45322</v>
      </c>
      <c r="H140" s="169">
        <f t="shared" ref="H140:K140" si="40">I7</f>
        <v>45504</v>
      </c>
      <c r="I140" s="169">
        <f t="shared" si="40"/>
        <v>45688</v>
      </c>
      <c r="J140" s="169">
        <f t="shared" si="40"/>
        <v>45869</v>
      </c>
      <c r="K140" s="169">
        <f t="shared" si="40"/>
        <v>46053</v>
      </c>
      <c r="L140" s="169">
        <f t="shared" ref="L140:L148" si="41">M7</f>
        <v>46234</v>
      </c>
      <c r="N140" s="1847">
        <f t="shared" si="38"/>
        <v>0</v>
      </c>
      <c r="O140" s="1847">
        <f t="shared" si="38"/>
        <v>0</v>
      </c>
    </row>
    <row r="141" spans="1:26" ht="21" customHeight="1" thickBot="1">
      <c r="C141" s="171" t="s">
        <v>166</v>
      </c>
      <c r="D141" s="1838">
        <f t="shared" si="39"/>
        <v>0</v>
      </c>
      <c r="E141" s="1838">
        <v>13535</v>
      </c>
      <c r="F141" s="1838">
        <f>G8</f>
        <v>0</v>
      </c>
      <c r="G141" s="1838">
        <f t="shared" ref="G141:H141" si="42">H8</f>
        <v>0</v>
      </c>
      <c r="H141" s="172">
        <f t="shared" si="42"/>
        <v>15532.686705944499</v>
      </c>
      <c r="I141" s="172">
        <f t="shared" ref="I141:I148" si="43">J8</f>
        <v>16334.109473165001</v>
      </c>
      <c r="J141" s="172">
        <f t="shared" ref="J141:K148" si="44">K8</f>
        <v>15974.074324673471</v>
      </c>
      <c r="K141" s="172">
        <f t="shared" si="44"/>
        <v>16789.400556091867</v>
      </c>
      <c r="L141" s="172">
        <f t="shared" si="41"/>
        <v>16419.43231620298</v>
      </c>
    </row>
    <row r="142" spans="1:26" ht="21" customHeight="1" thickBot="1">
      <c r="C142" s="168" t="s">
        <v>167</v>
      </c>
      <c r="D142" s="1838">
        <f t="shared" si="39"/>
        <v>0</v>
      </c>
      <c r="E142" s="1838">
        <v>8672</v>
      </c>
      <c r="F142" s="1838">
        <f t="shared" ref="F142:H147" si="45">G9</f>
        <v>0</v>
      </c>
      <c r="G142" s="1838">
        <f t="shared" si="45"/>
        <v>0</v>
      </c>
      <c r="H142" s="172">
        <f t="shared" si="45"/>
        <v>9582.9898479973781</v>
      </c>
      <c r="I142" s="172">
        <f t="shared" si="43"/>
        <v>10767.873574795325</v>
      </c>
      <c r="J142" s="172">
        <f t="shared" si="44"/>
        <v>9426.5357086969761</v>
      </c>
      <c r="K142" s="172">
        <f t="shared" si="44"/>
        <v>9427.9325015397953</v>
      </c>
      <c r="L142" s="172">
        <f t="shared" si="41"/>
        <v>9487.947593083516</v>
      </c>
    </row>
    <row r="143" spans="1:26" ht="21" customHeight="1" thickBot="1">
      <c r="C143" s="168" t="s">
        <v>168</v>
      </c>
      <c r="D143" s="1838">
        <f t="shared" si="39"/>
        <v>0</v>
      </c>
      <c r="E143" s="1838">
        <v>4863</v>
      </c>
      <c r="F143" s="1838">
        <f t="shared" si="45"/>
        <v>0</v>
      </c>
      <c r="G143" s="1838">
        <f t="shared" si="45"/>
        <v>0</v>
      </c>
      <c r="H143" s="174">
        <f t="shared" si="45"/>
        <v>5949.6968579471213</v>
      </c>
      <c r="I143" s="174">
        <f t="shared" si="43"/>
        <v>5566.2358983696759</v>
      </c>
      <c r="J143" s="174">
        <f t="shared" si="44"/>
        <v>6547.5386159764948</v>
      </c>
      <c r="K143" s="174">
        <f t="shared" si="44"/>
        <v>7361.4680545520714</v>
      </c>
      <c r="L143" s="174">
        <f t="shared" si="41"/>
        <v>6931.4847231194635</v>
      </c>
    </row>
    <row r="144" spans="1:26" ht="21" customHeight="1" thickBot="1">
      <c r="C144" s="168" t="s">
        <v>36</v>
      </c>
      <c r="D144" s="1839">
        <f t="shared" si="39"/>
        <v>0</v>
      </c>
      <c r="E144" s="1839">
        <v>166</v>
      </c>
      <c r="F144" s="1838">
        <f>G11</f>
        <v>0</v>
      </c>
      <c r="G144" s="1838">
        <f t="shared" si="45"/>
        <v>0</v>
      </c>
      <c r="H144" s="184">
        <f t="shared" si="45"/>
        <v>308.43388311412059</v>
      </c>
      <c r="I144" s="184">
        <f t="shared" si="43"/>
        <v>423.40784525151116</v>
      </c>
      <c r="J144" s="184">
        <f t="shared" si="44"/>
        <v>451.63040441635911</v>
      </c>
      <c r="K144" s="184">
        <f t="shared" si="44"/>
        <v>406.32147692784315</v>
      </c>
      <c r="L144" s="184">
        <f t="shared" si="41"/>
        <v>365.05223726203195</v>
      </c>
    </row>
    <row r="145" spans="3:23" ht="21" customHeight="1" thickBot="1">
      <c r="C145" s="168" t="s">
        <v>37</v>
      </c>
      <c r="D145" s="1838">
        <f t="shared" si="39"/>
        <v>0</v>
      </c>
      <c r="E145" s="1838">
        <v>6911</v>
      </c>
      <c r="F145" s="1838">
        <f t="shared" si="45"/>
        <v>0</v>
      </c>
      <c r="G145" s="1838">
        <f t="shared" si="45"/>
        <v>0</v>
      </c>
      <c r="H145" s="172">
        <f t="shared" si="45"/>
        <v>6910.75</v>
      </c>
      <c r="I145" s="172">
        <f t="shared" si="43"/>
        <v>19264.916666666664</v>
      </c>
      <c r="J145" s="172">
        <f t="shared" si="44"/>
        <v>11540</v>
      </c>
      <c r="K145" s="172">
        <f t="shared" si="44"/>
        <v>11540</v>
      </c>
      <c r="L145" s="172">
        <f t="shared" si="41"/>
        <v>11540</v>
      </c>
      <c r="O145" s="164" t="s">
        <v>169</v>
      </c>
      <c r="P145" s="165">
        <f>E60</f>
        <v>45565</v>
      </c>
      <c r="Q145" s="176" t="s">
        <v>118</v>
      </c>
      <c r="R145" s="177" t="s">
        <v>129</v>
      </c>
    </row>
    <row r="146" spans="3:23" ht="21" customHeight="1" thickBot="1">
      <c r="C146" s="168" t="s">
        <v>38</v>
      </c>
      <c r="D146" s="1838">
        <f t="shared" si="39"/>
        <v>0</v>
      </c>
      <c r="E146" s="1838">
        <v>-1881</v>
      </c>
      <c r="F146" s="1838">
        <f t="shared" si="45"/>
        <v>0</v>
      </c>
      <c r="G146" s="1838">
        <f t="shared" si="45"/>
        <v>0</v>
      </c>
      <c r="H146" s="174">
        <f t="shared" si="45"/>
        <v>-652.61925893875832</v>
      </c>
      <c r="I146" s="174">
        <f t="shared" si="43"/>
        <v>-13275.272923045477</v>
      </c>
      <c r="J146" s="174">
        <f t="shared" si="44"/>
        <v>-4540.8309796071462</v>
      </c>
      <c r="K146" s="174">
        <f t="shared" si="44"/>
        <v>-3772.2104685200857</v>
      </c>
      <c r="L146" s="174">
        <f t="shared" si="41"/>
        <v>-4243.4630396185048</v>
      </c>
      <c r="O146" s="180" t="s">
        <v>160</v>
      </c>
      <c r="P146" s="1842" t="str">
        <f t="shared" ref="P146:W152" si="46">G61</f>
        <v>제4기</v>
      </c>
      <c r="Q146" s="1842" t="str">
        <f t="shared" si="46"/>
        <v>제5기</v>
      </c>
      <c r="R146" s="195" t="str">
        <f t="shared" si="46"/>
        <v>제6기</v>
      </c>
      <c r="S146" s="195" t="str">
        <f t="shared" si="46"/>
        <v>제7기</v>
      </c>
      <c r="T146" s="195" t="str">
        <f t="shared" si="46"/>
        <v>제8기</v>
      </c>
      <c r="U146" s="195" t="str">
        <f t="shared" si="46"/>
        <v>제9기</v>
      </c>
      <c r="V146" s="195" t="str">
        <f t="shared" si="46"/>
        <v>제10기</v>
      </c>
      <c r="W146" s="195" t="str">
        <f t="shared" si="46"/>
        <v>제11기</v>
      </c>
    </row>
    <row r="147" spans="3:23" ht="21" customHeight="1" thickBot="1">
      <c r="C147" s="168" t="s">
        <v>39</v>
      </c>
      <c r="D147" s="1838">
        <f t="shared" si="39"/>
        <v>0</v>
      </c>
      <c r="E147" s="1838">
        <v>5423</v>
      </c>
      <c r="F147" s="1838">
        <f t="shared" si="45"/>
        <v>0</v>
      </c>
      <c r="G147" s="1838">
        <f t="shared" si="45"/>
        <v>0</v>
      </c>
      <c r="H147" s="184">
        <f t="shared" si="45"/>
        <v>5410.0703604625005</v>
      </c>
      <c r="I147" s="184">
        <f t="shared" si="43"/>
        <v>5410.0703604625005</v>
      </c>
      <c r="J147" s="184">
        <f t="shared" si="44"/>
        <v>5410.0703604625005</v>
      </c>
      <c r="K147" s="184">
        <f t="shared" si="44"/>
        <v>5410.0703604625005</v>
      </c>
      <c r="L147" s="184">
        <f t="shared" si="41"/>
        <v>5410.0703604625005</v>
      </c>
      <c r="O147" s="168" t="s">
        <v>31</v>
      </c>
      <c r="P147" s="1843">
        <f t="shared" si="46"/>
        <v>45138</v>
      </c>
      <c r="Q147" s="1843">
        <f t="shared" si="46"/>
        <v>45322</v>
      </c>
      <c r="R147" s="169">
        <f t="shared" si="46"/>
        <v>45504</v>
      </c>
      <c r="S147" s="169">
        <f t="shared" si="46"/>
        <v>45688</v>
      </c>
      <c r="T147" s="169">
        <f t="shared" si="46"/>
        <v>45869</v>
      </c>
      <c r="U147" s="169">
        <f t="shared" si="46"/>
        <v>46053</v>
      </c>
      <c r="V147" s="169">
        <f t="shared" si="46"/>
        <v>46234</v>
      </c>
      <c r="W147" s="169">
        <f t="shared" si="46"/>
        <v>46418</v>
      </c>
    </row>
    <row r="148" spans="3:23" ht="21" customHeight="1" thickBot="1">
      <c r="C148" s="168" t="s">
        <v>40</v>
      </c>
      <c r="D148" s="1838">
        <f t="shared" si="39"/>
        <v>0</v>
      </c>
      <c r="E148" s="1838">
        <v>3542</v>
      </c>
      <c r="F148" s="1838">
        <f>G15</f>
        <v>0</v>
      </c>
      <c r="G148" s="1838">
        <f t="shared" ref="G148:H148" si="47">H15</f>
        <v>0</v>
      </c>
      <c r="H148" s="174">
        <f t="shared" si="47"/>
        <v>4757.4511015237422</v>
      </c>
      <c r="I148" s="174">
        <f t="shared" si="43"/>
        <v>-7865.2025625829765</v>
      </c>
      <c r="J148" s="174">
        <f t="shared" si="44"/>
        <v>869.23938085535428</v>
      </c>
      <c r="K148" s="174">
        <f t="shared" si="44"/>
        <v>1637.8598919424148</v>
      </c>
      <c r="L148" s="174">
        <f t="shared" si="41"/>
        <v>1166.6073208439957</v>
      </c>
      <c r="O148" s="168" t="s">
        <v>170</v>
      </c>
      <c r="P148" s="1900">
        <f t="shared" si="46"/>
        <v>0</v>
      </c>
      <c r="Q148" s="1900">
        <f t="shared" si="46"/>
        <v>0</v>
      </c>
      <c r="R148" s="196">
        <f t="shared" si="46"/>
        <v>0</v>
      </c>
      <c r="S148" s="196">
        <f t="shared" si="46"/>
        <v>0</v>
      </c>
      <c r="T148" s="196">
        <f t="shared" si="46"/>
        <v>0</v>
      </c>
      <c r="U148" s="196">
        <f t="shared" si="46"/>
        <v>0</v>
      </c>
      <c r="V148" s="196">
        <f t="shared" si="46"/>
        <v>0</v>
      </c>
      <c r="W148" s="196">
        <f t="shared" si="46"/>
        <v>0</v>
      </c>
    </row>
    <row r="149" spans="3:23" ht="21" customHeight="1" thickBot="1">
      <c r="C149" s="186" t="s">
        <v>172</v>
      </c>
      <c r="D149" s="1838">
        <f>E17</f>
        <v>0</v>
      </c>
      <c r="E149" s="1838">
        <v>7405</v>
      </c>
      <c r="F149" s="1838">
        <f>G17</f>
        <v>0</v>
      </c>
      <c r="G149" s="1838">
        <f t="shared" ref="G149:H149" si="48">H17</f>
        <v>0</v>
      </c>
      <c r="H149" s="187">
        <f t="shared" si="48"/>
        <v>4860</v>
      </c>
      <c r="I149" s="187">
        <f t="shared" ref="I149:K151" si="49">J17</f>
        <v>4860</v>
      </c>
      <c r="J149" s="187">
        <f t="shared" si="49"/>
        <v>4860.0000000000009</v>
      </c>
      <c r="K149" s="187">
        <f t="shared" si="49"/>
        <v>4860.0000000000009</v>
      </c>
      <c r="L149" s="187">
        <f>M17</f>
        <v>4860.0000000000009</v>
      </c>
      <c r="O149" s="168" t="s">
        <v>171</v>
      </c>
      <c r="P149" s="1845">
        <f t="shared" si="46"/>
        <v>-1.1698630136986301</v>
      </c>
      <c r="Q149" s="1845">
        <f t="shared" si="46"/>
        <v>-0.66575342465753429</v>
      </c>
      <c r="R149" s="197">
        <f t="shared" si="46"/>
        <v>-0.16712328767123288</v>
      </c>
      <c r="S149" s="197">
        <f t="shared" si="46"/>
        <v>0.33698630136986302</v>
      </c>
      <c r="T149" s="197">
        <f t="shared" si="46"/>
        <v>0.83287671232876714</v>
      </c>
      <c r="U149" s="197">
        <f t="shared" si="46"/>
        <v>1.3369863013698631</v>
      </c>
      <c r="V149" s="197">
        <f t="shared" si="46"/>
        <v>1.832876712328767</v>
      </c>
      <c r="W149" s="197">
        <f t="shared" si="46"/>
        <v>2.3369863013698629</v>
      </c>
    </row>
    <row r="150" spans="3:23" ht="21" customHeight="1" thickBot="1">
      <c r="C150" s="189" t="s">
        <v>174</v>
      </c>
      <c r="D150" s="1838">
        <f t="shared" ref="D150:D151" si="50">E18</f>
        <v>0</v>
      </c>
      <c r="E150" s="1839" t="s">
        <v>175</v>
      </c>
      <c r="F150" s="1839">
        <f t="shared" ref="F150:H151" si="51">G18</f>
        <v>0</v>
      </c>
      <c r="G150" s="1839">
        <f t="shared" si="51"/>
        <v>0</v>
      </c>
      <c r="H150" s="186">
        <f t="shared" si="51"/>
        <v>0</v>
      </c>
      <c r="I150" s="186">
        <f t="shared" si="49"/>
        <v>0</v>
      </c>
      <c r="J150" s="186">
        <f t="shared" si="49"/>
        <v>0</v>
      </c>
      <c r="K150" s="186">
        <f t="shared" si="49"/>
        <v>0</v>
      </c>
      <c r="L150" s="186">
        <f>M18</f>
        <v>0</v>
      </c>
      <c r="O150" s="168" t="s">
        <v>173</v>
      </c>
      <c r="P150" s="1846">
        <f t="shared" ca="1" si="46"/>
        <v>0.10984657800436334</v>
      </c>
      <c r="Q150" s="1846">
        <f t="shared" ca="1" si="46"/>
        <v>0.10984657800436334</v>
      </c>
      <c r="R150" s="198">
        <f t="shared" ca="1" si="46"/>
        <v>0.10984657800436334</v>
      </c>
      <c r="S150" s="198">
        <f t="shared" ca="1" si="46"/>
        <v>0.10984657800436334</v>
      </c>
      <c r="T150" s="198">
        <f t="shared" ca="1" si="46"/>
        <v>0.10984657800436334</v>
      </c>
      <c r="U150" s="198">
        <f t="shared" ca="1" si="46"/>
        <v>0.10984657800436334</v>
      </c>
      <c r="V150" s="198">
        <f t="shared" ca="1" si="46"/>
        <v>0.10984657800436334</v>
      </c>
      <c r="W150" s="198">
        <f t="shared" ca="1" si="46"/>
        <v>0.10984657800436334</v>
      </c>
    </row>
    <row r="151" spans="3:23" ht="21" customHeight="1" thickBot="1">
      <c r="C151" s="186" t="s">
        <v>176</v>
      </c>
      <c r="D151" s="1838">
        <f t="shared" si="50"/>
        <v>0</v>
      </c>
      <c r="E151" s="1838">
        <v>7405</v>
      </c>
      <c r="F151" s="1838">
        <f t="shared" si="51"/>
        <v>0</v>
      </c>
      <c r="G151" s="1838">
        <f t="shared" si="51"/>
        <v>0</v>
      </c>
      <c r="H151" s="187">
        <f t="shared" si="51"/>
        <v>4860</v>
      </c>
      <c r="I151" s="187">
        <f t="shared" si="49"/>
        <v>4860</v>
      </c>
      <c r="J151" s="187">
        <f t="shared" si="49"/>
        <v>4860.0000000000009</v>
      </c>
      <c r="K151" s="187">
        <f t="shared" si="49"/>
        <v>4860.0000000000009</v>
      </c>
      <c r="L151" s="187">
        <f>M19</f>
        <v>4860.0000000000009</v>
      </c>
      <c r="O151" s="168" t="s">
        <v>104</v>
      </c>
      <c r="P151" s="1845">
        <f t="shared" ca="1" si="46"/>
        <v>1.1296696159611557</v>
      </c>
      <c r="Q151" s="1845">
        <f t="shared" ca="1" si="46"/>
        <v>1.0718498763495221</v>
      </c>
      <c r="R151" s="197">
        <f t="shared" ca="1" si="46"/>
        <v>1.0175704637880412</v>
      </c>
      <c r="S151" s="197">
        <f t="shared" ca="1" si="46"/>
        <v>0.96548828115568386</v>
      </c>
      <c r="T151" s="197">
        <f t="shared" ca="1" si="46"/>
        <v>0.91685687369307778</v>
      </c>
      <c r="U151" s="197">
        <f t="shared" ca="1" si="46"/>
        <v>0.86992950223061194</v>
      </c>
      <c r="V151" s="197">
        <f t="shared" ca="1" si="46"/>
        <v>0.826111366979836</v>
      </c>
      <c r="W151" s="197">
        <f t="shared" ca="1" si="46"/>
        <v>0.7838286115138986</v>
      </c>
    </row>
    <row r="152" spans="3:23" ht="21" customHeight="1" thickBot="1">
      <c r="O152" s="191" t="s">
        <v>105</v>
      </c>
      <c r="P152" s="1901">
        <f t="shared" si="46"/>
        <v>0</v>
      </c>
      <c r="Q152" s="1901">
        <f t="shared" si="46"/>
        <v>0</v>
      </c>
      <c r="R152" s="199">
        <f t="shared" si="46"/>
        <v>0</v>
      </c>
      <c r="S152" s="199">
        <f t="shared" ca="1" si="46"/>
        <v>0</v>
      </c>
      <c r="T152" s="199">
        <f t="shared" ca="1" si="46"/>
        <v>0</v>
      </c>
      <c r="U152" s="199">
        <f t="shared" ca="1" si="46"/>
        <v>0</v>
      </c>
      <c r="V152" s="199">
        <f t="shared" ca="1" si="46"/>
        <v>0</v>
      </c>
      <c r="W152" s="199">
        <f t="shared" ca="1" si="46"/>
        <v>0</v>
      </c>
    </row>
    <row r="153" spans="3:23" ht="21" customHeight="1" thickBot="1">
      <c r="O153" s="192" t="s">
        <v>160</v>
      </c>
      <c r="R153" s="195" t="str">
        <f t="shared" ref="R153:W159" si="52">O61</f>
        <v>제12기</v>
      </c>
      <c r="S153" s="195" t="str">
        <f t="shared" si="52"/>
        <v>제13기</v>
      </c>
      <c r="T153" s="195" t="str">
        <f t="shared" si="52"/>
        <v>제14기</v>
      </c>
      <c r="U153" s="195" t="str">
        <f t="shared" si="52"/>
        <v>제15기</v>
      </c>
      <c r="V153" s="195" t="str">
        <f t="shared" si="52"/>
        <v>제16기</v>
      </c>
      <c r="W153" s="195" t="str">
        <f t="shared" si="52"/>
        <v>제17기</v>
      </c>
    </row>
    <row r="154" spans="3:23" ht="21" customHeight="1" thickBot="1">
      <c r="O154" s="193" t="s">
        <v>31</v>
      </c>
      <c r="R154" s="169">
        <f t="shared" si="52"/>
        <v>46599</v>
      </c>
      <c r="S154" s="169">
        <f t="shared" si="52"/>
        <v>46783</v>
      </c>
      <c r="T154" s="169">
        <f t="shared" si="52"/>
        <v>46965</v>
      </c>
      <c r="U154" s="169">
        <f t="shared" si="52"/>
        <v>47149</v>
      </c>
      <c r="V154" s="169">
        <f t="shared" si="52"/>
        <v>47330</v>
      </c>
      <c r="W154" s="169">
        <f t="shared" si="52"/>
        <v>47514</v>
      </c>
    </row>
    <row r="155" spans="3:23" ht="21" customHeight="1" thickBot="1">
      <c r="F155" s="166" t="s">
        <v>180</v>
      </c>
      <c r="G155" s="166" t="s">
        <v>181</v>
      </c>
      <c r="H155" s="166" t="s">
        <v>182</v>
      </c>
      <c r="I155" s="166" t="s">
        <v>183</v>
      </c>
      <c r="J155" s="166" t="s">
        <v>24</v>
      </c>
      <c r="K155" s="166" t="s">
        <v>25</v>
      </c>
      <c r="O155" s="193" t="s">
        <v>170</v>
      </c>
      <c r="R155" s="196">
        <f t="shared" si="52"/>
        <v>0</v>
      </c>
      <c r="S155" s="196">
        <f t="shared" si="52"/>
        <v>0</v>
      </c>
      <c r="T155" s="196">
        <f t="shared" si="52"/>
        <v>0</v>
      </c>
      <c r="U155" s="196">
        <f t="shared" si="52"/>
        <v>0</v>
      </c>
      <c r="V155" s="196">
        <f t="shared" si="52"/>
        <v>0</v>
      </c>
      <c r="W155" s="196">
        <f t="shared" si="52"/>
        <v>0</v>
      </c>
    </row>
    <row r="156" spans="3:23" ht="21" customHeight="1" thickBot="1">
      <c r="F156" s="169">
        <f t="shared" ref="F156" si="53">N7</f>
        <v>46418</v>
      </c>
      <c r="G156" s="169">
        <f t="shared" ref="G156" si="54">O7</f>
        <v>46599</v>
      </c>
      <c r="H156" s="169">
        <f t="shared" ref="H156" si="55">P7</f>
        <v>46783</v>
      </c>
      <c r="I156" s="169">
        <f t="shared" ref="I156" si="56">Q7</f>
        <v>46965</v>
      </c>
      <c r="J156" s="169">
        <f t="shared" ref="J156" si="57">R7</f>
        <v>47149</v>
      </c>
      <c r="K156" s="169">
        <f t="shared" ref="K156:K164" si="58">S7</f>
        <v>47330</v>
      </c>
      <c r="O156" s="193" t="s">
        <v>171</v>
      </c>
      <c r="R156" s="197">
        <f t="shared" si="52"/>
        <v>2.8328767123287673</v>
      </c>
      <c r="S156" s="197">
        <f t="shared" si="52"/>
        <v>3.3369863013698629</v>
      </c>
      <c r="T156" s="197">
        <f t="shared" si="52"/>
        <v>3.8356164383561642</v>
      </c>
      <c r="U156" s="197">
        <f t="shared" si="52"/>
        <v>4.3397260273972602</v>
      </c>
      <c r="V156" s="197">
        <f t="shared" si="52"/>
        <v>4.8356164383561646</v>
      </c>
      <c r="W156" s="197">
        <f t="shared" si="52"/>
        <v>5.3397260273972602</v>
      </c>
    </row>
    <row r="157" spans="3:23" ht="21" customHeight="1" thickBot="1">
      <c r="F157" s="172">
        <f t="shared" ref="F157:H157" si="59">N8</f>
        <v>17257.715549871038</v>
      </c>
      <c r="G157" s="172">
        <f t="shared" si="59"/>
        <v>17580.465911647625</v>
      </c>
      <c r="H157" s="172">
        <f t="shared" si="59"/>
        <v>19145.278162500595</v>
      </c>
      <c r="I157" s="172">
        <f t="shared" ref="I157:I164" si="60">Q8</f>
        <v>18172.991738726003</v>
      </c>
      <c r="J157" s="172">
        <f t="shared" ref="J157:J164" si="61">R8</f>
        <v>19880.535324438231</v>
      </c>
      <c r="K157" s="172">
        <f t="shared" si="58"/>
        <v>18766.672343125621</v>
      </c>
      <c r="O157" s="193" t="s">
        <v>173</v>
      </c>
      <c r="R157" s="198">
        <f t="shared" ca="1" si="52"/>
        <v>0.10984657800436334</v>
      </c>
      <c r="S157" s="198">
        <f t="shared" ca="1" si="52"/>
        <v>0.10984657800436334</v>
      </c>
      <c r="T157" s="198">
        <f t="shared" ca="1" si="52"/>
        <v>0.10984657800436334</v>
      </c>
      <c r="U157" s="198">
        <f t="shared" ca="1" si="52"/>
        <v>0.10984657800436334</v>
      </c>
      <c r="V157" s="198">
        <f t="shared" ca="1" si="52"/>
        <v>0.10984657800436334</v>
      </c>
      <c r="W157" s="198">
        <f t="shared" ca="1" si="52"/>
        <v>0.10984657800436334</v>
      </c>
    </row>
    <row r="158" spans="3:23" ht="21" customHeight="1" thickBot="1">
      <c r="F158" s="172">
        <f t="shared" ref="F158:H158" si="62">N9</f>
        <v>9989.379813012376</v>
      </c>
      <c r="G158" s="172">
        <f t="shared" si="62"/>
        <v>9553.3352266544825</v>
      </c>
      <c r="H158" s="172">
        <f t="shared" si="62"/>
        <v>9456.0815559083931</v>
      </c>
      <c r="I158" s="172">
        <f t="shared" si="60"/>
        <v>9507.0908730797819</v>
      </c>
      <c r="J158" s="172">
        <f t="shared" si="61"/>
        <v>9998.5711885719611</v>
      </c>
      <c r="K158" s="172">
        <f t="shared" si="58"/>
        <v>9561.112443932403</v>
      </c>
      <c r="O158" s="193" t="s">
        <v>104</v>
      </c>
      <c r="R158" s="197">
        <f t="shared" ca="1" si="52"/>
        <v>0.74434735697008025</v>
      </c>
      <c r="S158" s="197">
        <f t="shared" ca="1" si="52"/>
        <v>0.70624951867069408</v>
      </c>
      <c r="T158" s="197">
        <f t="shared" ca="1" si="52"/>
        <v>0.67048442708358347</v>
      </c>
      <c r="U158" s="197">
        <f t="shared" ca="1" si="52"/>
        <v>0.63616710594837356</v>
      </c>
      <c r="V158" s="197">
        <f t="shared" ca="1" si="52"/>
        <v>0.60412352515353474</v>
      </c>
      <c r="W158" s="197">
        <f t="shared" ca="1" si="52"/>
        <v>0.57320274581760466</v>
      </c>
    </row>
    <row r="159" spans="3:23" ht="21" customHeight="1" thickBot="1">
      <c r="F159" s="174">
        <f t="shared" ref="F159:H159" si="63">N10</f>
        <v>7268.3357368586621</v>
      </c>
      <c r="G159" s="174">
        <f t="shared" si="63"/>
        <v>8027.1306849931425</v>
      </c>
      <c r="H159" s="174">
        <f t="shared" si="63"/>
        <v>9689.1966065922024</v>
      </c>
      <c r="I159" s="174">
        <f t="shared" si="60"/>
        <v>8665.9008656462211</v>
      </c>
      <c r="J159" s="174">
        <f t="shared" si="61"/>
        <v>9881.9641358662702</v>
      </c>
      <c r="K159" s="174">
        <f t="shared" si="58"/>
        <v>9205.5598991932184</v>
      </c>
      <c r="O159" s="191" t="s">
        <v>105</v>
      </c>
      <c r="R159" s="199">
        <f t="shared" ca="1" si="52"/>
        <v>0</v>
      </c>
      <c r="S159" s="199">
        <f t="shared" ca="1" si="52"/>
        <v>0</v>
      </c>
      <c r="T159" s="199">
        <f t="shared" ca="1" si="52"/>
        <v>0</v>
      </c>
      <c r="U159" s="199">
        <f t="shared" ca="1" si="52"/>
        <v>0</v>
      </c>
      <c r="V159" s="199">
        <f t="shared" ca="1" si="52"/>
        <v>0</v>
      </c>
      <c r="W159" s="199">
        <f t="shared" ca="1" si="52"/>
        <v>0</v>
      </c>
    </row>
    <row r="160" spans="3:23" ht="21" customHeight="1" thickBot="1">
      <c r="F160" s="184">
        <f t="shared" ref="F160:H160" si="64">N11</f>
        <v>256.53224878202752</v>
      </c>
      <c r="G160" s="184">
        <f t="shared" si="64"/>
        <v>202.70914751392297</v>
      </c>
      <c r="H160" s="184">
        <f t="shared" si="64"/>
        <v>199.12025012952665</v>
      </c>
      <c r="I160" s="184">
        <f t="shared" si="60"/>
        <v>206.07719052508051</v>
      </c>
      <c r="J160" s="184">
        <f t="shared" si="61"/>
        <v>175.40282321898019</v>
      </c>
      <c r="K160" s="184">
        <f t="shared" si="58"/>
        <v>168.84995132312079</v>
      </c>
      <c r="O160" s="192" t="s">
        <v>160</v>
      </c>
      <c r="R160" s="195" t="str">
        <f t="shared" ref="R160:U166" si="65">U61</f>
        <v>제18기</v>
      </c>
      <c r="S160" s="195" t="str">
        <f t="shared" si="65"/>
        <v>제19기</v>
      </c>
      <c r="T160" s="195" t="str">
        <f t="shared" si="65"/>
        <v>제20기</v>
      </c>
      <c r="U160" s="195" t="str">
        <f t="shared" si="65"/>
        <v>제21기</v>
      </c>
    </row>
    <row r="161" spans="6:26" ht="21" customHeight="1" thickBot="1">
      <c r="F161" s="172">
        <f t="shared" ref="F161:H161" si="66">N12</f>
        <v>17788.333333333336</v>
      </c>
      <c r="G161" s="172">
        <f t="shared" si="66"/>
        <v>9197.5</v>
      </c>
      <c r="H161" s="172">
        <f t="shared" si="66"/>
        <v>9197.5</v>
      </c>
      <c r="I161" s="172">
        <f t="shared" si="60"/>
        <v>9197.5</v>
      </c>
      <c r="J161" s="172">
        <f t="shared" si="61"/>
        <v>15619.166666666664</v>
      </c>
      <c r="K161" s="172">
        <f t="shared" si="58"/>
        <v>6724.9999999999991</v>
      </c>
      <c r="O161" s="193" t="s">
        <v>31</v>
      </c>
      <c r="R161" s="169">
        <f t="shared" si="65"/>
        <v>47695</v>
      </c>
      <c r="S161" s="169">
        <f t="shared" si="65"/>
        <v>47879</v>
      </c>
      <c r="T161" s="169">
        <f t="shared" si="65"/>
        <v>48029</v>
      </c>
      <c r="U161" s="169">
        <f t="shared" si="65"/>
        <v>48029</v>
      </c>
      <c r="V161" s="181"/>
    </row>
    <row r="162" spans="6:26" ht="21" customHeight="1" thickBot="1">
      <c r="F162" s="174">
        <f t="shared" ref="F162:H162" si="67">N13</f>
        <v>-10263.465347692647</v>
      </c>
      <c r="G162" s="174">
        <f t="shared" si="67"/>
        <v>-967.66016749293522</v>
      </c>
      <c r="H162" s="174">
        <f t="shared" si="67"/>
        <v>690.81685672172898</v>
      </c>
      <c r="I162" s="174">
        <f t="shared" si="60"/>
        <v>-325.52194382869857</v>
      </c>
      <c r="J162" s="174">
        <f t="shared" si="61"/>
        <v>-5561.7997075814146</v>
      </c>
      <c r="K162" s="174">
        <f t="shared" si="58"/>
        <v>2649.4098505163392</v>
      </c>
      <c r="O162" s="193" t="s">
        <v>170</v>
      </c>
      <c r="R162" s="196">
        <f t="shared" si="65"/>
        <v>0</v>
      </c>
      <c r="S162" s="196">
        <f t="shared" si="65"/>
        <v>0</v>
      </c>
      <c r="T162" s="196">
        <f t="shared" si="65"/>
        <v>0</v>
      </c>
      <c r="U162" s="196">
        <f t="shared" si="65"/>
        <v>147194.49797605426</v>
      </c>
    </row>
    <row r="163" spans="6:26" ht="21" customHeight="1" thickBot="1">
      <c r="F163" s="184">
        <f t="shared" ref="F163:H163" si="68">N14</f>
        <v>5410.0703604625005</v>
      </c>
      <c r="G163" s="184">
        <f t="shared" si="68"/>
        <v>5410.0703604625005</v>
      </c>
      <c r="H163" s="184">
        <f t="shared" si="68"/>
        <v>5410.0703604625005</v>
      </c>
      <c r="I163" s="184">
        <f t="shared" si="60"/>
        <v>5410.0703604625005</v>
      </c>
      <c r="J163" s="184">
        <f t="shared" si="61"/>
        <v>5410.0703604625005</v>
      </c>
      <c r="K163" s="184">
        <f t="shared" si="58"/>
        <v>5410.0703604625005</v>
      </c>
      <c r="O163" s="193" t="s">
        <v>171</v>
      </c>
      <c r="R163" s="197">
        <f t="shared" si="65"/>
        <v>5.8356164383561646</v>
      </c>
      <c r="S163" s="197">
        <f t="shared" si="65"/>
        <v>6.3397260273972602</v>
      </c>
      <c r="T163" s="197">
        <f t="shared" si="65"/>
        <v>6.7506849315068491</v>
      </c>
      <c r="U163" s="197">
        <f t="shared" si="65"/>
        <v>6.7506849315068491</v>
      </c>
    </row>
    <row r="164" spans="6:26" ht="21" customHeight="1" thickBot="1">
      <c r="F164" s="174">
        <f t="shared" ref="F164:H164" si="69">N15</f>
        <v>-4853.3949872301464</v>
      </c>
      <c r="G164" s="174">
        <f t="shared" si="69"/>
        <v>4442.4101929695653</v>
      </c>
      <c r="H164" s="174">
        <f t="shared" si="69"/>
        <v>6100.8872171842295</v>
      </c>
      <c r="I164" s="174">
        <f t="shared" si="60"/>
        <v>5084.5484166338019</v>
      </c>
      <c r="J164" s="174">
        <f t="shared" si="61"/>
        <v>-151.72934711891412</v>
      </c>
      <c r="K164" s="174">
        <f t="shared" si="58"/>
        <v>8059.4802109788398</v>
      </c>
      <c r="O164" s="193" t="s">
        <v>173</v>
      </c>
      <c r="R164" s="198">
        <f t="shared" ca="1" si="65"/>
        <v>0.10984657800436334</v>
      </c>
      <c r="S164" s="198">
        <f t="shared" ca="1" si="65"/>
        <v>0.10984657800436334</v>
      </c>
      <c r="T164" s="198">
        <f t="shared" ca="1" si="65"/>
        <v>0.10984657800436334</v>
      </c>
      <c r="U164" s="198">
        <f t="shared" ca="1" si="65"/>
        <v>0.10984657800436334</v>
      </c>
    </row>
    <row r="165" spans="6:26" ht="21" customHeight="1" thickBot="1">
      <c r="F165" s="187">
        <f t="shared" ref="F165:H165" si="70">N17</f>
        <v>5943</v>
      </c>
      <c r="G165" s="187">
        <f t="shared" si="70"/>
        <v>5943</v>
      </c>
      <c r="H165" s="187">
        <f t="shared" si="70"/>
        <v>6100.8872171842304</v>
      </c>
      <c r="I165" s="187">
        <f t="shared" ref="I165:J167" si="71">Q17</f>
        <v>5943</v>
      </c>
      <c r="J165" s="187">
        <f t="shared" si="71"/>
        <v>5943.0000000000009</v>
      </c>
      <c r="K165" s="187">
        <f>S17</f>
        <v>8059.4802109788416</v>
      </c>
      <c r="O165" s="193" t="s">
        <v>104</v>
      </c>
      <c r="R165" s="197">
        <f t="shared" ca="1" si="65"/>
        <v>0.54433066436968336</v>
      </c>
      <c r="S165" s="197">
        <f t="shared" ca="1" si="65"/>
        <v>0.51647025559901416</v>
      </c>
      <c r="T165" s="197">
        <f t="shared" ca="1" si="65"/>
        <v>0.49481642086202532</v>
      </c>
      <c r="U165" s="197">
        <f t="shared" ca="1" si="65"/>
        <v>0.49481642086202532</v>
      </c>
    </row>
    <row r="166" spans="6:26" ht="21" customHeight="1" thickBot="1">
      <c r="F166" s="186">
        <f t="shared" ref="F166:H166" si="72">N18</f>
        <v>0</v>
      </c>
      <c r="G166" s="186">
        <f t="shared" si="72"/>
        <v>0</v>
      </c>
      <c r="H166" s="187">
        <f t="shared" si="72"/>
        <v>0</v>
      </c>
      <c r="I166" s="186">
        <f t="shared" si="71"/>
        <v>0</v>
      </c>
      <c r="J166" s="1859">
        <f t="shared" si="71"/>
        <v>0</v>
      </c>
      <c r="K166" s="1859">
        <f>S18</f>
        <v>0</v>
      </c>
      <c r="O166" s="191" t="s">
        <v>105</v>
      </c>
      <c r="R166" s="199">
        <f t="shared" ca="1" si="65"/>
        <v>0</v>
      </c>
      <c r="S166" s="199">
        <f t="shared" ca="1" si="65"/>
        <v>0</v>
      </c>
      <c r="T166" s="199">
        <f t="shared" ca="1" si="65"/>
        <v>0</v>
      </c>
      <c r="U166" s="199">
        <f t="shared" ca="1" si="65"/>
        <v>72834.2546590938</v>
      </c>
    </row>
    <row r="167" spans="6:26" ht="21" customHeight="1" thickBot="1">
      <c r="F167" s="187">
        <f t="shared" ref="F167:H167" si="73">N19</f>
        <v>5943</v>
      </c>
      <c r="G167" s="187">
        <f t="shared" si="73"/>
        <v>5943</v>
      </c>
      <c r="H167" s="187">
        <f t="shared" si="73"/>
        <v>6100.8872171842304</v>
      </c>
      <c r="I167" s="187">
        <f t="shared" si="71"/>
        <v>5943</v>
      </c>
      <c r="J167" s="187">
        <f t="shared" si="71"/>
        <v>5943.0000000000009</v>
      </c>
      <c r="K167" s="187">
        <f>S19</f>
        <v>8059.4802109788416</v>
      </c>
    </row>
    <row r="168" spans="6:26" ht="21" customHeight="1" thickBot="1"/>
    <row r="169" spans="6:26" ht="21" customHeight="1" thickBot="1">
      <c r="O169" s="164" t="s">
        <v>107</v>
      </c>
      <c r="P169" s="1860">
        <f ca="1">D68</f>
        <v>72834254659</v>
      </c>
      <c r="Q169" s="1902">
        <f ca="1">SUM(R152:W152,P159:W159,P166:W166)</f>
        <v>72834.2546590938</v>
      </c>
    </row>
    <row r="170" spans="6:26" ht="21" customHeight="1" thickBot="1">
      <c r="F170" s="166" t="s">
        <v>26</v>
      </c>
      <c r="G170" s="166" t="s">
        <v>27</v>
      </c>
      <c r="H170" s="166" t="s">
        <v>28</v>
      </c>
      <c r="I170" s="166" t="s">
        <v>29</v>
      </c>
      <c r="J170" s="166" t="s">
        <v>30</v>
      </c>
      <c r="O170" s="168" t="s">
        <v>184</v>
      </c>
      <c r="P170" s="194">
        <f>D69</f>
        <v>700000</v>
      </c>
    </row>
    <row r="171" spans="6:26" ht="21" customHeight="1" thickBot="1">
      <c r="F171" s="169">
        <f t="shared" ref="F171" si="74">T7</f>
        <v>47514</v>
      </c>
      <c r="G171" s="169">
        <f t="shared" ref="G171" si="75">U7</f>
        <v>47695</v>
      </c>
      <c r="H171" s="169">
        <f t="shared" ref="H171" si="76">V7</f>
        <v>47879</v>
      </c>
      <c r="I171" s="169">
        <f t="shared" ref="I171" si="77">W7</f>
        <v>48029</v>
      </c>
      <c r="J171" s="169">
        <f t="shared" ref="J171" si="78">X7</f>
        <v>48029</v>
      </c>
      <c r="O171" s="168" t="s">
        <v>185</v>
      </c>
      <c r="P171" s="194">
        <f ca="1">D70</f>
        <v>104048.93522714285</v>
      </c>
    </row>
    <row r="172" spans="6:26" ht="21" customHeight="1" thickBot="1">
      <c r="F172" s="172">
        <f t="shared" ref="F172:J179" si="79">T8</f>
        <v>20424.681853348218</v>
      </c>
      <c r="G172" s="172">
        <f t="shared" si="79"/>
        <v>19294.003487917227</v>
      </c>
      <c r="H172" s="172">
        <f t="shared" si="79"/>
        <v>20998.620058221561</v>
      </c>
      <c r="I172" s="172">
        <f t="shared" si="79"/>
        <v>19836.493514338519</v>
      </c>
      <c r="J172" s="172">
        <f t="shared" si="79"/>
        <v>528145.21413655696</v>
      </c>
    </row>
    <row r="173" spans="6:26" ht="21" customHeight="1" thickBot="1">
      <c r="F173" s="172">
        <f t="shared" si="79"/>
        <v>9562.7988239290007</v>
      </c>
      <c r="G173" s="172">
        <f t="shared" si="79"/>
        <v>9628.4925535816292</v>
      </c>
      <c r="H173" s="172">
        <f t="shared" si="79"/>
        <v>9630.2377050011692</v>
      </c>
      <c r="I173" s="172">
        <f t="shared" si="79"/>
        <v>9708.3970045020669</v>
      </c>
      <c r="J173" s="172">
        <f t="shared" si="79"/>
        <v>68974.064345923282</v>
      </c>
    </row>
    <row r="174" spans="6:26" ht="21" customHeight="1" thickBot="1">
      <c r="F174" s="174">
        <f t="shared" si="79"/>
        <v>10861.883029419218</v>
      </c>
      <c r="G174" s="174">
        <f t="shared" si="79"/>
        <v>9665.510934335598</v>
      </c>
      <c r="H174" s="174">
        <f t="shared" si="79"/>
        <v>11368.382353220391</v>
      </c>
      <c r="I174" s="174">
        <f t="shared" si="79"/>
        <v>10128.096509836452</v>
      </c>
      <c r="J174" s="174">
        <f t="shared" si="79"/>
        <v>459171.1497906337</v>
      </c>
    </row>
    <row r="175" spans="6:26" ht="21" customHeight="1" thickBot="1">
      <c r="F175" s="184">
        <f t="shared" si="79"/>
        <v>197.85703249503243</v>
      </c>
      <c r="G175" s="184">
        <f t="shared" si="79"/>
        <v>196.39635909304326</v>
      </c>
      <c r="H175" s="184">
        <f t="shared" si="79"/>
        <v>204.9006665778376</v>
      </c>
      <c r="I175" s="184">
        <f t="shared" si="79"/>
        <v>203.28365166118817</v>
      </c>
      <c r="J175" s="184">
        <f t="shared" si="79"/>
        <v>76.734906280882313</v>
      </c>
      <c r="O175" s="164" t="s">
        <v>169</v>
      </c>
      <c r="P175" s="165">
        <f>E72</f>
        <v>45565</v>
      </c>
      <c r="Q175" s="176" t="s">
        <v>118</v>
      </c>
      <c r="R175" s="177" t="s">
        <v>186</v>
      </c>
    </row>
    <row r="176" spans="6:26" ht="21" customHeight="1" thickBot="1">
      <c r="F176" s="172">
        <f t="shared" si="79"/>
        <v>6724.9999999999991</v>
      </c>
      <c r="G176" s="172">
        <f t="shared" si="79"/>
        <v>6724.9999999999991</v>
      </c>
      <c r="H176" s="172">
        <f t="shared" si="79"/>
        <v>6724.9999999999991</v>
      </c>
      <c r="I176" s="172">
        <f t="shared" si="79"/>
        <v>6724.9999999999991</v>
      </c>
      <c r="J176" s="172">
        <f t="shared" si="79"/>
        <v>2241.6666666666665</v>
      </c>
      <c r="O176" s="180" t="s">
        <v>160</v>
      </c>
      <c r="P176" s="1848" t="str">
        <f t="shared" ref="P176:W182" si="80">G73</f>
        <v>제4기</v>
      </c>
      <c r="Q176" s="1848" t="str">
        <f t="shared" si="80"/>
        <v>제5기</v>
      </c>
      <c r="R176" s="195" t="str">
        <f t="shared" si="80"/>
        <v>제6기</v>
      </c>
      <c r="S176" s="195" t="str">
        <f t="shared" si="80"/>
        <v>제7기</v>
      </c>
      <c r="T176" s="195" t="str">
        <f t="shared" si="80"/>
        <v>제8기</v>
      </c>
      <c r="U176" s="195" t="str">
        <f t="shared" si="80"/>
        <v>제9기</v>
      </c>
      <c r="V176" s="195" t="str">
        <f t="shared" si="80"/>
        <v>제10기</v>
      </c>
      <c r="W176" s="195" t="str">
        <f t="shared" si="80"/>
        <v>제11기</v>
      </c>
      <c r="Y176" s="1848" t="str">
        <f t="shared" ref="Y176:Z182" si="81">E73</f>
        <v>제2기</v>
      </c>
      <c r="Z176" s="1848" t="str">
        <f t="shared" si="81"/>
        <v>제3기</v>
      </c>
    </row>
    <row r="177" spans="3:26" ht="21" customHeight="1" thickBot="1">
      <c r="F177" s="174">
        <f t="shared" si="79"/>
        <v>4334.7400619142509</v>
      </c>
      <c r="G177" s="174">
        <f t="shared" si="79"/>
        <v>3136.9072934286423</v>
      </c>
      <c r="H177" s="174">
        <f t="shared" si="79"/>
        <v>4848.2830197982303</v>
      </c>
      <c r="I177" s="174">
        <f t="shared" si="79"/>
        <v>3606.380161497641</v>
      </c>
      <c r="J177" s="174">
        <f t="shared" si="79"/>
        <v>457006.2180302479</v>
      </c>
      <c r="O177" s="168" t="s">
        <v>31</v>
      </c>
      <c r="P177" s="1841">
        <f t="shared" si="80"/>
        <v>45138</v>
      </c>
      <c r="Q177" s="1841">
        <f t="shared" si="80"/>
        <v>45322</v>
      </c>
      <c r="R177" s="169">
        <f t="shared" si="80"/>
        <v>45504</v>
      </c>
      <c r="S177" s="169">
        <f t="shared" si="80"/>
        <v>45688</v>
      </c>
      <c r="T177" s="169">
        <f t="shared" si="80"/>
        <v>45869</v>
      </c>
      <c r="U177" s="169">
        <f t="shared" si="80"/>
        <v>46053</v>
      </c>
      <c r="V177" s="169">
        <f t="shared" si="80"/>
        <v>46234</v>
      </c>
      <c r="W177" s="169">
        <f t="shared" si="80"/>
        <v>46418</v>
      </c>
      <c r="Y177" s="1841">
        <f t="shared" si="81"/>
        <v>44773</v>
      </c>
      <c r="Z177" s="1841">
        <f t="shared" si="81"/>
        <v>44957</v>
      </c>
    </row>
    <row r="178" spans="3:26" ht="21" customHeight="1" thickBot="1">
      <c r="F178" s="184">
        <f t="shared" si="79"/>
        <v>5410.0703604625005</v>
      </c>
      <c r="G178" s="184">
        <f t="shared" si="79"/>
        <v>5410.0703604625005</v>
      </c>
      <c r="H178" s="184">
        <f t="shared" si="79"/>
        <v>5410.0703604625005</v>
      </c>
      <c r="I178" s="184">
        <f t="shared" si="79"/>
        <v>5410.0703604625005</v>
      </c>
      <c r="J178" s="184">
        <f t="shared" si="79"/>
        <v>1803.3567868208333</v>
      </c>
      <c r="O178" s="168" t="s">
        <v>170</v>
      </c>
      <c r="P178" s="1838">
        <f t="shared" si="80"/>
        <v>0</v>
      </c>
      <c r="Q178" s="1838">
        <f t="shared" si="80"/>
        <v>0</v>
      </c>
      <c r="R178" s="196">
        <f t="shared" si="80"/>
        <v>4860</v>
      </c>
      <c r="S178" s="196">
        <f t="shared" si="80"/>
        <v>4860</v>
      </c>
      <c r="T178" s="196">
        <f t="shared" si="80"/>
        <v>4860.0000000000009</v>
      </c>
      <c r="U178" s="196">
        <f t="shared" si="80"/>
        <v>4860.0000000000009</v>
      </c>
      <c r="V178" s="196">
        <f t="shared" si="80"/>
        <v>4860.0000000000009</v>
      </c>
      <c r="W178" s="196">
        <f t="shared" si="80"/>
        <v>5943</v>
      </c>
      <c r="Y178" s="1838">
        <f t="shared" si="81"/>
        <v>0</v>
      </c>
      <c r="Z178" s="1838">
        <f t="shared" si="81"/>
        <v>0</v>
      </c>
    </row>
    <row r="179" spans="3:26" ht="21" customHeight="1" thickBot="1">
      <c r="F179" s="174">
        <f t="shared" si="79"/>
        <v>9744.8104223767514</v>
      </c>
      <c r="G179" s="174">
        <f t="shared" si="79"/>
        <v>8546.9776538911428</v>
      </c>
      <c r="H179" s="174">
        <f t="shared" si="79"/>
        <v>10258.353380260731</v>
      </c>
      <c r="I179" s="174">
        <f t="shared" si="79"/>
        <v>9016.4505219601415</v>
      </c>
      <c r="J179" s="174">
        <f t="shared" si="79"/>
        <v>458809.5748170687</v>
      </c>
      <c r="O179" s="168" t="s">
        <v>171</v>
      </c>
      <c r="P179" s="1849">
        <f t="shared" si="80"/>
        <v>-1.1698630136986301</v>
      </c>
      <c r="Q179" s="1849">
        <f t="shared" si="80"/>
        <v>-0.66575342465753429</v>
      </c>
      <c r="R179" s="197">
        <f t="shared" si="80"/>
        <v>-0.16712328767123288</v>
      </c>
      <c r="S179" s="197">
        <f t="shared" si="80"/>
        <v>0.33698630136986302</v>
      </c>
      <c r="T179" s="197">
        <f t="shared" si="80"/>
        <v>0.83287671232876714</v>
      </c>
      <c r="U179" s="197">
        <f t="shared" si="80"/>
        <v>1.3369863013698631</v>
      </c>
      <c r="V179" s="197">
        <f t="shared" si="80"/>
        <v>1.832876712328767</v>
      </c>
      <c r="W179" s="197">
        <f t="shared" si="80"/>
        <v>2.3369863013698629</v>
      </c>
      <c r="Y179" s="1849">
        <f t="shared" si="81"/>
        <v>-2.1698630136986301</v>
      </c>
      <c r="Z179" s="1849">
        <f t="shared" si="81"/>
        <v>-1.6657534246575343</v>
      </c>
    </row>
    <row r="180" spans="3:26" ht="21" customHeight="1" thickBot="1">
      <c r="F180" s="187">
        <f t="shared" ref="F180:J182" si="82">T17</f>
        <v>9744.8104223767532</v>
      </c>
      <c r="G180" s="187">
        <f t="shared" si="82"/>
        <v>8546.9776538911428</v>
      </c>
      <c r="H180" s="187">
        <f t="shared" si="82"/>
        <v>10258.353380260729</v>
      </c>
      <c r="I180" s="187">
        <f t="shared" si="82"/>
        <v>9016.4505219601433</v>
      </c>
      <c r="J180" s="187">
        <f t="shared" si="82"/>
        <v>3541.6303870114962</v>
      </c>
      <c r="O180" s="168" t="s">
        <v>173</v>
      </c>
      <c r="P180" s="1850">
        <f t="shared" ca="1" si="80"/>
        <v>0.10984657800436334</v>
      </c>
      <c r="Q180" s="1850">
        <f t="shared" ca="1" si="80"/>
        <v>0.10984657800436334</v>
      </c>
      <c r="R180" s="198">
        <f t="shared" ca="1" si="80"/>
        <v>0.10984657800436334</v>
      </c>
      <c r="S180" s="198">
        <f t="shared" ca="1" si="80"/>
        <v>0.10984657800436334</v>
      </c>
      <c r="T180" s="198">
        <f t="shared" ca="1" si="80"/>
        <v>0.10984657800436334</v>
      </c>
      <c r="U180" s="198">
        <f t="shared" ca="1" si="80"/>
        <v>0.10984657800436334</v>
      </c>
      <c r="V180" s="198">
        <f t="shared" ca="1" si="80"/>
        <v>0.10984657800436334</v>
      </c>
      <c r="W180" s="198">
        <f t="shared" ca="1" si="80"/>
        <v>0.10984657800436334</v>
      </c>
      <c r="Y180" s="1850">
        <f t="shared" ca="1" si="81"/>
        <v>0.10984657800436334</v>
      </c>
      <c r="Z180" s="1850">
        <f t="shared" ca="1" si="81"/>
        <v>0.10984657800436334</v>
      </c>
    </row>
    <row r="181" spans="3:26" ht="21" customHeight="1" thickBot="1">
      <c r="F181" s="1859">
        <f t="shared" si="82"/>
        <v>0</v>
      </c>
      <c r="G181" s="1859">
        <f t="shared" si="82"/>
        <v>0</v>
      </c>
      <c r="H181" s="1859">
        <f t="shared" si="82"/>
        <v>0</v>
      </c>
      <c r="I181" s="1859">
        <f t="shared" si="82"/>
        <v>0</v>
      </c>
      <c r="J181" s="1859">
        <f t="shared" si="82"/>
        <v>0</v>
      </c>
      <c r="O181" s="168" t="s">
        <v>104</v>
      </c>
      <c r="P181" s="1849">
        <f t="shared" ca="1" si="80"/>
        <v>1.1296696159611557</v>
      </c>
      <c r="Q181" s="1849">
        <f t="shared" ca="1" si="80"/>
        <v>1.0718498763495221</v>
      </c>
      <c r="R181" s="197">
        <f t="shared" ca="1" si="80"/>
        <v>1.0175704637880412</v>
      </c>
      <c r="S181" s="197">
        <f t="shared" ca="1" si="80"/>
        <v>0.96548828115568386</v>
      </c>
      <c r="T181" s="197">
        <f t="shared" ca="1" si="80"/>
        <v>0.91685687369307778</v>
      </c>
      <c r="U181" s="197">
        <f t="shared" ca="1" si="80"/>
        <v>0.86992950223061194</v>
      </c>
      <c r="V181" s="197">
        <f t="shared" ca="1" si="80"/>
        <v>0.826111366979836</v>
      </c>
      <c r="W181" s="197">
        <f t="shared" ca="1" si="80"/>
        <v>0.7838286115138986</v>
      </c>
      <c r="Y181" s="1849">
        <f t="shared" ca="1" si="81"/>
        <v>1.253759957549992</v>
      </c>
      <c r="Z181" s="1849">
        <f t="shared" ca="1" si="81"/>
        <v>1.1895889174009171</v>
      </c>
    </row>
    <row r="182" spans="3:26" ht="21" customHeight="1" thickBot="1">
      <c r="F182" s="187">
        <f t="shared" si="82"/>
        <v>9744.8104223767532</v>
      </c>
      <c r="G182" s="187">
        <f t="shared" si="82"/>
        <v>8546.9776538911428</v>
      </c>
      <c r="H182" s="187">
        <f t="shared" si="82"/>
        <v>10258.353380260729</v>
      </c>
      <c r="I182" s="187">
        <f t="shared" si="82"/>
        <v>9016.4505219601433</v>
      </c>
      <c r="J182" s="187">
        <f>X19</f>
        <v>3541.6303870114962</v>
      </c>
      <c r="O182" s="191" t="s">
        <v>105</v>
      </c>
      <c r="P182" s="1851">
        <f t="shared" si="80"/>
        <v>0</v>
      </c>
      <c r="Q182" s="1851">
        <f t="shared" si="80"/>
        <v>0</v>
      </c>
      <c r="R182" s="199">
        <f t="shared" si="80"/>
        <v>0</v>
      </c>
      <c r="S182" s="199">
        <f t="shared" ca="1" si="80"/>
        <v>4692.2730464166234</v>
      </c>
      <c r="T182" s="199">
        <f t="shared" ca="1" si="80"/>
        <v>4455.9244061483587</v>
      </c>
      <c r="U182" s="199">
        <f t="shared" ca="1" si="80"/>
        <v>4227.8573808407746</v>
      </c>
      <c r="V182" s="199">
        <f t="shared" ca="1" si="80"/>
        <v>4014.9012435220038</v>
      </c>
      <c r="W182" s="199">
        <f t="shared" ca="1" si="80"/>
        <v>4658.2934382270996</v>
      </c>
      <c r="Y182" s="1851">
        <f t="shared" si="81"/>
        <v>0</v>
      </c>
      <c r="Z182" s="1851">
        <f t="shared" si="81"/>
        <v>0</v>
      </c>
    </row>
    <row r="183" spans="3:26" ht="21" customHeight="1" thickBot="1">
      <c r="J183" t="b">
        <f>J181=X45</f>
        <v>1</v>
      </c>
      <c r="O183" s="192" t="s">
        <v>160</v>
      </c>
      <c r="R183" s="195" t="str">
        <f t="shared" ref="R183:W189" si="83">O73</f>
        <v>제12기</v>
      </c>
      <c r="S183" s="195" t="str">
        <f t="shared" si="83"/>
        <v>제13기</v>
      </c>
      <c r="T183" s="195" t="str">
        <f t="shared" si="83"/>
        <v>제14기</v>
      </c>
      <c r="U183" s="195" t="str">
        <f t="shared" si="83"/>
        <v>제15기</v>
      </c>
      <c r="V183" s="195" t="str">
        <f t="shared" si="83"/>
        <v>제16기</v>
      </c>
      <c r="W183" s="195" t="str">
        <f t="shared" si="83"/>
        <v>제17기</v>
      </c>
    </row>
    <row r="184" spans="3:26" ht="21" customHeight="1" thickBot="1">
      <c r="O184" s="193" t="s">
        <v>31</v>
      </c>
      <c r="R184" s="169">
        <f t="shared" si="83"/>
        <v>46599</v>
      </c>
      <c r="S184" s="169">
        <f t="shared" si="83"/>
        <v>46783</v>
      </c>
      <c r="T184" s="169">
        <f t="shared" si="83"/>
        <v>46965</v>
      </c>
      <c r="U184" s="169">
        <f t="shared" si="83"/>
        <v>47149</v>
      </c>
      <c r="V184" s="169">
        <f t="shared" si="83"/>
        <v>47330</v>
      </c>
      <c r="W184" s="169">
        <f t="shared" si="83"/>
        <v>47514</v>
      </c>
    </row>
    <row r="185" spans="3:26" ht="21" customHeight="1" thickBot="1">
      <c r="O185" s="193" t="s">
        <v>170</v>
      </c>
      <c r="R185" s="196">
        <f t="shared" si="83"/>
        <v>5943</v>
      </c>
      <c r="S185" s="196">
        <f t="shared" si="83"/>
        <v>6100.8872171842304</v>
      </c>
      <c r="T185" s="196">
        <f t="shared" si="83"/>
        <v>5943</v>
      </c>
      <c r="U185" s="196">
        <f t="shared" si="83"/>
        <v>5943.0000000000009</v>
      </c>
      <c r="V185" s="196">
        <f t="shared" si="83"/>
        <v>8059.4802109788416</v>
      </c>
      <c r="W185" s="196">
        <f t="shared" si="83"/>
        <v>9744.8104223767532</v>
      </c>
    </row>
    <row r="186" spans="3:26" ht="21" customHeight="1" thickBot="1">
      <c r="O186" s="193" t="s">
        <v>171</v>
      </c>
      <c r="R186" s="197">
        <f t="shared" si="83"/>
        <v>2.8328767123287673</v>
      </c>
      <c r="S186" s="197">
        <f t="shared" si="83"/>
        <v>3.3369863013698629</v>
      </c>
      <c r="T186" s="197">
        <f t="shared" si="83"/>
        <v>3.8356164383561642</v>
      </c>
      <c r="U186" s="197">
        <f t="shared" si="83"/>
        <v>4.3397260273972602</v>
      </c>
      <c r="V186" s="197">
        <f t="shared" si="83"/>
        <v>4.8356164383561646</v>
      </c>
      <c r="W186" s="197">
        <f t="shared" si="83"/>
        <v>5.3397260273972602</v>
      </c>
    </row>
    <row r="187" spans="3:26" ht="21" customHeight="1" thickBot="1">
      <c r="C187" s="200" t="s">
        <v>160</v>
      </c>
      <c r="D187" s="201">
        <v>44439</v>
      </c>
      <c r="E187" s="201">
        <v>44469</v>
      </c>
      <c r="F187" s="201">
        <v>44500</v>
      </c>
      <c r="G187" s="201">
        <v>44620</v>
      </c>
      <c r="H187" s="202">
        <v>44712</v>
      </c>
      <c r="O187" s="193" t="s">
        <v>173</v>
      </c>
      <c r="R187" s="198">
        <f t="shared" ca="1" si="83"/>
        <v>0.10984657800436334</v>
      </c>
      <c r="S187" s="198">
        <f t="shared" ca="1" si="83"/>
        <v>0.10984657800436334</v>
      </c>
      <c r="T187" s="198">
        <f t="shared" ca="1" si="83"/>
        <v>0.10984657800436334</v>
      </c>
      <c r="U187" s="198">
        <f t="shared" ca="1" si="83"/>
        <v>0.10984657800436334</v>
      </c>
      <c r="V187" s="198">
        <f t="shared" ca="1" si="83"/>
        <v>0.10984657800436334</v>
      </c>
      <c r="W187" s="198">
        <f t="shared" ca="1" si="83"/>
        <v>0.10984657800436334</v>
      </c>
    </row>
    <row r="188" spans="3:26" ht="21" customHeight="1" thickBot="1">
      <c r="C188" s="203" t="s">
        <v>187</v>
      </c>
      <c r="D188" s="204">
        <v>831868</v>
      </c>
      <c r="E188" s="204">
        <v>788190</v>
      </c>
      <c r="F188" s="204">
        <v>788607</v>
      </c>
      <c r="G188" s="204">
        <v>784398</v>
      </c>
      <c r="H188" s="205">
        <v>783990</v>
      </c>
      <c r="O188" s="193" t="s">
        <v>104</v>
      </c>
      <c r="R188" s="197">
        <f t="shared" ca="1" si="83"/>
        <v>0.74434735697008025</v>
      </c>
      <c r="S188" s="197">
        <f t="shared" ca="1" si="83"/>
        <v>0.70624951867069408</v>
      </c>
      <c r="T188" s="197">
        <f t="shared" ca="1" si="83"/>
        <v>0.67048442708358347</v>
      </c>
      <c r="U188" s="197">
        <f t="shared" ca="1" si="83"/>
        <v>0.63616710594837356</v>
      </c>
      <c r="V188" s="197">
        <f t="shared" ca="1" si="83"/>
        <v>0.60412352515353474</v>
      </c>
      <c r="W188" s="197">
        <f t="shared" ca="1" si="83"/>
        <v>0.57320274581760466</v>
      </c>
    </row>
    <row r="189" spans="3:26" ht="21" customHeight="1" thickBot="1">
      <c r="C189" s="203" t="s">
        <v>188</v>
      </c>
      <c r="D189" s="204">
        <v>648751</v>
      </c>
      <c r="E189" s="204">
        <v>605718</v>
      </c>
      <c r="F189" s="204">
        <v>606745</v>
      </c>
      <c r="G189" s="204">
        <v>523182</v>
      </c>
      <c r="H189" s="205">
        <v>523596</v>
      </c>
      <c r="O189" s="191" t="s">
        <v>105</v>
      </c>
      <c r="R189" s="199">
        <f t="shared" ca="1" si="83"/>
        <v>4423.6563424731867</v>
      </c>
      <c r="S189" s="199">
        <f t="shared" ca="1" si="83"/>
        <v>4308.7486606005532</v>
      </c>
      <c r="T189" s="199">
        <f t="shared" ca="1" si="83"/>
        <v>3984.6889501577366</v>
      </c>
      <c r="U189" s="199">
        <f t="shared" ca="1" si="83"/>
        <v>3780.7411106511845</v>
      </c>
      <c r="V189" s="199">
        <f t="shared" ca="1" si="83"/>
        <v>4868.9215959616913</v>
      </c>
      <c r="W189" s="199">
        <f t="shared" ca="1" si="83"/>
        <v>5585.7520915783671</v>
      </c>
    </row>
    <row r="190" spans="3:26" ht="21" customHeight="1" thickBot="1">
      <c r="C190" s="203" t="s">
        <v>189</v>
      </c>
      <c r="D190" s="204">
        <v>183118</v>
      </c>
      <c r="E190" s="204">
        <v>182471</v>
      </c>
      <c r="F190" s="204">
        <v>181863</v>
      </c>
      <c r="G190" s="204">
        <v>261216</v>
      </c>
      <c r="H190" s="205">
        <v>260394</v>
      </c>
      <c r="O190" s="192" t="s">
        <v>160</v>
      </c>
      <c r="R190" s="195" t="str">
        <f t="shared" ref="R190:U196" si="84">U73</f>
        <v>제18기</v>
      </c>
      <c r="S190" s="195" t="str">
        <f t="shared" si="84"/>
        <v>제19기</v>
      </c>
      <c r="T190" s="195" t="str">
        <f t="shared" si="84"/>
        <v>제20기</v>
      </c>
      <c r="U190" s="195" t="str">
        <f t="shared" si="84"/>
        <v>제21기</v>
      </c>
    </row>
    <row r="191" spans="3:26" ht="21" customHeight="1" thickBot="1">
      <c r="C191" s="203" t="s">
        <v>190</v>
      </c>
      <c r="D191" s="204">
        <v>831868</v>
      </c>
      <c r="E191" s="204">
        <v>788190</v>
      </c>
      <c r="F191" s="204">
        <v>788607</v>
      </c>
      <c r="G191" s="204">
        <v>784398</v>
      </c>
      <c r="H191" s="205">
        <v>783990</v>
      </c>
      <c r="O191" s="193" t="s">
        <v>31</v>
      </c>
      <c r="R191" s="169">
        <f t="shared" si="84"/>
        <v>47695</v>
      </c>
      <c r="S191" s="169">
        <f t="shared" si="84"/>
        <v>47879</v>
      </c>
      <c r="T191" s="169">
        <f t="shared" si="84"/>
        <v>48029</v>
      </c>
      <c r="U191" s="169">
        <f t="shared" si="84"/>
        <v>48029</v>
      </c>
      <c r="V191" s="181"/>
    </row>
    <row r="192" spans="3:26" ht="21" customHeight="1" thickBot="1">
      <c r="O192" s="193" t="s">
        <v>170</v>
      </c>
      <c r="R192" s="196">
        <f t="shared" si="84"/>
        <v>8546.9776538911428</v>
      </c>
      <c r="S192" s="196">
        <f t="shared" si="84"/>
        <v>10258.353380260729</v>
      </c>
      <c r="T192" s="196">
        <f t="shared" si="84"/>
        <v>9016.4505219601433</v>
      </c>
      <c r="U192" s="196">
        <f t="shared" si="84"/>
        <v>414633.37735109287</v>
      </c>
    </row>
    <row r="193" spans="3:21" ht="21" customHeight="1" thickBot="1">
      <c r="O193" s="193" t="s">
        <v>171</v>
      </c>
      <c r="R193" s="197">
        <f t="shared" si="84"/>
        <v>5.8356164383561646</v>
      </c>
      <c r="S193" s="197">
        <f t="shared" si="84"/>
        <v>6.3397260273972602</v>
      </c>
      <c r="T193" s="197">
        <f t="shared" si="84"/>
        <v>6.7506849315068491</v>
      </c>
      <c r="U193" s="197">
        <f t="shared" si="84"/>
        <v>6.7506849315068491</v>
      </c>
    </row>
    <row r="194" spans="3:21" ht="21" customHeight="1" thickBot="1">
      <c r="C194" s="200" t="s">
        <v>160</v>
      </c>
      <c r="D194" s="201">
        <v>44439</v>
      </c>
      <c r="E194" s="201">
        <v>44469</v>
      </c>
      <c r="F194" s="201">
        <v>44500</v>
      </c>
      <c r="G194" s="201">
        <v>44620</v>
      </c>
      <c r="H194" s="202">
        <v>44712</v>
      </c>
      <c r="O194" s="193" t="s">
        <v>173</v>
      </c>
      <c r="R194" s="198">
        <f t="shared" ca="1" si="84"/>
        <v>0.10984657800436334</v>
      </c>
      <c r="S194" s="198">
        <f t="shared" ca="1" si="84"/>
        <v>0.10984657800436334</v>
      </c>
      <c r="T194" s="198">
        <f t="shared" ca="1" si="84"/>
        <v>0.10984657800436334</v>
      </c>
      <c r="U194" s="198">
        <f t="shared" ca="1" si="84"/>
        <v>0.10984657800436334</v>
      </c>
    </row>
    <row r="195" spans="3:21" ht="21" customHeight="1" thickBot="1">
      <c r="C195" s="206" t="s">
        <v>191</v>
      </c>
      <c r="D195" s="207">
        <v>2256</v>
      </c>
      <c r="E195" s="207">
        <v>2256</v>
      </c>
      <c r="F195" s="207">
        <v>2193</v>
      </c>
      <c r="G195" s="208">
        <v>2528</v>
      </c>
      <c r="H195" s="209">
        <v>2396</v>
      </c>
      <c r="O195" s="193" t="s">
        <v>104</v>
      </c>
      <c r="R195" s="197">
        <f t="shared" ca="1" si="84"/>
        <v>0.54433066436968336</v>
      </c>
      <c r="S195" s="197">
        <f t="shared" ca="1" si="84"/>
        <v>0.51647025559901416</v>
      </c>
      <c r="T195" s="197">
        <f t="shared" ca="1" si="84"/>
        <v>0.49481642086202532</v>
      </c>
      <c r="U195" s="197">
        <f t="shared" ca="1" si="84"/>
        <v>0.49481642086202532</v>
      </c>
    </row>
    <row r="196" spans="3:21" ht="21" customHeight="1" thickBot="1">
      <c r="C196" s="206" t="s">
        <v>192</v>
      </c>
      <c r="D196" s="207">
        <v>1392</v>
      </c>
      <c r="E196" s="207">
        <v>1392</v>
      </c>
      <c r="F196" s="207">
        <v>1392</v>
      </c>
      <c r="G196" s="208">
        <v>1465</v>
      </c>
      <c r="H196" s="209">
        <v>1474</v>
      </c>
      <c r="O196" s="191" t="s">
        <v>105</v>
      </c>
      <c r="R196" s="199">
        <f t="shared" ca="1" si="84"/>
        <v>4652.3820246954037</v>
      </c>
      <c r="S196" s="199">
        <f t="shared" ca="1" si="84"/>
        <v>5298.1343923282693</v>
      </c>
      <c r="T196" s="199">
        <f t="shared" ca="1" si="84"/>
        <v>4461.4877761558582</v>
      </c>
      <c r="U196" s="199">
        <f t="shared" ca="1" si="84"/>
        <v>205167.40375080131</v>
      </c>
    </row>
    <row r="197" spans="3:21" ht="21" customHeight="1" thickBot="1">
      <c r="C197" s="206" t="s">
        <v>35</v>
      </c>
      <c r="D197" s="210">
        <v>864</v>
      </c>
      <c r="E197" s="210">
        <v>864</v>
      </c>
      <c r="F197" s="210">
        <v>801</v>
      </c>
      <c r="G197" s="208">
        <v>1063</v>
      </c>
      <c r="H197" s="211">
        <v>922</v>
      </c>
    </row>
    <row r="198" spans="3:21" ht="21" customHeight="1" thickBot="1"/>
    <row r="199" spans="3:21" ht="21" customHeight="1" thickBot="1">
      <c r="O199" s="164" t="s">
        <v>107</v>
      </c>
      <c r="P199" s="212">
        <f ca="1">D80</f>
        <v>268581166211</v>
      </c>
      <c r="Q199" s="1902">
        <f ca="1">SUM(R182:W182,P189:W189,P196:W196)</f>
        <v>268581.16621055844</v>
      </c>
    </row>
    <row r="200" spans="3:21" ht="21" customHeight="1" thickBot="1">
      <c r="O200" s="168" t="s">
        <v>193</v>
      </c>
      <c r="P200" s="212">
        <f>D81</f>
        <v>4856000</v>
      </c>
    </row>
    <row r="201" spans="3:21" ht="21" customHeight="1" thickBot="1">
      <c r="O201" s="168" t="s">
        <v>185</v>
      </c>
      <c r="P201" s="212">
        <f ca="1">D82</f>
        <v>55309.136369645799</v>
      </c>
    </row>
    <row r="204" spans="3:21" ht="21" customHeight="1" thickBot="1"/>
    <row r="205" spans="3:21" ht="21" customHeight="1" thickBot="1">
      <c r="O205" s="164" t="s">
        <v>500</v>
      </c>
      <c r="P205" s="164" t="s">
        <v>894</v>
      </c>
      <c r="Q205" s="1053" t="s">
        <v>895</v>
      </c>
    </row>
    <row r="206" spans="3:21" ht="21" customHeight="1">
      <c r="O206" s="1029" t="s">
        <v>896</v>
      </c>
      <c r="P206" s="2441">
        <f ca="1">P171</f>
        <v>104048.93522714285</v>
      </c>
      <c r="Q206" s="1054" t="s">
        <v>1480</v>
      </c>
    </row>
    <row r="207" spans="3:21" ht="21" customHeight="1">
      <c r="O207" s="1029" t="s">
        <v>897</v>
      </c>
      <c r="P207" s="2442"/>
      <c r="Q207" s="1054" t="s">
        <v>899</v>
      </c>
    </row>
    <row r="208" spans="3:21" ht="21" customHeight="1" thickBot="1">
      <c r="O208" s="206" t="s">
        <v>129</v>
      </c>
      <c r="P208" s="2443"/>
      <c r="Q208" s="1055"/>
    </row>
    <row r="209" spans="15:17" ht="21" customHeight="1">
      <c r="O209" s="1029" t="s">
        <v>896</v>
      </c>
      <c r="P209" s="2441">
        <f ca="1">P201</f>
        <v>55309.136369645799</v>
      </c>
      <c r="Q209" s="1054" t="s">
        <v>898</v>
      </c>
    </row>
    <row r="210" spans="15:17" ht="21" customHeight="1">
      <c r="O210" s="1029" t="s">
        <v>897</v>
      </c>
      <c r="P210" s="2442"/>
      <c r="Q210" s="1054" t="s">
        <v>899</v>
      </c>
    </row>
    <row r="211" spans="15:17" ht="21" customHeight="1" thickBot="1">
      <c r="O211" s="206" t="s">
        <v>186</v>
      </c>
      <c r="P211" s="2443"/>
      <c r="Q211" s="1055"/>
    </row>
    <row r="213" spans="15:17" ht="21" customHeight="1" thickBot="1"/>
    <row r="214" spans="15:17" ht="21" customHeight="1" thickBot="1">
      <c r="O214" s="200" t="s">
        <v>118</v>
      </c>
      <c r="P214" s="1048" t="s">
        <v>119</v>
      </c>
    </row>
    <row r="215" spans="15:17" ht="21" customHeight="1" thickBot="1">
      <c r="O215" s="1030" t="s">
        <v>129</v>
      </c>
      <c r="P215" s="173">
        <f ca="1">P206</f>
        <v>104048.93522714285</v>
      </c>
    </row>
    <row r="216" spans="15:17" ht="21" customHeight="1" thickBot="1">
      <c r="O216" s="1030" t="s">
        <v>186</v>
      </c>
      <c r="P216" s="173">
        <f ca="1">P209</f>
        <v>55309.136369645799</v>
      </c>
    </row>
  </sheetData>
  <mergeCells count="35">
    <mergeCell ref="I38:K38"/>
    <mergeCell ref="I39:K40"/>
    <mergeCell ref="P206:P208"/>
    <mergeCell ref="P209:P211"/>
    <mergeCell ref="A130:A131"/>
    <mergeCell ref="D70:E70"/>
    <mergeCell ref="F88:F89"/>
    <mergeCell ref="C50:H50"/>
    <mergeCell ref="C42:H42"/>
    <mergeCell ref="AE61:AE62"/>
    <mergeCell ref="AE63:AE65"/>
    <mergeCell ref="D68:E68"/>
    <mergeCell ref="AE68:AE69"/>
    <mergeCell ref="D69:E69"/>
    <mergeCell ref="AE70:AE72"/>
    <mergeCell ref="D80:E80"/>
    <mergeCell ref="D81:E81"/>
    <mergeCell ref="D82:E82"/>
    <mergeCell ref="C85:H85"/>
    <mergeCell ref="E29:H29"/>
    <mergeCell ref="E30:H30"/>
    <mergeCell ref="E31:H31"/>
    <mergeCell ref="E32:H32"/>
    <mergeCell ref="E33:H33"/>
    <mergeCell ref="E34:H34"/>
    <mergeCell ref="E35:H35"/>
    <mergeCell ref="E38:H38"/>
    <mergeCell ref="E39:H39"/>
    <mergeCell ref="E40:H40"/>
    <mergeCell ref="C27:H27"/>
    <mergeCell ref="D21:M21"/>
    <mergeCell ref="C22:H22"/>
    <mergeCell ref="C23:H23"/>
    <mergeCell ref="C24:H24"/>
    <mergeCell ref="C25:H25"/>
  </mergeCells>
  <phoneticPr fontId="3"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WWM203"/>
  <sheetViews>
    <sheetView showGridLines="0" tabSelected="1" zoomScale="85" zoomScaleNormal="85" workbookViewId="0">
      <pane xSplit="8" ySplit="7" topLeftCell="I99" activePane="bottomRight" state="frozen"/>
      <selection activeCell="E2" sqref="E2"/>
      <selection pane="topRight" activeCell="E2" sqref="E2"/>
      <selection pane="bottomLeft" activeCell="E2" sqref="E2"/>
      <selection pane="bottomRight" activeCell="AD129" sqref="P129:AD129"/>
    </sheetView>
  </sheetViews>
  <sheetFormatPr defaultColWidth="0" defaultRowHeight="12.75" outlineLevelRow="1" outlineLevelCol="1"/>
  <cols>
    <col min="1" max="1" width="1.25" style="835" customWidth="1"/>
    <col min="2" max="2" width="0.75" style="835" customWidth="1"/>
    <col min="3" max="3" width="1.25" style="835" customWidth="1"/>
    <col min="4" max="4" width="1.5" style="835" customWidth="1"/>
    <col min="5" max="5" width="20.5" style="835" customWidth="1"/>
    <col min="6" max="6" width="9.125" style="835" customWidth="1"/>
    <col min="7" max="7" width="8.75" style="835" customWidth="1"/>
    <col min="8" max="8" width="8.5" style="835" customWidth="1"/>
    <col min="9" max="9" width="1.5" style="835" customWidth="1"/>
    <col min="10" max="14" width="7.75" style="835" customWidth="1" outlineLevel="1"/>
    <col min="15" max="30" width="7.625" style="835" customWidth="1"/>
    <col min="31" max="31" width="7.375" style="835" customWidth="1"/>
    <col min="32" max="32" width="1.25" style="839" customWidth="1"/>
    <col min="33" max="41" width="8.875" style="839" hidden="1"/>
    <col min="42" max="252" width="8.875" style="835" hidden="1"/>
    <col min="253" max="256" width="1.25" style="835" hidden="1"/>
    <col min="257" max="257" width="8.875" style="835" hidden="1"/>
    <col min="258" max="258" width="9.125" style="835" hidden="1"/>
    <col min="259" max="259" width="10.75" style="835" hidden="1"/>
    <col min="260" max="260" width="12.625" style="835" hidden="1"/>
    <col min="261" max="261" width="0.75" style="835" hidden="1"/>
    <col min="262" max="287" width="9.125" style="835" hidden="1"/>
    <col min="288" max="508" width="8.875" style="835" hidden="1"/>
    <col min="509" max="512" width="1.25" style="835" hidden="1"/>
    <col min="513" max="513" width="8.875" style="835" hidden="1"/>
    <col min="514" max="514" width="9.125" style="835" hidden="1"/>
    <col min="515" max="515" width="10.75" style="835" hidden="1"/>
    <col min="516" max="516" width="12.625" style="835" hidden="1"/>
    <col min="517" max="517" width="0.75" style="835" hidden="1"/>
    <col min="518" max="543" width="9.125" style="835" hidden="1"/>
    <col min="544" max="764" width="8.875" style="835" hidden="1"/>
    <col min="765" max="768" width="1.25" style="835" hidden="1"/>
    <col min="769" max="769" width="8.875" style="835" hidden="1"/>
    <col min="770" max="770" width="9.125" style="835" hidden="1"/>
    <col min="771" max="771" width="10.75" style="835" hidden="1"/>
    <col min="772" max="772" width="12.625" style="835" hidden="1"/>
    <col min="773" max="773" width="0.75" style="835" hidden="1"/>
    <col min="774" max="799" width="9.125" style="835" hidden="1"/>
    <col min="800" max="1020" width="8.875" style="835" hidden="1"/>
    <col min="1021" max="1024" width="1.25" style="835" hidden="1"/>
    <col min="1025" max="1025" width="8.875" style="835" hidden="1"/>
    <col min="1026" max="1026" width="9.125" style="835" hidden="1"/>
    <col min="1027" max="1027" width="10.75" style="835" hidden="1"/>
    <col min="1028" max="1028" width="12.625" style="835" hidden="1"/>
    <col min="1029" max="1029" width="0.75" style="835" hidden="1"/>
    <col min="1030" max="1055" width="9.125" style="835" hidden="1"/>
    <col min="1056" max="1276" width="8.875" style="835" hidden="1"/>
    <col min="1277" max="1280" width="1.25" style="835" hidden="1"/>
    <col min="1281" max="1281" width="8.875" style="835" hidden="1"/>
    <col min="1282" max="1282" width="9.125" style="835" hidden="1"/>
    <col min="1283" max="1283" width="10.75" style="835" hidden="1"/>
    <col min="1284" max="1284" width="12.625" style="835" hidden="1"/>
    <col min="1285" max="1285" width="0.75" style="835" hidden="1"/>
    <col min="1286" max="1311" width="9.125" style="835" hidden="1"/>
    <col min="1312" max="1532" width="8.875" style="835" hidden="1"/>
    <col min="1533" max="1536" width="1.25" style="835" hidden="1"/>
    <col min="1537" max="1537" width="8.875" style="835" hidden="1"/>
    <col min="1538" max="1538" width="9.125" style="835" hidden="1"/>
    <col min="1539" max="1539" width="10.75" style="835" hidden="1"/>
    <col min="1540" max="1540" width="12.625" style="835" hidden="1"/>
    <col min="1541" max="1541" width="0.75" style="835" hidden="1"/>
    <col min="1542" max="1567" width="9.125" style="835" hidden="1"/>
    <col min="1568" max="1788" width="8.875" style="835" hidden="1"/>
    <col min="1789" max="1792" width="1.25" style="835" hidden="1"/>
    <col min="1793" max="1793" width="8.875" style="835" hidden="1"/>
    <col min="1794" max="1794" width="9.125" style="835" hidden="1"/>
    <col min="1795" max="1795" width="10.75" style="835" hidden="1"/>
    <col min="1796" max="1796" width="12.625" style="835" hidden="1"/>
    <col min="1797" max="1797" width="0.75" style="835" hidden="1"/>
    <col min="1798" max="1823" width="9.125" style="835" hidden="1"/>
    <col min="1824" max="2044" width="8.875" style="835" hidden="1"/>
    <col min="2045" max="2048" width="1.25" style="835" hidden="1"/>
    <col min="2049" max="2049" width="8.875" style="835" hidden="1"/>
    <col min="2050" max="2050" width="9.125" style="835" hidden="1"/>
    <col min="2051" max="2051" width="10.75" style="835" hidden="1"/>
    <col min="2052" max="2052" width="12.625" style="835" hidden="1"/>
    <col min="2053" max="2053" width="0.75" style="835" hidden="1"/>
    <col min="2054" max="2079" width="9.125" style="835" hidden="1"/>
    <col min="2080" max="2300" width="8.875" style="835" hidden="1"/>
    <col min="2301" max="2304" width="1.25" style="835" hidden="1"/>
    <col min="2305" max="2305" width="8.875" style="835" hidden="1"/>
    <col min="2306" max="2306" width="9.125" style="835" hidden="1"/>
    <col min="2307" max="2307" width="10.75" style="835" hidden="1"/>
    <col min="2308" max="2308" width="12.625" style="835" hidden="1"/>
    <col min="2309" max="2309" width="0.75" style="835" hidden="1"/>
    <col min="2310" max="2335" width="9.125" style="835" hidden="1"/>
    <col min="2336" max="2556" width="8.875" style="835" hidden="1"/>
    <col min="2557" max="2560" width="1.25" style="835" hidden="1"/>
    <col min="2561" max="2561" width="8.875" style="835" hidden="1"/>
    <col min="2562" max="2562" width="9.125" style="835" hidden="1"/>
    <col min="2563" max="2563" width="10.75" style="835" hidden="1"/>
    <col min="2564" max="2564" width="12.625" style="835" hidden="1"/>
    <col min="2565" max="2565" width="0.75" style="835" hidden="1"/>
    <col min="2566" max="2591" width="9.125" style="835" hidden="1"/>
    <col min="2592" max="2812" width="8.875" style="835" hidden="1"/>
    <col min="2813" max="2816" width="1.25" style="835" hidden="1"/>
    <col min="2817" max="2817" width="8.875" style="835" hidden="1"/>
    <col min="2818" max="2818" width="9.125" style="835" hidden="1"/>
    <col min="2819" max="2819" width="10.75" style="835" hidden="1"/>
    <col min="2820" max="2820" width="12.625" style="835" hidden="1"/>
    <col min="2821" max="2821" width="0.75" style="835" hidden="1"/>
    <col min="2822" max="2847" width="9.125" style="835" hidden="1"/>
    <col min="2848" max="3068" width="8.875" style="835" hidden="1"/>
    <col min="3069" max="3072" width="1.25" style="835" hidden="1"/>
    <col min="3073" max="3073" width="8.875" style="835" hidden="1"/>
    <col min="3074" max="3074" width="9.125" style="835" hidden="1"/>
    <col min="3075" max="3075" width="10.75" style="835" hidden="1"/>
    <col min="3076" max="3076" width="12.625" style="835" hidden="1"/>
    <col min="3077" max="3077" width="0.75" style="835" hidden="1"/>
    <col min="3078" max="3103" width="9.125" style="835" hidden="1"/>
    <col min="3104" max="3324" width="8.875" style="835" hidden="1"/>
    <col min="3325" max="3328" width="1.25" style="835" hidden="1"/>
    <col min="3329" max="3329" width="8.875" style="835" hidden="1"/>
    <col min="3330" max="3330" width="9.125" style="835" hidden="1"/>
    <col min="3331" max="3331" width="10.75" style="835" hidden="1"/>
    <col min="3332" max="3332" width="12.625" style="835" hidden="1"/>
    <col min="3333" max="3333" width="0.75" style="835" hidden="1"/>
    <col min="3334" max="3359" width="9.125" style="835" hidden="1"/>
    <col min="3360" max="3580" width="8.875" style="835" hidden="1"/>
    <col min="3581" max="3584" width="1.25" style="835" hidden="1"/>
    <col min="3585" max="3585" width="8.875" style="835" hidden="1"/>
    <col min="3586" max="3586" width="9.125" style="835" hidden="1"/>
    <col min="3587" max="3587" width="10.75" style="835" hidden="1"/>
    <col min="3588" max="3588" width="12.625" style="835" hidden="1"/>
    <col min="3589" max="3589" width="0.75" style="835" hidden="1"/>
    <col min="3590" max="3615" width="9.125" style="835" hidden="1"/>
    <col min="3616" max="3836" width="8.875" style="835" hidden="1"/>
    <col min="3837" max="3840" width="1.25" style="835" hidden="1"/>
    <col min="3841" max="3841" width="8.875" style="835" hidden="1"/>
    <col min="3842" max="3842" width="9.125" style="835" hidden="1"/>
    <col min="3843" max="3843" width="10.75" style="835" hidden="1"/>
    <col min="3844" max="3844" width="12.625" style="835" hidden="1"/>
    <col min="3845" max="3845" width="0.75" style="835" hidden="1"/>
    <col min="3846" max="3871" width="9.125" style="835" hidden="1"/>
    <col min="3872" max="4092" width="8.875" style="835" hidden="1"/>
    <col min="4093" max="4096" width="1.25" style="835" hidden="1"/>
    <col min="4097" max="4097" width="8.875" style="835" hidden="1"/>
    <col min="4098" max="4098" width="9.125" style="835" hidden="1"/>
    <col min="4099" max="4099" width="10.75" style="835" hidden="1"/>
    <col min="4100" max="4100" width="12.625" style="835" hidden="1"/>
    <col min="4101" max="4101" width="0.75" style="835" hidden="1"/>
    <col min="4102" max="4127" width="9.125" style="835" hidden="1"/>
    <col min="4128" max="4348" width="8.875" style="835" hidden="1"/>
    <col min="4349" max="4352" width="1.25" style="835" hidden="1"/>
    <col min="4353" max="4353" width="8.875" style="835" hidden="1"/>
    <col min="4354" max="4354" width="9.125" style="835" hidden="1"/>
    <col min="4355" max="4355" width="10.75" style="835" hidden="1"/>
    <col min="4356" max="4356" width="12.625" style="835" hidden="1"/>
    <col min="4357" max="4357" width="0.75" style="835" hidden="1"/>
    <col min="4358" max="4383" width="9.125" style="835" hidden="1"/>
    <col min="4384" max="4604" width="8.875" style="835" hidden="1"/>
    <col min="4605" max="4608" width="1.25" style="835" hidden="1"/>
    <col min="4609" max="4609" width="8.875" style="835" hidden="1"/>
    <col min="4610" max="4610" width="9.125" style="835" hidden="1"/>
    <col min="4611" max="4611" width="10.75" style="835" hidden="1"/>
    <col min="4612" max="4612" width="12.625" style="835" hidden="1"/>
    <col min="4613" max="4613" width="0.75" style="835" hidden="1"/>
    <col min="4614" max="4639" width="9.125" style="835" hidden="1"/>
    <col min="4640" max="4860" width="8.875" style="835" hidden="1"/>
    <col min="4861" max="4864" width="1.25" style="835" hidden="1"/>
    <col min="4865" max="4865" width="8.875" style="835" hidden="1"/>
    <col min="4866" max="4866" width="9.125" style="835" hidden="1"/>
    <col min="4867" max="4867" width="10.75" style="835" hidden="1"/>
    <col min="4868" max="4868" width="12.625" style="835" hidden="1"/>
    <col min="4869" max="4869" width="0.75" style="835" hidden="1"/>
    <col min="4870" max="4895" width="9.125" style="835" hidden="1"/>
    <col min="4896" max="5116" width="8.875" style="835" hidden="1"/>
    <col min="5117" max="5120" width="1.25" style="835" hidden="1"/>
    <col min="5121" max="5121" width="8.875" style="835" hidden="1"/>
    <col min="5122" max="5122" width="9.125" style="835" hidden="1"/>
    <col min="5123" max="5123" width="10.75" style="835" hidden="1"/>
    <col min="5124" max="5124" width="12.625" style="835" hidden="1"/>
    <col min="5125" max="5125" width="0.75" style="835" hidden="1"/>
    <col min="5126" max="5151" width="9.125" style="835" hidden="1"/>
    <col min="5152" max="5372" width="8.875" style="835" hidden="1"/>
    <col min="5373" max="5376" width="1.25" style="835" hidden="1"/>
    <col min="5377" max="5377" width="8.875" style="835" hidden="1"/>
    <col min="5378" max="5378" width="9.125" style="835" hidden="1"/>
    <col min="5379" max="5379" width="10.75" style="835" hidden="1"/>
    <col min="5380" max="5380" width="12.625" style="835" hidden="1"/>
    <col min="5381" max="5381" width="0.75" style="835" hidden="1"/>
    <col min="5382" max="5407" width="9.125" style="835" hidden="1"/>
    <col min="5408" max="5628" width="8.875" style="835" hidden="1"/>
    <col min="5629" max="5632" width="1.25" style="835" hidden="1"/>
    <col min="5633" max="5633" width="8.875" style="835" hidden="1"/>
    <col min="5634" max="5634" width="9.125" style="835" hidden="1"/>
    <col min="5635" max="5635" width="10.75" style="835" hidden="1"/>
    <col min="5636" max="5636" width="12.625" style="835" hidden="1"/>
    <col min="5637" max="5637" width="0.75" style="835" hidden="1"/>
    <col min="5638" max="5663" width="9.125" style="835" hidden="1"/>
    <col min="5664" max="5884" width="8.875" style="835" hidden="1"/>
    <col min="5885" max="5888" width="1.25" style="835" hidden="1"/>
    <col min="5889" max="5889" width="8.875" style="835" hidden="1"/>
    <col min="5890" max="5890" width="9.125" style="835" hidden="1"/>
    <col min="5891" max="5891" width="10.75" style="835" hidden="1"/>
    <col min="5892" max="5892" width="12.625" style="835" hidden="1"/>
    <col min="5893" max="5893" width="0.75" style="835" hidden="1"/>
    <col min="5894" max="5919" width="9.125" style="835" hidden="1"/>
    <col min="5920" max="6140" width="8.875" style="835" hidden="1"/>
    <col min="6141" max="6144" width="1.25" style="835" hidden="1"/>
    <col min="6145" max="6145" width="8.875" style="835" hidden="1"/>
    <col min="6146" max="6146" width="9.125" style="835" hidden="1"/>
    <col min="6147" max="6147" width="10.75" style="835" hidden="1"/>
    <col min="6148" max="6148" width="12.625" style="835" hidden="1"/>
    <col min="6149" max="6149" width="0.75" style="835" hidden="1"/>
    <col min="6150" max="6175" width="9.125" style="835" hidden="1"/>
    <col min="6176" max="6396" width="8.875" style="835" hidden="1"/>
    <col min="6397" max="6400" width="1.25" style="835" hidden="1"/>
    <col min="6401" max="6401" width="8.875" style="835" hidden="1"/>
    <col min="6402" max="6402" width="9.125" style="835" hidden="1"/>
    <col min="6403" max="6403" width="10.75" style="835" hidden="1"/>
    <col min="6404" max="6404" width="12.625" style="835" hidden="1"/>
    <col min="6405" max="6405" width="0.75" style="835" hidden="1"/>
    <col min="6406" max="6431" width="9.125" style="835" hidden="1"/>
    <col min="6432" max="6652" width="8.875" style="835" hidden="1"/>
    <col min="6653" max="6656" width="1.25" style="835" hidden="1"/>
    <col min="6657" max="6657" width="8.875" style="835" hidden="1"/>
    <col min="6658" max="6658" width="9.125" style="835" hidden="1"/>
    <col min="6659" max="6659" width="10.75" style="835" hidden="1"/>
    <col min="6660" max="6660" width="12.625" style="835" hidden="1"/>
    <col min="6661" max="6661" width="0.75" style="835" hidden="1"/>
    <col min="6662" max="6687" width="9.125" style="835" hidden="1"/>
    <col min="6688" max="6908" width="8.875" style="835" hidden="1"/>
    <col min="6909" max="6912" width="1.25" style="835" hidden="1"/>
    <col min="6913" max="6913" width="8.875" style="835" hidden="1"/>
    <col min="6914" max="6914" width="9.125" style="835" hidden="1"/>
    <col min="6915" max="6915" width="10.75" style="835" hidden="1"/>
    <col min="6916" max="6916" width="12.625" style="835" hidden="1"/>
    <col min="6917" max="6917" width="0.75" style="835" hidden="1"/>
    <col min="6918" max="6943" width="9.125" style="835" hidden="1"/>
    <col min="6944" max="7164" width="8.875" style="835" hidden="1"/>
    <col min="7165" max="7168" width="1.25" style="835" hidden="1"/>
    <col min="7169" max="7169" width="8.875" style="835" hidden="1"/>
    <col min="7170" max="7170" width="9.125" style="835" hidden="1"/>
    <col min="7171" max="7171" width="10.75" style="835" hidden="1"/>
    <col min="7172" max="7172" width="12.625" style="835" hidden="1"/>
    <col min="7173" max="7173" width="0.75" style="835" hidden="1"/>
    <col min="7174" max="7199" width="9.125" style="835" hidden="1"/>
    <col min="7200" max="7420" width="8.875" style="835" hidden="1"/>
    <col min="7421" max="7424" width="1.25" style="835" hidden="1"/>
    <col min="7425" max="7425" width="8.875" style="835" hidden="1"/>
    <col min="7426" max="7426" width="9.125" style="835" hidden="1"/>
    <col min="7427" max="7427" width="10.75" style="835" hidden="1"/>
    <col min="7428" max="7428" width="12.625" style="835" hidden="1"/>
    <col min="7429" max="7429" width="0.75" style="835" hidden="1"/>
    <col min="7430" max="7455" width="9.125" style="835" hidden="1"/>
    <col min="7456" max="7676" width="8.875" style="835" hidden="1"/>
    <col min="7677" max="7680" width="1.25" style="835" hidden="1"/>
    <col min="7681" max="7681" width="8.875" style="835" hidden="1"/>
    <col min="7682" max="7682" width="9.125" style="835" hidden="1"/>
    <col min="7683" max="7683" width="10.75" style="835" hidden="1"/>
    <col min="7684" max="7684" width="12.625" style="835" hidden="1"/>
    <col min="7685" max="7685" width="0.75" style="835" hidden="1"/>
    <col min="7686" max="7711" width="9.125" style="835" hidden="1"/>
    <col min="7712" max="7932" width="8.875" style="835" hidden="1"/>
    <col min="7933" max="7936" width="1.25" style="835" hidden="1"/>
    <col min="7937" max="7937" width="8.875" style="835" hidden="1"/>
    <col min="7938" max="7938" width="9.125" style="835" hidden="1"/>
    <col min="7939" max="7939" width="10.75" style="835" hidden="1"/>
    <col min="7940" max="7940" width="12.625" style="835" hidden="1"/>
    <col min="7941" max="7941" width="0.75" style="835" hidden="1"/>
    <col min="7942" max="7967" width="9.125" style="835" hidden="1"/>
    <col min="7968" max="8188" width="8.875" style="835" hidden="1"/>
    <col min="8189" max="8192" width="1.25" style="835" hidden="1"/>
    <col min="8193" max="8193" width="8.875" style="835" hidden="1"/>
    <col min="8194" max="8194" width="9.125" style="835" hidden="1"/>
    <col min="8195" max="8195" width="10.75" style="835" hidden="1"/>
    <col min="8196" max="8196" width="12.625" style="835" hidden="1"/>
    <col min="8197" max="8197" width="0.75" style="835" hidden="1"/>
    <col min="8198" max="8223" width="9.125" style="835" hidden="1"/>
    <col min="8224" max="8444" width="8.875" style="835" hidden="1"/>
    <col min="8445" max="8448" width="1.25" style="835" hidden="1"/>
    <col min="8449" max="8449" width="8.875" style="835" hidden="1"/>
    <col min="8450" max="8450" width="9.125" style="835" hidden="1"/>
    <col min="8451" max="8451" width="10.75" style="835" hidden="1"/>
    <col min="8452" max="8452" width="12.625" style="835" hidden="1"/>
    <col min="8453" max="8453" width="0.75" style="835" hidden="1"/>
    <col min="8454" max="8479" width="9.125" style="835" hidden="1"/>
    <col min="8480" max="8700" width="8.875" style="835" hidden="1"/>
    <col min="8701" max="8704" width="1.25" style="835" hidden="1"/>
    <col min="8705" max="8705" width="8.875" style="835" hidden="1"/>
    <col min="8706" max="8706" width="9.125" style="835" hidden="1"/>
    <col min="8707" max="8707" width="10.75" style="835" hidden="1"/>
    <col min="8708" max="8708" width="12.625" style="835" hidden="1"/>
    <col min="8709" max="8709" width="0.75" style="835" hidden="1"/>
    <col min="8710" max="8735" width="9.125" style="835" hidden="1"/>
    <col min="8736" max="8956" width="8.875" style="835" hidden="1"/>
    <col min="8957" max="8960" width="1.25" style="835" hidden="1"/>
    <col min="8961" max="8961" width="8.875" style="835" hidden="1"/>
    <col min="8962" max="8962" width="9.125" style="835" hidden="1"/>
    <col min="8963" max="8963" width="10.75" style="835" hidden="1"/>
    <col min="8964" max="8964" width="12.625" style="835" hidden="1"/>
    <col min="8965" max="8965" width="0.75" style="835" hidden="1"/>
    <col min="8966" max="8991" width="9.125" style="835" hidden="1"/>
    <col min="8992" max="9212" width="8.875" style="835" hidden="1"/>
    <col min="9213" max="9216" width="1.25" style="835" hidden="1"/>
    <col min="9217" max="9217" width="8.875" style="835" hidden="1"/>
    <col min="9218" max="9218" width="9.125" style="835" hidden="1"/>
    <col min="9219" max="9219" width="10.75" style="835" hidden="1"/>
    <col min="9220" max="9220" width="12.625" style="835" hidden="1"/>
    <col min="9221" max="9221" width="0.75" style="835" hidden="1"/>
    <col min="9222" max="9247" width="9.125" style="835" hidden="1"/>
    <col min="9248" max="9468" width="8.875" style="835" hidden="1"/>
    <col min="9469" max="9472" width="1.25" style="835" hidden="1"/>
    <col min="9473" max="9473" width="8.875" style="835" hidden="1"/>
    <col min="9474" max="9474" width="9.125" style="835" hidden="1"/>
    <col min="9475" max="9475" width="10.75" style="835" hidden="1"/>
    <col min="9476" max="9476" width="12.625" style="835" hidden="1"/>
    <col min="9477" max="9477" width="0.75" style="835" hidden="1"/>
    <col min="9478" max="9503" width="9.125" style="835" hidden="1"/>
    <col min="9504" max="9724" width="8.875" style="835" hidden="1"/>
    <col min="9725" max="9728" width="1.25" style="835" hidden="1"/>
    <col min="9729" max="9729" width="8.875" style="835" hidden="1"/>
    <col min="9730" max="9730" width="9.125" style="835" hidden="1"/>
    <col min="9731" max="9731" width="10.75" style="835" hidden="1"/>
    <col min="9732" max="9732" width="12.625" style="835" hidden="1"/>
    <col min="9733" max="9733" width="0.75" style="835" hidden="1"/>
    <col min="9734" max="9759" width="9.125" style="835" hidden="1"/>
    <col min="9760" max="9980" width="8.875" style="835" hidden="1"/>
    <col min="9981" max="9984" width="1.25" style="835" hidden="1"/>
    <col min="9985" max="9985" width="8.875" style="835" hidden="1"/>
    <col min="9986" max="9986" width="9.125" style="835" hidden="1"/>
    <col min="9987" max="9987" width="10.75" style="835" hidden="1"/>
    <col min="9988" max="9988" width="12.625" style="835" hidden="1"/>
    <col min="9989" max="9989" width="0.75" style="835" hidden="1"/>
    <col min="9990" max="10015" width="9.125" style="835" hidden="1"/>
    <col min="10016" max="10236" width="8.875" style="835" hidden="1"/>
    <col min="10237" max="10240" width="1.25" style="835" hidden="1"/>
    <col min="10241" max="10241" width="8.875" style="835" hidden="1"/>
    <col min="10242" max="10242" width="9.125" style="835" hidden="1"/>
    <col min="10243" max="10243" width="10.75" style="835" hidden="1"/>
    <col min="10244" max="10244" width="12.625" style="835" hidden="1"/>
    <col min="10245" max="10245" width="0.75" style="835" hidden="1"/>
    <col min="10246" max="10271" width="9.125" style="835" hidden="1"/>
    <col min="10272" max="10492" width="8.875" style="835" hidden="1"/>
    <col min="10493" max="10496" width="1.25" style="835" hidden="1"/>
    <col min="10497" max="10497" width="8.875" style="835" hidden="1"/>
    <col min="10498" max="10498" width="9.125" style="835" hidden="1"/>
    <col min="10499" max="10499" width="10.75" style="835" hidden="1"/>
    <col min="10500" max="10500" width="12.625" style="835" hidden="1"/>
    <col min="10501" max="10501" width="0.75" style="835" hidden="1"/>
    <col min="10502" max="10527" width="9.125" style="835" hidden="1"/>
    <col min="10528" max="10748" width="8.875" style="835" hidden="1"/>
    <col min="10749" max="10752" width="1.25" style="835" hidden="1"/>
    <col min="10753" max="10753" width="8.875" style="835" hidden="1"/>
    <col min="10754" max="10754" width="9.125" style="835" hidden="1"/>
    <col min="10755" max="10755" width="10.75" style="835" hidden="1"/>
    <col min="10756" max="10756" width="12.625" style="835" hidden="1"/>
    <col min="10757" max="10757" width="0.75" style="835" hidden="1"/>
    <col min="10758" max="10783" width="9.125" style="835" hidden="1"/>
    <col min="10784" max="11004" width="8.875" style="835" hidden="1"/>
    <col min="11005" max="11008" width="1.25" style="835" hidden="1"/>
    <col min="11009" max="11009" width="8.875" style="835" hidden="1"/>
    <col min="11010" max="11010" width="9.125" style="835" hidden="1"/>
    <col min="11011" max="11011" width="10.75" style="835" hidden="1"/>
    <col min="11012" max="11012" width="12.625" style="835" hidden="1"/>
    <col min="11013" max="11013" width="0.75" style="835" hidden="1"/>
    <col min="11014" max="11039" width="9.125" style="835" hidden="1"/>
    <col min="11040" max="11260" width="8.875" style="835" hidden="1"/>
    <col min="11261" max="11264" width="1.25" style="835" hidden="1"/>
    <col min="11265" max="11265" width="8.875" style="835" hidden="1"/>
    <col min="11266" max="11266" width="9.125" style="835" hidden="1"/>
    <col min="11267" max="11267" width="10.75" style="835" hidden="1"/>
    <col min="11268" max="11268" width="12.625" style="835" hidden="1"/>
    <col min="11269" max="11269" width="0.75" style="835" hidden="1"/>
    <col min="11270" max="11295" width="9.125" style="835" hidden="1"/>
    <col min="11296" max="11516" width="8.875" style="835" hidden="1"/>
    <col min="11517" max="11520" width="1.25" style="835" hidden="1"/>
    <col min="11521" max="11521" width="8.875" style="835" hidden="1"/>
    <col min="11522" max="11522" width="9.125" style="835" hidden="1"/>
    <col min="11523" max="11523" width="10.75" style="835" hidden="1"/>
    <col min="11524" max="11524" width="12.625" style="835" hidden="1"/>
    <col min="11525" max="11525" width="0.75" style="835" hidden="1"/>
    <col min="11526" max="11551" width="9.125" style="835" hidden="1"/>
    <col min="11552" max="11772" width="8.875" style="835" hidden="1"/>
    <col min="11773" max="11776" width="1.25" style="835" hidden="1"/>
    <col min="11777" max="11777" width="8.875" style="835" hidden="1"/>
    <col min="11778" max="11778" width="9.125" style="835" hidden="1"/>
    <col min="11779" max="11779" width="10.75" style="835" hidden="1"/>
    <col min="11780" max="11780" width="12.625" style="835" hidden="1"/>
    <col min="11781" max="11781" width="0.75" style="835" hidden="1"/>
    <col min="11782" max="11807" width="9.125" style="835" hidden="1"/>
    <col min="11808" max="12028" width="8.875" style="835" hidden="1"/>
    <col min="12029" max="12032" width="1.25" style="835" hidden="1"/>
    <col min="12033" max="12033" width="8.875" style="835" hidden="1"/>
    <col min="12034" max="12034" width="9.125" style="835" hidden="1"/>
    <col min="12035" max="12035" width="10.75" style="835" hidden="1"/>
    <col min="12036" max="12036" width="12.625" style="835" hidden="1"/>
    <col min="12037" max="12037" width="0.75" style="835" hidden="1"/>
    <col min="12038" max="12063" width="9.125" style="835" hidden="1"/>
    <col min="12064" max="12284" width="8.875" style="835" hidden="1"/>
    <col min="12285" max="12288" width="1.25" style="835" hidden="1"/>
    <col min="12289" max="12289" width="8.875" style="835" hidden="1"/>
    <col min="12290" max="12290" width="9.125" style="835" hidden="1"/>
    <col min="12291" max="12291" width="10.75" style="835" hidden="1"/>
    <col min="12292" max="12292" width="12.625" style="835" hidden="1"/>
    <col min="12293" max="12293" width="0.75" style="835" hidden="1"/>
    <col min="12294" max="12319" width="9.125" style="835" hidden="1"/>
    <col min="12320" max="12540" width="8.875" style="835" hidden="1"/>
    <col min="12541" max="12544" width="1.25" style="835" hidden="1"/>
    <col min="12545" max="12545" width="8.875" style="835" hidden="1"/>
    <col min="12546" max="12546" width="9.125" style="835" hidden="1"/>
    <col min="12547" max="12547" width="10.75" style="835" hidden="1"/>
    <col min="12548" max="12548" width="12.625" style="835" hidden="1"/>
    <col min="12549" max="12549" width="0.75" style="835" hidden="1"/>
    <col min="12550" max="12575" width="9.125" style="835" hidden="1"/>
    <col min="12576" max="12796" width="8.875" style="835" hidden="1"/>
    <col min="12797" max="12800" width="1.25" style="835" hidden="1"/>
    <col min="12801" max="12801" width="8.875" style="835" hidden="1"/>
    <col min="12802" max="12802" width="9.125" style="835" hidden="1"/>
    <col min="12803" max="12803" width="10.75" style="835" hidden="1"/>
    <col min="12804" max="12804" width="12.625" style="835" hidden="1"/>
    <col min="12805" max="12805" width="0.75" style="835" hidden="1"/>
    <col min="12806" max="12831" width="9.125" style="835" hidden="1"/>
    <col min="12832" max="13052" width="8.875" style="835" hidden="1"/>
    <col min="13053" max="13056" width="1.25" style="835" hidden="1"/>
    <col min="13057" max="13057" width="8.875" style="835" hidden="1"/>
    <col min="13058" max="13058" width="9.125" style="835" hidden="1"/>
    <col min="13059" max="13059" width="10.75" style="835" hidden="1"/>
    <col min="13060" max="13060" width="12.625" style="835" hidden="1"/>
    <col min="13061" max="13061" width="0.75" style="835" hidden="1"/>
    <col min="13062" max="13087" width="9.125" style="835" hidden="1"/>
    <col min="13088" max="13308" width="8.875" style="835" hidden="1"/>
    <col min="13309" max="13312" width="1.25" style="835" hidden="1"/>
    <col min="13313" max="13313" width="8.875" style="835" hidden="1"/>
    <col min="13314" max="13314" width="9.125" style="835" hidden="1"/>
    <col min="13315" max="13315" width="10.75" style="835" hidden="1"/>
    <col min="13316" max="13316" width="12.625" style="835" hidden="1"/>
    <col min="13317" max="13317" width="0.75" style="835" hidden="1"/>
    <col min="13318" max="13343" width="9.125" style="835" hidden="1"/>
    <col min="13344" max="13564" width="8.875" style="835" hidden="1"/>
    <col min="13565" max="13568" width="1.25" style="835" hidden="1"/>
    <col min="13569" max="13569" width="8.875" style="835" hidden="1"/>
    <col min="13570" max="13570" width="9.125" style="835" hidden="1"/>
    <col min="13571" max="13571" width="10.75" style="835" hidden="1"/>
    <col min="13572" max="13572" width="12.625" style="835" hidden="1"/>
    <col min="13573" max="13573" width="0.75" style="835" hidden="1"/>
    <col min="13574" max="13599" width="9.125" style="835" hidden="1"/>
    <col min="13600" max="13820" width="8.875" style="835" hidden="1"/>
    <col min="13821" max="13824" width="1.25" style="835" hidden="1"/>
    <col min="13825" max="13825" width="8.875" style="835" hidden="1"/>
    <col min="13826" max="13826" width="9.125" style="835" hidden="1"/>
    <col min="13827" max="13827" width="10.75" style="835" hidden="1"/>
    <col min="13828" max="13828" width="12.625" style="835" hidden="1"/>
    <col min="13829" max="13829" width="0.75" style="835" hidden="1"/>
    <col min="13830" max="13855" width="9.125" style="835" hidden="1"/>
    <col min="13856" max="14076" width="8.875" style="835" hidden="1"/>
    <col min="14077" max="14080" width="1.25" style="835" hidden="1"/>
    <col min="14081" max="14081" width="8.875" style="835" hidden="1"/>
    <col min="14082" max="14082" width="9.125" style="835" hidden="1"/>
    <col min="14083" max="14083" width="10.75" style="835" hidden="1"/>
    <col min="14084" max="14084" width="12.625" style="835" hidden="1"/>
    <col min="14085" max="14085" width="0.75" style="835" hidden="1"/>
    <col min="14086" max="14111" width="9.125" style="835" hidden="1"/>
    <col min="14112" max="14332" width="8.875" style="835" hidden="1"/>
    <col min="14333" max="14336" width="1.25" style="835" hidden="1"/>
    <col min="14337" max="14337" width="8.875" style="835" hidden="1"/>
    <col min="14338" max="14338" width="9.125" style="835" hidden="1"/>
    <col min="14339" max="14339" width="10.75" style="835" hidden="1"/>
    <col min="14340" max="14340" width="12.625" style="835" hidden="1"/>
    <col min="14341" max="14341" width="0.75" style="835" hidden="1"/>
    <col min="14342" max="14367" width="9.125" style="835" hidden="1"/>
    <col min="14368" max="14588" width="8.875" style="835" hidden="1"/>
    <col min="14589" max="14592" width="1.25" style="835" hidden="1"/>
    <col min="14593" max="14593" width="8.875" style="835" hidden="1"/>
    <col min="14594" max="14594" width="9.125" style="835" hidden="1"/>
    <col min="14595" max="14595" width="10.75" style="835" hidden="1"/>
    <col min="14596" max="14596" width="12.625" style="835" hidden="1"/>
    <col min="14597" max="14597" width="0.75" style="835" hidden="1"/>
    <col min="14598" max="14623" width="9.125" style="835" hidden="1"/>
    <col min="14624" max="14844" width="8.875" style="835" hidden="1"/>
    <col min="14845" max="14848" width="1.25" style="835" hidden="1"/>
    <col min="14849" max="14849" width="8.875" style="835" hidden="1"/>
    <col min="14850" max="14850" width="9.125" style="835" hidden="1"/>
    <col min="14851" max="14851" width="10.75" style="835" hidden="1"/>
    <col min="14852" max="14852" width="12.625" style="835" hidden="1"/>
    <col min="14853" max="14853" width="0.75" style="835" hidden="1"/>
    <col min="14854" max="14879" width="9.125" style="835" hidden="1"/>
    <col min="14880" max="15100" width="8.875" style="835" hidden="1"/>
    <col min="15101" max="15104" width="1.25" style="835" hidden="1"/>
    <col min="15105" max="15105" width="8.875" style="835" hidden="1"/>
    <col min="15106" max="15106" width="9.125" style="835" hidden="1"/>
    <col min="15107" max="15107" width="10.75" style="835" hidden="1"/>
    <col min="15108" max="15108" width="12.625" style="835" hidden="1"/>
    <col min="15109" max="15109" width="0.75" style="835" hidden="1"/>
    <col min="15110" max="15135" width="9.125" style="835" hidden="1"/>
    <col min="15136" max="15356" width="8.875" style="835" hidden="1"/>
    <col min="15357" max="15360" width="1.25" style="835" hidden="1"/>
    <col min="15361" max="15361" width="8.875" style="835" hidden="1"/>
    <col min="15362" max="15362" width="9.125" style="835" hidden="1"/>
    <col min="15363" max="15363" width="10.75" style="835" hidden="1"/>
    <col min="15364" max="15364" width="12.625" style="835" hidden="1"/>
    <col min="15365" max="15365" width="0.75" style="835" hidden="1"/>
    <col min="15366" max="15391" width="9.125" style="835" hidden="1"/>
    <col min="15392" max="15612" width="8.875" style="835" hidden="1"/>
    <col min="15613" max="15616" width="1.25" style="835" hidden="1"/>
    <col min="15617" max="15617" width="8.875" style="835" hidden="1"/>
    <col min="15618" max="15618" width="9.125" style="835" hidden="1"/>
    <col min="15619" max="15619" width="10.75" style="835" hidden="1"/>
    <col min="15620" max="15620" width="12.625" style="835" hidden="1"/>
    <col min="15621" max="15621" width="0.75" style="835" hidden="1"/>
    <col min="15622" max="15647" width="9.125" style="835" hidden="1"/>
    <col min="15648" max="15868" width="8.875" style="835" hidden="1"/>
    <col min="15869" max="15872" width="1.25" style="835" hidden="1"/>
    <col min="15873" max="15873" width="8.875" style="835" hidden="1"/>
    <col min="15874" max="15874" width="9.125" style="835" hidden="1"/>
    <col min="15875" max="15875" width="10.75" style="835" hidden="1"/>
    <col min="15876" max="15876" width="12.625" style="835" hidden="1"/>
    <col min="15877" max="15877" width="0.75" style="835" hidden="1"/>
    <col min="15878" max="15903" width="9.125" style="835" hidden="1"/>
    <col min="15904" max="16124" width="8.875" style="835" hidden="1"/>
    <col min="16125" max="16128" width="1.25" style="835" hidden="1"/>
    <col min="16129" max="16129" width="8.875" style="835" hidden="1"/>
    <col min="16130" max="16130" width="9.125" style="835" hidden="1"/>
    <col min="16131" max="16131" width="10.75" style="835" hidden="1"/>
    <col min="16132" max="16132" width="12.625" style="835" hidden="1"/>
    <col min="16133" max="16133" width="0.75" style="835" hidden="1"/>
    <col min="16134" max="16159" width="9.125" style="835" hidden="1"/>
    <col min="16160" max="16384" width="0" style="835" hidden="1"/>
  </cols>
  <sheetData>
    <row r="1" spans="2:41" s="814" customFormat="1" ht="33" customHeight="1">
      <c r="B1" s="809" t="s">
        <v>2080</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c r="AF1" s="813"/>
      <c r="AG1" s="813"/>
      <c r="AH1" s="813"/>
      <c r="AI1" s="813"/>
      <c r="AJ1" s="813"/>
      <c r="AK1" s="813"/>
      <c r="AL1" s="813"/>
      <c r="AM1" s="813"/>
      <c r="AN1" s="813"/>
      <c r="AO1" s="813"/>
    </row>
    <row r="2" spans="2:41" s="815" customFormat="1"/>
    <row r="3" spans="2:41" s="815" customFormat="1"/>
    <row r="4" spans="2:41" s="815" customFormat="1">
      <c r="H4" s="815">
        <f>SUM(J4:AE4)</f>
        <v>120</v>
      </c>
      <c r="J4" s="815">
        <v>4</v>
      </c>
      <c r="K4" s="815">
        <v>6</v>
      </c>
      <c r="L4" s="815">
        <v>6</v>
      </c>
      <c r="M4" s="815">
        <v>6</v>
      </c>
      <c r="N4" s="815">
        <v>6</v>
      </c>
      <c r="O4" s="815">
        <v>6</v>
      </c>
      <c r="P4" s="815">
        <v>6</v>
      </c>
      <c r="Q4" s="815">
        <v>6</v>
      </c>
      <c r="R4" s="815">
        <v>6</v>
      </c>
      <c r="S4" s="815">
        <v>6</v>
      </c>
      <c r="T4" s="815">
        <v>6</v>
      </c>
      <c r="U4" s="815">
        <v>6</v>
      </c>
      <c r="V4" s="815">
        <v>6</v>
      </c>
      <c r="W4" s="815">
        <v>6</v>
      </c>
      <c r="X4" s="815">
        <v>6</v>
      </c>
      <c r="Y4" s="815">
        <v>6</v>
      </c>
      <c r="Z4" s="815">
        <v>6</v>
      </c>
      <c r="AA4" s="815">
        <v>6</v>
      </c>
      <c r="AB4" s="815">
        <v>6</v>
      </c>
      <c r="AC4" s="815">
        <v>6</v>
      </c>
      <c r="AD4" s="815">
        <v>2</v>
      </c>
      <c r="AE4" s="815">
        <v>0</v>
      </c>
    </row>
    <row r="5" spans="2:41" s="819" customFormat="1" ht="13.5">
      <c r="B5" s="816"/>
      <c r="C5" s="817"/>
      <c r="D5" s="817"/>
      <c r="E5" s="817"/>
      <c r="F5" s="991" t="s">
        <v>1599</v>
      </c>
      <c r="G5" s="992">
        <v>45230</v>
      </c>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2:41" s="826" customFormat="1" ht="13.5">
      <c r="B6" s="821"/>
      <c r="C6" s="822"/>
      <c r="D6" s="823"/>
      <c r="E6" s="824" t="s">
        <v>2026</v>
      </c>
      <c r="F6" s="995" t="s">
        <v>2027</v>
      </c>
      <c r="G6" s="996">
        <v>45260</v>
      </c>
      <c r="H6" s="825" t="s">
        <v>2028</v>
      </c>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2:41" ht="13.5">
      <c r="B7" s="828"/>
      <c r="C7" s="829"/>
      <c r="D7" s="829"/>
      <c r="E7" s="829"/>
      <c r="F7" s="830" t="s">
        <v>1601</v>
      </c>
      <c r="G7" s="831">
        <v>48029</v>
      </c>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c r="AF7" s="835"/>
      <c r="AG7" s="835"/>
      <c r="AH7" s="835"/>
      <c r="AI7" s="835"/>
      <c r="AJ7" s="835"/>
      <c r="AK7" s="835"/>
      <c r="AL7" s="835"/>
      <c r="AM7" s="835"/>
      <c r="AN7" s="835"/>
      <c r="AO7" s="835"/>
    </row>
    <row r="8" spans="2:41">
      <c r="B8" s="836"/>
      <c r="C8" s="837"/>
      <c r="D8" s="837"/>
      <c r="E8" s="837"/>
      <c r="F8" s="837"/>
      <c r="G8" s="837"/>
      <c r="H8" s="838"/>
      <c r="I8" s="833"/>
      <c r="J8" s="247"/>
      <c r="K8" s="247"/>
      <c r="L8" s="247"/>
      <c r="M8" s="247"/>
      <c r="N8" s="247"/>
      <c r="O8" s="247"/>
      <c r="P8" s="247"/>
      <c r="Q8" s="247"/>
      <c r="R8" s="247"/>
      <c r="S8" s="247"/>
      <c r="T8" s="247"/>
      <c r="U8" s="247"/>
      <c r="V8" s="247"/>
      <c r="W8" s="247"/>
      <c r="X8" s="247"/>
      <c r="Y8" s="247"/>
      <c r="Z8" s="247"/>
      <c r="AA8" s="247"/>
      <c r="AB8" s="247"/>
      <c r="AC8" s="247"/>
      <c r="AD8" s="247"/>
      <c r="AE8" s="247"/>
    </row>
    <row r="9" spans="2:41" s="843" customFormat="1" ht="13.5">
      <c r="B9" s="840"/>
      <c r="C9" s="841"/>
      <c r="D9" s="841" t="s">
        <v>2081</v>
      </c>
      <c r="E9" s="841"/>
      <c r="F9" s="841"/>
      <c r="G9" s="841"/>
      <c r="H9" s="842">
        <f>SUM(J9:AE9)</f>
        <v>399913.13698348723</v>
      </c>
      <c r="J9" s="842">
        <f t="shared" ref="J9:AE9" si="0">SUM(J11:J15)</f>
        <v>0</v>
      </c>
      <c r="K9" s="842">
        <f t="shared" si="0"/>
        <v>0</v>
      </c>
      <c r="L9" s="842">
        <f t="shared" si="0"/>
        <v>0</v>
      </c>
      <c r="M9" s="842">
        <f t="shared" si="0"/>
        <v>0</v>
      </c>
      <c r="N9" s="842">
        <f t="shared" si="0"/>
        <v>0</v>
      </c>
      <c r="O9" s="842">
        <f t="shared" si="0"/>
        <v>4860</v>
      </c>
      <c r="P9" s="842">
        <f t="shared" si="0"/>
        <v>4860.0000000000018</v>
      </c>
      <c r="Q9" s="842">
        <f t="shared" si="0"/>
        <v>4860.0000000000018</v>
      </c>
      <c r="R9" s="842">
        <f t="shared" si="0"/>
        <v>4860.0000000000009</v>
      </c>
      <c r="S9" s="842">
        <f t="shared" si="0"/>
        <v>4860.0000000000009</v>
      </c>
      <c r="T9" s="842">
        <f t="shared" si="0"/>
        <v>5943</v>
      </c>
      <c r="U9" s="842">
        <f t="shared" si="0"/>
        <v>5942.9999999999973</v>
      </c>
      <c r="V9" s="842">
        <f t="shared" si="0"/>
        <v>690.81685672172898</v>
      </c>
      <c r="W9" s="842">
        <f t="shared" si="0"/>
        <v>532.92963953749859</v>
      </c>
      <c r="X9" s="842">
        <f t="shared" si="0"/>
        <v>532.92963953750223</v>
      </c>
      <c r="Y9" s="842">
        <f t="shared" si="0"/>
        <v>-2760.6605099461603</v>
      </c>
      <c r="Z9" s="842">
        <f t="shared" si="0"/>
        <v>-6485.4006590107483</v>
      </c>
      <c r="AA9" s="842">
        <f t="shared" si="0"/>
        <v>-13093.303787958859</v>
      </c>
      <c r="AB9" s="842">
        <f t="shared" si="0"/>
        <v>-16791.998422051773</v>
      </c>
      <c r="AC9" s="842">
        <f t="shared" si="0"/>
        <v>-23443.971640814863</v>
      </c>
      <c r="AD9" s="842">
        <f t="shared" si="0"/>
        <v>424545.79586747289</v>
      </c>
      <c r="AE9" s="842">
        <f t="shared" si="0"/>
        <v>0</v>
      </c>
      <c r="AF9" s="844"/>
      <c r="AG9" s="844"/>
      <c r="AH9" s="844"/>
      <c r="AI9" s="844"/>
      <c r="AJ9" s="844"/>
      <c r="AK9" s="844"/>
      <c r="AL9" s="844"/>
      <c r="AM9" s="844"/>
      <c r="AN9" s="844"/>
      <c r="AO9" s="844"/>
    </row>
    <row r="10" spans="2:41" s="833" customFormat="1">
      <c r="B10" s="845"/>
      <c r="C10" s="846"/>
      <c r="D10" s="846"/>
      <c r="E10" s="846"/>
      <c r="F10" s="846"/>
      <c r="G10" s="846"/>
      <c r="H10" s="847"/>
      <c r="J10" s="244"/>
      <c r="K10" s="244"/>
      <c r="L10" s="244"/>
      <c r="M10" s="244"/>
      <c r="N10" s="244"/>
      <c r="O10" s="244"/>
      <c r="P10" s="244"/>
      <c r="Q10" s="244"/>
      <c r="R10" s="244"/>
      <c r="S10" s="244"/>
      <c r="T10" s="244"/>
      <c r="U10" s="244"/>
      <c r="V10" s="244"/>
      <c r="W10" s="244"/>
      <c r="X10" s="244"/>
      <c r="Y10" s="244"/>
      <c r="Z10" s="244"/>
      <c r="AA10" s="244"/>
      <c r="AB10" s="244"/>
      <c r="AC10" s="244"/>
      <c r="AD10" s="244"/>
      <c r="AE10" s="244"/>
      <c r="AF10" s="839"/>
      <c r="AG10" s="839"/>
      <c r="AH10" s="839"/>
      <c r="AI10" s="839"/>
      <c r="AJ10" s="839"/>
      <c r="AK10" s="839"/>
      <c r="AL10" s="839"/>
      <c r="AM10" s="839"/>
      <c r="AN10" s="839"/>
      <c r="AO10" s="839"/>
    </row>
    <row r="11" spans="2:41" s="833" customFormat="1" ht="13.5">
      <c r="B11" s="845"/>
      <c r="C11" s="846"/>
      <c r="D11" s="846"/>
      <c r="E11" s="846" t="s">
        <v>2082</v>
      </c>
      <c r="F11" s="846"/>
      <c r="G11" s="846"/>
      <c r="H11" s="848">
        <f>SUM(J11:AE11)</f>
        <v>-124431.61829063752</v>
      </c>
      <c r="J11" s="848">
        <f t="shared" ref="J11:AE11" si="1">(J$7&gt;0)*I21</f>
        <v>0</v>
      </c>
      <c r="K11" s="848">
        <f t="shared" si="1"/>
        <v>0</v>
      </c>
      <c r="L11" s="848">
        <f t="shared" si="1"/>
        <v>0</v>
      </c>
      <c r="M11" s="848">
        <f t="shared" si="1"/>
        <v>0</v>
      </c>
      <c r="N11" s="848">
        <f t="shared" si="1"/>
        <v>0</v>
      </c>
      <c r="O11" s="848">
        <f t="shared" si="1"/>
        <v>0</v>
      </c>
      <c r="P11" s="848">
        <f t="shared" si="1"/>
        <v>0</v>
      </c>
      <c r="Q11" s="848">
        <f t="shared" si="1"/>
        <v>0</v>
      </c>
      <c r="R11" s="848">
        <f t="shared" si="1"/>
        <v>0</v>
      </c>
      <c r="S11" s="848">
        <f t="shared" si="1"/>
        <v>0</v>
      </c>
      <c r="T11" s="848">
        <f t="shared" si="1"/>
        <v>0</v>
      </c>
      <c r="U11" s="848">
        <f t="shared" si="1"/>
        <v>0</v>
      </c>
      <c r="V11" s="848">
        <f t="shared" si="1"/>
        <v>0</v>
      </c>
      <c r="W11" s="848">
        <f t="shared" si="1"/>
        <v>-5410.0703604625005</v>
      </c>
      <c r="X11" s="848">
        <f t="shared" si="1"/>
        <v>-5410.0703604625005</v>
      </c>
      <c r="Y11" s="848">
        <f t="shared" si="1"/>
        <v>-5410.0703604624996</v>
      </c>
      <c r="Z11" s="848">
        <f t="shared" si="1"/>
        <v>-10820.140720924999</v>
      </c>
      <c r="AA11" s="848">
        <f t="shared" si="1"/>
        <v>-16230.211081387501</v>
      </c>
      <c r="AB11" s="848">
        <f t="shared" si="1"/>
        <v>-21640.281441850002</v>
      </c>
      <c r="AC11" s="848">
        <f t="shared" si="1"/>
        <v>-27050.351802312503</v>
      </c>
      <c r="AD11" s="848">
        <f t="shared" si="1"/>
        <v>-32460.422162775005</v>
      </c>
      <c r="AE11" s="848">
        <f t="shared" si="1"/>
        <v>0</v>
      </c>
      <c r="AF11" s="839"/>
      <c r="AG11" s="839"/>
      <c r="AH11" s="839"/>
      <c r="AI11" s="839"/>
      <c r="AJ11" s="839"/>
      <c r="AK11" s="839"/>
      <c r="AL11" s="839"/>
      <c r="AM11" s="839"/>
      <c r="AN11" s="839"/>
      <c r="AO11" s="839"/>
    </row>
    <row r="12" spans="2:41" s="833" customFormat="1" ht="13.5">
      <c r="B12" s="845"/>
      <c r="C12" s="846"/>
      <c r="D12" s="846"/>
      <c r="E12" s="2346" t="s">
        <v>2083</v>
      </c>
      <c r="F12" s="846"/>
      <c r="G12" s="846"/>
      <c r="H12" s="848">
        <f>SUM(J12:AE12)</f>
        <v>0</v>
      </c>
      <c r="I12" s="848"/>
      <c r="J12" s="848">
        <v>0</v>
      </c>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39"/>
      <c r="AG12" s="839"/>
      <c r="AH12" s="839"/>
      <c r="AI12" s="839"/>
      <c r="AJ12" s="839"/>
      <c r="AK12" s="839"/>
      <c r="AL12" s="839"/>
      <c r="AM12" s="839"/>
      <c r="AN12" s="839"/>
      <c r="AO12" s="839"/>
    </row>
    <row r="13" spans="2:41" s="833" customFormat="1" ht="13.5">
      <c r="B13" s="845"/>
      <c r="C13" s="846"/>
      <c r="D13" s="846"/>
      <c r="E13" s="846" t="s">
        <v>2084</v>
      </c>
      <c r="F13" s="846"/>
      <c r="G13" s="846"/>
      <c r="H13" s="848">
        <f>SUM(J13:AE13)</f>
        <v>432669.91143779905</v>
      </c>
      <c r="J13" s="848">
        <v>0</v>
      </c>
      <c r="K13" s="848">
        <v>0</v>
      </c>
      <c r="L13" s="848">
        <v>0</v>
      </c>
      <c r="M13" s="848">
        <v>0</v>
      </c>
      <c r="N13" s="848">
        <v>0</v>
      </c>
      <c r="O13" s="848">
        <v>-652.61925893875832</v>
      </c>
      <c r="P13" s="848">
        <v>-13275.272923045477</v>
      </c>
      <c r="Q13" s="848">
        <v>-4540.8309796071462</v>
      </c>
      <c r="R13" s="848">
        <v>-3772.2104685200857</v>
      </c>
      <c r="S13" s="848">
        <v>-4243.4630396185048</v>
      </c>
      <c r="T13" s="848">
        <v>-10263.465347692647</v>
      </c>
      <c r="U13" s="848">
        <v>-967.66016749293522</v>
      </c>
      <c r="V13" s="848">
        <v>690.81685672172898</v>
      </c>
      <c r="W13" s="848">
        <v>-325.52194382869857</v>
      </c>
      <c r="X13" s="848">
        <v>-5561.7997075814146</v>
      </c>
      <c r="Y13" s="848">
        <v>2649.4098505163392</v>
      </c>
      <c r="Z13" s="848">
        <v>4334.7400619142509</v>
      </c>
      <c r="AA13" s="848">
        <v>3136.9072934286423</v>
      </c>
      <c r="AB13" s="848">
        <v>4848.2830197982303</v>
      </c>
      <c r="AC13" s="848">
        <v>3606.380161497641</v>
      </c>
      <c r="AD13" s="848">
        <v>457006.2180302479</v>
      </c>
      <c r="AE13" s="848">
        <v>0</v>
      </c>
      <c r="AF13" s="839"/>
      <c r="AG13" s="839"/>
      <c r="AH13" s="839"/>
      <c r="AI13" s="839"/>
      <c r="AJ13" s="839"/>
      <c r="AK13" s="839"/>
      <c r="AL13" s="839"/>
      <c r="AM13" s="839"/>
      <c r="AN13" s="839"/>
      <c r="AO13" s="839"/>
    </row>
    <row r="14" spans="2:41" s="833" customFormat="1" ht="13.5">
      <c r="B14" s="845"/>
      <c r="C14" s="846"/>
      <c r="D14" s="846"/>
      <c r="E14" s="852" t="s">
        <v>2085</v>
      </c>
      <c r="F14" s="846"/>
      <c r="G14" s="846"/>
      <c r="H14" s="848">
        <f>SUM(J14:AE14)</f>
        <v>91674.843836325672</v>
      </c>
      <c r="J14" s="848">
        <f>J45</f>
        <v>0</v>
      </c>
      <c r="K14" s="848">
        <f t="shared" ref="K14:AE14" si="2">K45</f>
        <v>0</v>
      </c>
      <c r="L14" s="848">
        <f t="shared" si="2"/>
        <v>0</v>
      </c>
      <c r="M14" s="848">
        <f t="shared" si="2"/>
        <v>0</v>
      </c>
      <c r="N14" s="848">
        <f t="shared" si="2"/>
        <v>0</v>
      </c>
      <c r="O14" s="848">
        <f t="shared" si="2"/>
        <v>5512.6192589387583</v>
      </c>
      <c r="P14" s="848">
        <f t="shared" si="2"/>
        <v>18135.272923045479</v>
      </c>
      <c r="Q14" s="848">
        <f t="shared" si="2"/>
        <v>9400.830979607148</v>
      </c>
      <c r="R14" s="848">
        <f t="shared" si="2"/>
        <v>8632.2104685200866</v>
      </c>
      <c r="S14" s="848">
        <f t="shared" si="2"/>
        <v>9103.4630396185057</v>
      </c>
      <c r="T14" s="848">
        <f t="shared" si="2"/>
        <v>16206.465347692647</v>
      </c>
      <c r="U14" s="848">
        <f t="shared" si="2"/>
        <v>6910.6601674929325</v>
      </c>
      <c r="V14" s="848">
        <f t="shared" si="2"/>
        <v>0</v>
      </c>
      <c r="W14" s="848">
        <f t="shared" si="2"/>
        <v>6268.5219438286977</v>
      </c>
      <c r="X14" s="848">
        <f t="shared" si="2"/>
        <v>11504.799707581416</v>
      </c>
      <c r="Y14" s="848">
        <f t="shared" si="2"/>
        <v>0</v>
      </c>
      <c r="Z14" s="848">
        <f t="shared" si="2"/>
        <v>0</v>
      </c>
      <c r="AA14" s="848">
        <f t="shared" si="2"/>
        <v>0</v>
      </c>
      <c r="AB14" s="848">
        <f t="shared" si="2"/>
        <v>0</v>
      </c>
      <c r="AC14" s="848">
        <f t="shared" si="2"/>
        <v>0</v>
      </c>
      <c r="AD14" s="848">
        <f t="shared" si="2"/>
        <v>0</v>
      </c>
      <c r="AE14" s="848">
        <f t="shared" si="2"/>
        <v>0</v>
      </c>
      <c r="AF14" s="839"/>
      <c r="AG14" s="839"/>
      <c r="AH14" s="839"/>
      <c r="AI14" s="839"/>
      <c r="AJ14" s="839"/>
      <c r="AK14" s="839"/>
      <c r="AL14" s="839"/>
      <c r="AM14" s="839"/>
      <c r="AN14" s="839"/>
      <c r="AO14" s="839"/>
    </row>
    <row r="15" spans="2:41" s="833" customFormat="1">
      <c r="B15" s="845"/>
      <c r="C15" s="846"/>
      <c r="D15" s="846"/>
      <c r="E15" s="846"/>
      <c r="F15" s="846"/>
      <c r="G15" s="846"/>
      <c r="H15" s="848"/>
      <c r="J15" s="244"/>
      <c r="K15" s="244"/>
      <c r="L15" s="244"/>
      <c r="M15" s="244"/>
      <c r="N15" s="244"/>
      <c r="O15" s="244"/>
      <c r="P15" s="244"/>
      <c r="Q15" s="244"/>
      <c r="R15" s="244"/>
      <c r="S15" s="244"/>
      <c r="T15" s="244"/>
      <c r="U15" s="244"/>
      <c r="V15" s="244"/>
      <c r="W15" s="244"/>
      <c r="X15" s="244"/>
      <c r="Y15" s="244"/>
      <c r="Z15" s="244"/>
      <c r="AA15" s="244"/>
      <c r="AB15" s="244"/>
      <c r="AC15" s="244"/>
      <c r="AD15" s="244"/>
      <c r="AE15" s="244"/>
      <c r="AF15" s="839"/>
      <c r="AG15" s="839"/>
      <c r="AH15" s="839"/>
      <c r="AI15" s="839"/>
      <c r="AJ15" s="839"/>
      <c r="AK15" s="839"/>
      <c r="AL15" s="839"/>
      <c r="AM15" s="839"/>
      <c r="AN15" s="839"/>
      <c r="AO15" s="839"/>
    </row>
    <row r="16" spans="2:41" s="843" customFormat="1" ht="13.5">
      <c r="B16" s="840"/>
      <c r="C16" s="841"/>
      <c r="D16" s="841" t="s">
        <v>2086</v>
      </c>
      <c r="E16" s="841"/>
      <c r="F16" s="841"/>
      <c r="G16" s="841"/>
      <c r="H16" s="842">
        <f>SUM(J16:AE16)</f>
        <v>558608.53422372055</v>
      </c>
      <c r="J16" s="842">
        <f t="shared" ref="J16:AE16" si="3">SUM(J18:J20)</f>
        <v>0</v>
      </c>
      <c r="K16" s="842">
        <f t="shared" si="3"/>
        <v>0</v>
      </c>
      <c r="L16" s="842">
        <f t="shared" si="3"/>
        <v>0</v>
      </c>
      <c r="M16" s="842">
        <f t="shared" si="3"/>
        <v>0</v>
      </c>
      <c r="N16" s="842">
        <f t="shared" si="3"/>
        <v>0</v>
      </c>
      <c r="O16" s="842">
        <f t="shared" si="3"/>
        <v>4860</v>
      </c>
      <c r="P16" s="842">
        <f t="shared" si="3"/>
        <v>4860.0000000000018</v>
      </c>
      <c r="Q16" s="842">
        <f t="shared" si="3"/>
        <v>4860.0000000000018</v>
      </c>
      <c r="R16" s="842">
        <f t="shared" si="3"/>
        <v>4860.0000000000009</v>
      </c>
      <c r="S16" s="842">
        <f t="shared" si="3"/>
        <v>4860.0000000000009</v>
      </c>
      <c r="T16" s="842">
        <f t="shared" si="3"/>
        <v>5943</v>
      </c>
      <c r="U16" s="842">
        <f t="shared" si="3"/>
        <v>5942.9999999999973</v>
      </c>
      <c r="V16" s="842">
        <f t="shared" si="3"/>
        <v>6100.8872171842295</v>
      </c>
      <c r="W16" s="842">
        <f t="shared" si="3"/>
        <v>5942.9999999999991</v>
      </c>
      <c r="X16" s="842">
        <f t="shared" si="3"/>
        <v>5943.0000000000018</v>
      </c>
      <c r="Y16" s="842">
        <f t="shared" si="3"/>
        <v>8059.4802109788398</v>
      </c>
      <c r="Z16" s="842">
        <f t="shared" si="3"/>
        <v>9744.8104223767514</v>
      </c>
      <c r="AA16" s="842">
        <f t="shared" si="3"/>
        <v>8546.9776538911428</v>
      </c>
      <c r="AB16" s="842">
        <f t="shared" si="3"/>
        <v>10258.353380260731</v>
      </c>
      <c r="AC16" s="842">
        <f t="shared" si="3"/>
        <v>9016.4505219601415</v>
      </c>
      <c r="AD16" s="842">
        <f t="shared" si="3"/>
        <v>458809.5748170687</v>
      </c>
      <c r="AE16" s="842">
        <f t="shared" si="3"/>
        <v>0</v>
      </c>
      <c r="AF16" s="844"/>
      <c r="AG16" s="844"/>
      <c r="AH16" s="844"/>
      <c r="AI16" s="844"/>
      <c r="AJ16" s="844"/>
      <c r="AK16" s="844"/>
      <c r="AL16" s="844"/>
      <c r="AM16" s="844"/>
      <c r="AN16" s="844"/>
      <c r="AO16" s="844"/>
    </row>
    <row r="17" spans="2:41" s="833" customFormat="1">
      <c r="B17" s="845"/>
      <c r="C17" s="846"/>
      <c r="D17" s="846"/>
      <c r="E17" s="846"/>
      <c r="F17" s="846"/>
      <c r="G17" s="853"/>
      <c r="H17" s="848"/>
      <c r="J17" s="244"/>
      <c r="K17" s="244"/>
      <c r="L17" s="244"/>
      <c r="M17" s="244"/>
      <c r="N17" s="244"/>
      <c r="O17" s="244"/>
      <c r="P17" s="244"/>
      <c r="Q17" s="244"/>
      <c r="R17" s="244"/>
      <c r="S17" s="244"/>
      <c r="T17" s="244"/>
      <c r="U17" s="244"/>
      <c r="V17" s="244"/>
      <c r="W17" s="244"/>
      <c r="X17" s="244"/>
      <c r="Y17" s="244"/>
      <c r="Z17" s="244"/>
      <c r="AA17" s="244"/>
      <c r="AB17" s="244"/>
      <c r="AC17" s="244"/>
      <c r="AD17" s="244"/>
      <c r="AE17" s="244"/>
      <c r="AF17" s="839"/>
      <c r="AG17" s="839"/>
      <c r="AH17" s="839"/>
      <c r="AI17" s="839"/>
      <c r="AJ17" s="839"/>
      <c r="AK17" s="839"/>
      <c r="AL17" s="839"/>
      <c r="AM17" s="839"/>
      <c r="AN17" s="839"/>
      <c r="AO17" s="839"/>
    </row>
    <row r="18" spans="2:41" s="833" customFormat="1" ht="13.5">
      <c r="B18" s="845"/>
      <c r="C18" s="846"/>
      <c r="D18" s="846"/>
      <c r="E18" s="854" t="s">
        <v>2087</v>
      </c>
      <c r="F18" s="846"/>
      <c r="G18" s="855"/>
      <c r="H18" s="848">
        <f>SUM(J18:AE18)</f>
        <v>0</v>
      </c>
      <c r="I18" s="856"/>
      <c r="J18" s="848">
        <f t="shared" ref="J18:AE19" si="4">J59</f>
        <v>0</v>
      </c>
      <c r="K18" s="848">
        <f t="shared" si="4"/>
        <v>0</v>
      </c>
      <c r="L18" s="848">
        <f t="shared" si="4"/>
        <v>0</v>
      </c>
      <c r="M18" s="848">
        <f t="shared" si="4"/>
        <v>0</v>
      </c>
      <c r="N18" s="848">
        <f t="shared" si="4"/>
        <v>0</v>
      </c>
      <c r="O18" s="848">
        <f t="shared" si="4"/>
        <v>0</v>
      </c>
      <c r="P18" s="848">
        <f t="shared" si="4"/>
        <v>0</v>
      </c>
      <c r="Q18" s="848">
        <f t="shared" si="4"/>
        <v>0</v>
      </c>
      <c r="R18" s="848">
        <f t="shared" si="4"/>
        <v>0</v>
      </c>
      <c r="S18" s="848">
        <f t="shared" si="4"/>
        <v>0</v>
      </c>
      <c r="T18" s="848">
        <f t="shared" si="4"/>
        <v>0</v>
      </c>
      <c r="U18" s="848">
        <f t="shared" si="4"/>
        <v>0</v>
      </c>
      <c r="V18" s="848">
        <f t="shared" si="4"/>
        <v>0</v>
      </c>
      <c r="W18" s="848">
        <f t="shared" si="4"/>
        <v>0</v>
      </c>
      <c r="X18" s="848">
        <f t="shared" si="4"/>
        <v>0</v>
      </c>
      <c r="Y18" s="848">
        <f t="shared" si="4"/>
        <v>0</v>
      </c>
      <c r="Z18" s="848">
        <f t="shared" si="4"/>
        <v>0</v>
      </c>
      <c r="AA18" s="848">
        <f t="shared" si="4"/>
        <v>0</v>
      </c>
      <c r="AB18" s="848">
        <f t="shared" si="4"/>
        <v>0</v>
      </c>
      <c r="AC18" s="848">
        <f t="shared" si="4"/>
        <v>0</v>
      </c>
      <c r="AD18" s="848">
        <f t="shared" si="4"/>
        <v>0</v>
      </c>
      <c r="AE18" s="848">
        <f t="shared" si="4"/>
        <v>0</v>
      </c>
      <c r="AF18" s="839"/>
      <c r="AG18" s="839"/>
      <c r="AH18" s="839"/>
      <c r="AI18" s="839"/>
      <c r="AJ18" s="839"/>
      <c r="AK18" s="839"/>
      <c r="AL18" s="839"/>
      <c r="AM18" s="839"/>
      <c r="AN18" s="839"/>
      <c r="AO18" s="839"/>
    </row>
    <row r="19" spans="2:41" s="833" customFormat="1" ht="13.5">
      <c r="B19" s="845"/>
      <c r="C19" s="846"/>
      <c r="D19" s="846"/>
      <c r="E19" s="846" t="s">
        <v>2088</v>
      </c>
      <c r="F19" s="846"/>
      <c r="G19" s="857"/>
      <c r="H19" s="848">
        <f>SUM(J19:AE19)</f>
        <v>558608.53422372055</v>
      </c>
      <c r="I19" s="858"/>
      <c r="J19" s="848">
        <f>J60</f>
        <v>0</v>
      </c>
      <c r="K19" s="848">
        <f t="shared" si="4"/>
        <v>0</v>
      </c>
      <c r="L19" s="848">
        <f t="shared" si="4"/>
        <v>0</v>
      </c>
      <c r="M19" s="848">
        <f t="shared" si="4"/>
        <v>0</v>
      </c>
      <c r="N19" s="848">
        <f t="shared" si="4"/>
        <v>0</v>
      </c>
      <c r="O19" s="848">
        <f t="shared" si="4"/>
        <v>4860</v>
      </c>
      <c r="P19" s="848">
        <f t="shared" si="4"/>
        <v>4860.0000000000018</v>
      </c>
      <c r="Q19" s="848">
        <f t="shared" si="4"/>
        <v>4860.0000000000018</v>
      </c>
      <c r="R19" s="848">
        <f t="shared" si="4"/>
        <v>4860.0000000000009</v>
      </c>
      <c r="S19" s="848">
        <f t="shared" si="4"/>
        <v>4860.0000000000009</v>
      </c>
      <c r="T19" s="848">
        <f t="shared" si="4"/>
        <v>5943</v>
      </c>
      <c r="U19" s="848">
        <f t="shared" si="4"/>
        <v>5942.9999999999973</v>
      </c>
      <c r="V19" s="848">
        <f t="shared" si="4"/>
        <v>6100.8872171842295</v>
      </c>
      <c r="W19" s="848">
        <f t="shared" si="4"/>
        <v>5942.9999999999991</v>
      </c>
      <c r="X19" s="848">
        <f t="shared" si="4"/>
        <v>5943.0000000000018</v>
      </c>
      <c r="Y19" s="848">
        <f t="shared" si="4"/>
        <v>8059.4802109788398</v>
      </c>
      <c r="Z19" s="848">
        <f t="shared" si="4"/>
        <v>9744.8104223767514</v>
      </c>
      <c r="AA19" s="848">
        <f t="shared" si="4"/>
        <v>8546.9776538911428</v>
      </c>
      <c r="AB19" s="848">
        <f t="shared" si="4"/>
        <v>10258.353380260731</v>
      </c>
      <c r="AC19" s="848">
        <f t="shared" si="4"/>
        <v>9016.4505219601415</v>
      </c>
      <c r="AD19" s="848">
        <f t="shared" si="4"/>
        <v>458809.5748170687</v>
      </c>
      <c r="AE19" s="848">
        <f t="shared" si="4"/>
        <v>0</v>
      </c>
      <c r="AF19" s="839"/>
      <c r="AG19" s="839"/>
      <c r="AH19" s="839"/>
      <c r="AI19" s="839"/>
      <c r="AJ19" s="839"/>
      <c r="AK19" s="839"/>
      <c r="AL19" s="839"/>
      <c r="AM19" s="839"/>
      <c r="AN19" s="839"/>
      <c r="AO19" s="839"/>
    </row>
    <row r="20" spans="2:41" s="833" customFormat="1">
      <c r="B20" s="845"/>
      <c r="C20" s="846"/>
      <c r="D20" s="846"/>
      <c r="E20" s="846"/>
      <c r="F20" s="846"/>
      <c r="G20" s="857"/>
      <c r="H20" s="244"/>
      <c r="J20" s="248"/>
      <c r="K20" s="248"/>
      <c r="L20" s="248"/>
      <c r="M20" s="248"/>
      <c r="N20" s="248"/>
      <c r="O20" s="248"/>
      <c r="P20" s="248"/>
      <c r="Q20" s="248"/>
      <c r="R20" s="248"/>
      <c r="S20" s="248"/>
      <c r="T20" s="248"/>
      <c r="U20" s="248"/>
      <c r="V20" s="248"/>
      <c r="W20" s="248"/>
      <c r="X20" s="248"/>
      <c r="Y20" s="248"/>
      <c r="Z20" s="248"/>
      <c r="AA20" s="248"/>
      <c r="AB20" s="248"/>
      <c r="AC20" s="248"/>
      <c r="AD20" s="248"/>
      <c r="AE20" s="248"/>
      <c r="AF20" s="839"/>
      <c r="AG20" s="839"/>
      <c r="AH20" s="839"/>
      <c r="AI20" s="839"/>
      <c r="AJ20" s="839"/>
      <c r="AK20" s="839"/>
      <c r="AL20" s="839"/>
      <c r="AM20" s="839"/>
      <c r="AN20" s="839"/>
      <c r="AO20" s="839"/>
    </row>
    <row r="21" spans="2:41" s="843" customFormat="1" ht="13.5">
      <c r="B21" s="840"/>
      <c r="C21" s="841"/>
      <c r="D21" s="841" t="s">
        <v>2089</v>
      </c>
      <c r="E21" s="841"/>
      <c r="F21" s="841"/>
      <c r="G21" s="859"/>
      <c r="H21" s="842">
        <f>SUM(J21:AE21)</f>
        <v>-158695.39724023332</v>
      </c>
      <c r="J21" s="842">
        <f t="shared" ref="J21:AE21" si="5">IF(ABS(J9-J16)&lt;0.00001,0,J9-J16)</f>
        <v>0</v>
      </c>
      <c r="K21" s="842">
        <f t="shared" si="5"/>
        <v>0</v>
      </c>
      <c r="L21" s="842">
        <f t="shared" si="5"/>
        <v>0</v>
      </c>
      <c r="M21" s="842">
        <f t="shared" si="5"/>
        <v>0</v>
      </c>
      <c r="N21" s="842">
        <f t="shared" si="5"/>
        <v>0</v>
      </c>
      <c r="O21" s="842">
        <f t="shared" si="5"/>
        <v>0</v>
      </c>
      <c r="P21" s="842">
        <f t="shared" si="5"/>
        <v>0</v>
      </c>
      <c r="Q21" s="842">
        <f t="shared" si="5"/>
        <v>0</v>
      </c>
      <c r="R21" s="842">
        <f t="shared" si="5"/>
        <v>0</v>
      </c>
      <c r="S21" s="842">
        <f t="shared" si="5"/>
        <v>0</v>
      </c>
      <c r="T21" s="842">
        <f t="shared" si="5"/>
        <v>0</v>
      </c>
      <c r="U21" s="842">
        <f t="shared" si="5"/>
        <v>0</v>
      </c>
      <c r="V21" s="842">
        <f t="shared" si="5"/>
        <v>-5410.0703604625005</v>
      </c>
      <c r="W21" s="842">
        <f t="shared" si="5"/>
        <v>-5410.0703604625005</v>
      </c>
      <c r="X21" s="842">
        <f t="shared" si="5"/>
        <v>-5410.0703604624996</v>
      </c>
      <c r="Y21" s="842">
        <f t="shared" si="5"/>
        <v>-10820.140720924999</v>
      </c>
      <c r="Z21" s="842">
        <f t="shared" si="5"/>
        <v>-16230.211081387501</v>
      </c>
      <c r="AA21" s="842">
        <f t="shared" si="5"/>
        <v>-21640.281441850002</v>
      </c>
      <c r="AB21" s="842">
        <f t="shared" si="5"/>
        <v>-27050.351802312503</v>
      </c>
      <c r="AC21" s="842">
        <f t="shared" si="5"/>
        <v>-32460.422162775005</v>
      </c>
      <c r="AD21" s="842">
        <f t="shared" si="5"/>
        <v>-34263.778949595813</v>
      </c>
      <c r="AE21" s="842">
        <f t="shared" si="5"/>
        <v>0</v>
      </c>
      <c r="AF21" s="844"/>
      <c r="AG21" s="844"/>
      <c r="AH21" s="844"/>
      <c r="AI21" s="844"/>
      <c r="AJ21" s="844"/>
      <c r="AK21" s="844"/>
      <c r="AL21" s="844"/>
      <c r="AM21" s="844"/>
      <c r="AN21" s="844"/>
      <c r="AO21" s="844"/>
    </row>
    <row r="22" spans="2:41" s="833" customFormat="1">
      <c r="B22" s="860"/>
      <c r="C22" s="861"/>
      <c r="D22" s="861"/>
      <c r="E22" s="861"/>
      <c r="F22" s="861"/>
      <c r="G22" s="862"/>
      <c r="H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839"/>
      <c r="AG22" s="839"/>
      <c r="AH22" s="839"/>
      <c r="AI22" s="839"/>
      <c r="AJ22" s="839"/>
      <c r="AK22" s="839"/>
      <c r="AL22" s="839"/>
      <c r="AM22" s="839"/>
      <c r="AN22" s="839"/>
      <c r="AO22" s="839"/>
    </row>
    <row r="23" spans="2:41" s="833" customFormat="1" ht="13.5">
      <c r="E23" s="863" t="s">
        <v>2090</v>
      </c>
      <c r="G23" s="250"/>
      <c r="AF23" s="839"/>
      <c r="AG23" s="839"/>
      <c r="AH23" s="839"/>
      <c r="AI23" s="839"/>
      <c r="AJ23" s="839"/>
      <c r="AK23" s="839"/>
      <c r="AL23" s="839"/>
      <c r="AM23" s="839"/>
      <c r="AN23" s="839"/>
      <c r="AO23" s="839"/>
    </row>
    <row r="24" spans="2:41" s="833" customFormat="1">
      <c r="G24" s="250"/>
      <c r="AF24" s="839"/>
      <c r="AG24" s="839"/>
      <c r="AH24" s="839"/>
      <c r="AI24" s="839"/>
      <c r="AJ24" s="839"/>
      <c r="AK24" s="839"/>
      <c r="AL24" s="839"/>
      <c r="AM24" s="839"/>
      <c r="AN24" s="839"/>
      <c r="AO24" s="839"/>
    </row>
    <row r="25" spans="2:41" s="833" customFormat="1" ht="13.5">
      <c r="B25" s="816"/>
      <c r="C25" s="817"/>
      <c r="D25" s="817"/>
      <c r="E25" s="817"/>
      <c r="F25" s="817"/>
      <c r="G25" s="817"/>
      <c r="H25" s="864"/>
      <c r="J25" s="865"/>
      <c r="K25" s="865"/>
      <c r="L25" s="865"/>
      <c r="M25" s="865"/>
      <c r="N25" s="865"/>
      <c r="O25" s="865"/>
      <c r="P25" s="865"/>
      <c r="Q25" s="865"/>
      <c r="R25" s="865"/>
      <c r="S25" s="865"/>
      <c r="T25" s="865"/>
      <c r="U25" s="865"/>
      <c r="V25" s="865"/>
      <c r="W25" s="865"/>
      <c r="X25" s="865"/>
      <c r="Y25" s="865"/>
      <c r="Z25" s="865"/>
      <c r="AA25" s="865"/>
      <c r="AB25" s="865"/>
      <c r="AC25" s="865"/>
      <c r="AD25" s="865"/>
      <c r="AE25" s="865"/>
      <c r="AF25" s="839"/>
      <c r="AG25" s="839"/>
      <c r="AH25" s="839"/>
      <c r="AI25" s="839"/>
      <c r="AJ25" s="839"/>
      <c r="AK25" s="839"/>
      <c r="AL25" s="839"/>
      <c r="AM25" s="839"/>
      <c r="AN25" s="839"/>
      <c r="AO25" s="839"/>
    </row>
    <row r="26" spans="2:41" s="833" customFormat="1" ht="13.5">
      <c r="B26" s="866"/>
      <c r="C26" s="867" t="s">
        <v>2091</v>
      </c>
      <c r="D26" s="868"/>
      <c r="E26" s="868"/>
      <c r="F26" s="868"/>
      <c r="G26" s="868"/>
      <c r="H26" s="847"/>
      <c r="J26" s="251"/>
      <c r="K26" s="251"/>
      <c r="L26" s="251"/>
      <c r="M26" s="251"/>
      <c r="N26" s="251"/>
      <c r="O26" s="251"/>
      <c r="P26" s="251"/>
      <c r="Q26" s="251"/>
      <c r="R26" s="251"/>
      <c r="S26" s="251"/>
      <c r="T26" s="251"/>
      <c r="U26" s="251"/>
      <c r="V26" s="251"/>
      <c r="W26" s="251"/>
      <c r="X26" s="251"/>
      <c r="Y26" s="251"/>
      <c r="Z26" s="251"/>
      <c r="AA26" s="251"/>
      <c r="AB26" s="251"/>
      <c r="AC26" s="251"/>
      <c r="AD26" s="251"/>
      <c r="AE26" s="251"/>
      <c r="AF26" s="839"/>
      <c r="AG26" s="839"/>
      <c r="AH26" s="839"/>
      <c r="AI26" s="839"/>
      <c r="AJ26" s="839"/>
      <c r="AK26" s="839"/>
      <c r="AL26" s="839"/>
      <c r="AM26" s="839"/>
      <c r="AN26" s="839"/>
      <c r="AO26" s="839"/>
    </row>
    <row r="27" spans="2:41" s="833" customFormat="1" ht="13.5">
      <c r="B27" s="866"/>
      <c r="C27" s="868"/>
      <c r="D27" s="868"/>
      <c r="E27" s="868"/>
      <c r="F27" s="868"/>
      <c r="G27" s="868"/>
      <c r="H27" s="847"/>
      <c r="J27" s="251"/>
      <c r="K27" s="251"/>
      <c r="L27" s="251"/>
      <c r="M27" s="251"/>
      <c r="N27" s="251"/>
      <c r="O27" s="251"/>
      <c r="P27" s="251"/>
      <c r="Q27" s="251"/>
      <c r="R27" s="251"/>
      <c r="S27" s="251"/>
      <c r="T27" s="251"/>
      <c r="U27" s="251"/>
      <c r="V27" s="251"/>
      <c r="W27" s="251"/>
      <c r="X27" s="251"/>
      <c r="Y27" s="251"/>
      <c r="Z27" s="251"/>
      <c r="AA27" s="251"/>
      <c r="AB27" s="251"/>
      <c r="AC27" s="251"/>
      <c r="AD27" s="251"/>
      <c r="AE27" s="251"/>
      <c r="AF27" s="839"/>
      <c r="AG27" s="839"/>
      <c r="AH27" s="839"/>
      <c r="AI27" s="839"/>
      <c r="AJ27" s="839"/>
      <c r="AK27" s="839"/>
      <c r="AL27" s="839"/>
      <c r="AM27" s="839"/>
      <c r="AN27" s="839"/>
      <c r="AO27" s="839"/>
    </row>
    <row r="28" spans="2:41" s="872" customFormat="1" ht="13.5">
      <c r="B28" s="869"/>
      <c r="C28" s="870"/>
      <c r="D28" s="870" t="s">
        <v>2092</v>
      </c>
      <c r="E28" s="870"/>
      <c r="F28" s="870"/>
      <c r="G28" s="870"/>
      <c r="H28" s="871"/>
      <c r="J28" s="252"/>
      <c r="K28" s="252"/>
      <c r="L28" s="252"/>
      <c r="M28" s="252"/>
      <c r="N28" s="252"/>
      <c r="O28" s="252"/>
      <c r="P28" s="252"/>
      <c r="Q28" s="252"/>
      <c r="R28" s="252"/>
      <c r="S28" s="252"/>
      <c r="T28" s="252"/>
      <c r="U28" s="252"/>
      <c r="V28" s="252"/>
      <c r="W28" s="252"/>
      <c r="X28" s="252"/>
      <c r="Y28" s="252"/>
      <c r="Z28" s="252"/>
      <c r="AA28" s="252"/>
      <c r="AB28" s="252"/>
      <c r="AC28" s="252"/>
      <c r="AD28" s="252"/>
      <c r="AE28" s="252"/>
      <c r="AF28" s="873"/>
      <c r="AG28" s="873"/>
      <c r="AH28" s="873"/>
      <c r="AI28" s="873"/>
      <c r="AJ28" s="873"/>
      <c r="AK28" s="873"/>
      <c r="AL28" s="873"/>
      <c r="AM28" s="873"/>
      <c r="AN28" s="873"/>
      <c r="AO28" s="873"/>
    </row>
    <row r="29" spans="2:41" s="872" customFormat="1" ht="13.5">
      <c r="B29" s="869"/>
      <c r="C29" s="870"/>
      <c r="E29" s="870" t="s">
        <v>2093</v>
      </c>
      <c r="F29" s="870"/>
      <c r="G29" s="870"/>
      <c r="H29" s="874">
        <f>SUM(J29:AE29)</f>
        <v>-22598.032992258162</v>
      </c>
      <c r="J29" s="874">
        <v>0</v>
      </c>
      <c r="K29" s="874">
        <v>0</v>
      </c>
      <c r="L29" s="874">
        <v>0</v>
      </c>
      <c r="M29" s="874">
        <v>0</v>
      </c>
      <c r="N29" s="874">
        <v>0</v>
      </c>
      <c r="O29" s="874">
        <v>-652.61925893875832</v>
      </c>
      <c r="P29" s="874">
        <v>-13275.272923045479</v>
      </c>
      <c r="Q29" s="874">
        <v>-4540.8309796071471</v>
      </c>
      <c r="R29" s="874">
        <v>-3772.2104685200857</v>
      </c>
      <c r="S29" s="874">
        <v>-4243.4630396185048</v>
      </c>
      <c r="T29" s="874">
        <v>-10263.465347692647</v>
      </c>
      <c r="U29" s="874">
        <v>-967.66016749293249</v>
      </c>
      <c r="V29" s="874">
        <v>690.81685672172989</v>
      </c>
      <c r="W29" s="874">
        <v>-325.52194382869766</v>
      </c>
      <c r="X29" s="874">
        <v>-5561.7997075814155</v>
      </c>
      <c r="Y29" s="874">
        <v>2649.4098505163411</v>
      </c>
      <c r="Z29" s="874">
        <v>4334.7400619142527</v>
      </c>
      <c r="AA29" s="874">
        <v>3136.9072934286423</v>
      </c>
      <c r="AB29" s="874">
        <v>4848.2830197982285</v>
      </c>
      <c r="AC29" s="874">
        <v>3606.3801614976428</v>
      </c>
      <c r="AD29" s="874">
        <v>1738.2736001906628</v>
      </c>
      <c r="AE29" s="874">
        <v>0</v>
      </c>
      <c r="AF29" s="873"/>
      <c r="AG29" s="873"/>
      <c r="AH29" s="873"/>
      <c r="AI29" s="873"/>
      <c r="AJ29" s="873"/>
      <c r="AK29" s="873"/>
      <c r="AL29" s="873"/>
      <c r="AM29" s="873"/>
      <c r="AN29" s="873"/>
      <c r="AO29" s="873"/>
    </row>
    <row r="30" spans="2:41" s="872" customFormat="1" ht="13.5">
      <c r="B30" s="869"/>
      <c r="C30" s="870"/>
      <c r="E30" s="870" t="s">
        <v>2094</v>
      </c>
      <c r="F30" s="870"/>
      <c r="G30" s="870"/>
      <c r="H30" s="874">
        <f>SUM(J30:AE30)</f>
        <v>82954.41219375834</v>
      </c>
      <c r="J30" s="874">
        <v>0</v>
      </c>
      <c r="K30" s="874">
        <v>0</v>
      </c>
      <c r="L30" s="874">
        <v>0</v>
      </c>
      <c r="M30" s="874">
        <v>0</v>
      </c>
      <c r="N30" s="874">
        <v>0</v>
      </c>
      <c r="O30" s="874">
        <v>5410.0703604625005</v>
      </c>
      <c r="P30" s="874">
        <v>5410.0703604625005</v>
      </c>
      <c r="Q30" s="874">
        <v>5410.0703604625005</v>
      </c>
      <c r="R30" s="874">
        <v>5410.0703604625005</v>
      </c>
      <c r="S30" s="874">
        <v>5410.0703604625005</v>
      </c>
      <c r="T30" s="874">
        <v>5410.0703604625005</v>
      </c>
      <c r="U30" s="874">
        <v>5410.0703604625005</v>
      </c>
      <c r="V30" s="874">
        <v>5410.0703604625005</v>
      </c>
      <c r="W30" s="874">
        <v>5410.0703604625005</v>
      </c>
      <c r="X30" s="874">
        <v>5410.0703604625005</v>
      </c>
      <c r="Y30" s="874">
        <v>5410.0703604625005</v>
      </c>
      <c r="Z30" s="874">
        <v>5410.0703604625005</v>
      </c>
      <c r="AA30" s="874">
        <v>5410.0703604625005</v>
      </c>
      <c r="AB30" s="874">
        <v>5410.0703604625005</v>
      </c>
      <c r="AC30" s="874">
        <v>5410.0703604625005</v>
      </c>
      <c r="AD30" s="874">
        <v>1803.3567868208333</v>
      </c>
      <c r="AE30" s="874">
        <v>0</v>
      </c>
      <c r="AF30" s="873"/>
      <c r="AG30" s="873"/>
      <c r="AH30" s="873"/>
      <c r="AI30" s="873"/>
      <c r="AJ30" s="873"/>
      <c r="AK30" s="873"/>
      <c r="AL30" s="873"/>
      <c r="AM30" s="873"/>
      <c r="AN30" s="873"/>
      <c r="AO30" s="873"/>
    </row>
    <row r="31" spans="2:41" s="872" customFormat="1" ht="13.5">
      <c r="B31" s="869"/>
      <c r="C31" s="870"/>
      <c r="E31" s="875" t="s">
        <v>2040</v>
      </c>
      <c r="F31" s="876"/>
      <c r="G31" s="877"/>
      <c r="H31" s="874">
        <f>SUM(J31:AE31)</f>
        <v>60356.379201500167</v>
      </c>
      <c r="J31" s="874">
        <f>SUM(J29:J30)</f>
        <v>0</v>
      </c>
      <c r="K31" s="874">
        <f t="shared" ref="K31:AE31" si="6">SUM(K29:K30)</f>
        <v>0</v>
      </c>
      <c r="L31" s="874">
        <f t="shared" si="6"/>
        <v>0</v>
      </c>
      <c r="M31" s="874">
        <f t="shared" si="6"/>
        <v>0</v>
      </c>
      <c r="N31" s="874">
        <f t="shared" si="6"/>
        <v>0</v>
      </c>
      <c r="O31" s="874">
        <f t="shared" si="6"/>
        <v>4757.4511015237422</v>
      </c>
      <c r="P31" s="874">
        <f t="shared" si="6"/>
        <v>-7865.2025625829783</v>
      </c>
      <c r="Q31" s="874">
        <f t="shared" si="6"/>
        <v>869.23938085535337</v>
      </c>
      <c r="R31" s="874">
        <f t="shared" si="6"/>
        <v>1637.8598919424148</v>
      </c>
      <c r="S31" s="874">
        <f t="shared" si="6"/>
        <v>1166.6073208439957</v>
      </c>
      <c r="T31" s="874">
        <f t="shared" si="6"/>
        <v>-4853.3949872301464</v>
      </c>
      <c r="U31" s="874">
        <f t="shared" si="6"/>
        <v>4442.410192969568</v>
      </c>
      <c r="V31" s="874">
        <f t="shared" si="6"/>
        <v>6100.8872171842304</v>
      </c>
      <c r="W31" s="874">
        <f t="shared" si="6"/>
        <v>5084.5484166338028</v>
      </c>
      <c r="X31" s="874">
        <f t="shared" si="6"/>
        <v>-151.72934711891503</v>
      </c>
      <c r="Y31" s="874">
        <f t="shared" si="6"/>
        <v>8059.4802109788416</v>
      </c>
      <c r="Z31" s="874">
        <f t="shared" si="6"/>
        <v>9744.8104223767532</v>
      </c>
      <c r="AA31" s="874">
        <f t="shared" si="6"/>
        <v>8546.9776538911428</v>
      </c>
      <c r="AB31" s="874">
        <f t="shared" si="6"/>
        <v>10258.353380260729</v>
      </c>
      <c r="AC31" s="874">
        <f t="shared" si="6"/>
        <v>9016.4505219601433</v>
      </c>
      <c r="AD31" s="874">
        <f t="shared" si="6"/>
        <v>3541.6303870114962</v>
      </c>
      <c r="AE31" s="874">
        <f t="shared" si="6"/>
        <v>0</v>
      </c>
      <c r="AF31" s="873"/>
      <c r="AG31" s="873"/>
      <c r="AH31" s="873"/>
      <c r="AI31" s="873"/>
      <c r="AJ31" s="873"/>
      <c r="AK31" s="873"/>
      <c r="AL31" s="873"/>
      <c r="AM31" s="873"/>
      <c r="AN31" s="873"/>
      <c r="AO31" s="873"/>
    </row>
    <row r="32" spans="2:41" s="833" customFormat="1" ht="13.5">
      <c r="B32" s="866"/>
      <c r="C32" s="868"/>
      <c r="D32" s="868"/>
      <c r="E32" s="878"/>
      <c r="F32" s="868"/>
      <c r="G32" s="879"/>
      <c r="H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39"/>
      <c r="AG32" s="839"/>
      <c r="AH32" s="839"/>
      <c r="AI32" s="839"/>
      <c r="AJ32" s="839"/>
      <c r="AK32" s="839"/>
      <c r="AL32" s="839"/>
      <c r="AM32" s="839"/>
      <c r="AN32" s="839"/>
      <c r="AO32" s="839"/>
    </row>
    <row r="33" spans="2:44" s="833" customFormat="1" ht="13.5">
      <c r="B33" s="866"/>
      <c r="C33" s="868"/>
      <c r="D33" s="868" t="s">
        <v>2095</v>
      </c>
      <c r="E33" s="868"/>
      <c r="F33" s="868"/>
      <c r="G33" s="868"/>
      <c r="H33" s="848">
        <f>SUM(J33:AE33)</f>
        <v>1802443.1942996928</v>
      </c>
      <c r="J33" s="848">
        <v>0</v>
      </c>
      <c r="K33" s="848">
        <v>0</v>
      </c>
      <c r="L33" s="848">
        <v>0</v>
      </c>
      <c r="M33" s="848">
        <v>0</v>
      </c>
      <c r="N33" s="848">
        <v>250020</v>
      </c>
      <c r="O33" s="848">
        <v>159506.92329599999</v>
      </c>
      <c r="P33" s="848">
        <v>153994.30403706123</v>
      </c>
      <c r="Q33" s="848">
        <v>135859.03111401576</v>
      </c>
      <c r="R33" s="848">
        <v>126458.2001344086</v>
      </c>
      <c r="S33" s="848">
        <v>117825.98966588851</v>
      </c>
      <c r="T33" s="848">
        <v>108722.52662627</v>
      </c>
      <c r="U33" s="848">
        <v>92516.06127857737</v>
      </c>
      <c r="V33" s="848">
        <v>85605.401111084444</v>
      </c>
      <c r="W33" s="848">
        <v>85605.401111084444</v>
      </c>
      <c r="X33" s="848">
        <v>79336.879167255742</v>
      </c>
      <c r="Y33" s="848">
        <v>67832.079459674322</v>
      </c>
      <c r="Z33" s="848">
        <v>67832.079459674322</v>
      </c>
      <c r="AA33" s="848">
        <v>67832.079459674322</v>
      </c>
      <c r="AB33" s="848">
        <v>67832.079459674322</v>
      </c>
      <c r="AC33" s="848">
        <v>67832.079459674322</v>
      </c>
      <c r="AD33" s="848">
        <v>67832.079459674322</v>
      </c>
      <c r="AE33" s="848">
        <v>0</v>
      </c>
      <c r="AF33" s="839"/>
      <c r="AG33" s="839"/>
      <c r="AH33" s="839"/>
      <c r="AI33" s="839"/>
      <c r="AJ33" s="839"/>
      <c r="AK33" s="839"/>
      <c r="AL33" s="839"/>
      <c r="AM33" s="839"/>
      <c r="AN33" s="839"/>
      <c r="AO33" s="839"/>
    </row>
    <row r="34" spans="2:44" s="833" customFormat="1" ht="13.5">
      <c r="B34" s="866"/>
      <c r="C34" s="868"/>
      <c r="D34" s="868"/>
      <c r="E34" s="868" t="s">
        <v>2096</v>
      </c>
      <c r="F34" s="819"/>
      <c r="G34" s="819"/>
      <c r="H34" s="244"/>
      <c r="J34" s="880">
        <v>0</v>
      </c>
      <c r="K34" s="880">
        <v>0</v>
      </c>
      <c r="L34" s="880">
        <v>0</v>
      </c>
      <c r="M34" s="880">
        <v>0</v>
      </c>
      <c r="N34" s="880">
        <v>250020</v>
      </c>
      <c r="O34" s="880">
        <v>201176.92329599999</v>
      </c>
      <c r="P34" s="880">
        <v>195664.30403706123</v>
      </c>
      <c r="Q34" s="880">
        <v>177529.03111401576</v>
      </c>
      <c r="R34" s="880">
        <v>168128.2001344086</v>
      </c>
      <c r="S34" s="880">
        <v>159495.98966588851</v>
      </c>
      <c r="T34" s="880">
        <v>150392.52662627</v>
      </c>
      <c r="U34" s="880">
        <v>134186.06127857737</v>
      </c>
      <c r="V34" s="880">
        <v>127275.40111108444</v>
      </c>
      <c r="W34" s="880">
        <v>127275.40111108444</v>
      </c>
      <c r="X34" s="880">
        <v>121006.87916725574</v>
      </c>
      <c r="Y34" s="880">
        <v>109502.07945967432</v>
      </c>
      <c r="Z34" s="880">
        <v>109502.07945967432</v>
      </c>
      <c r="AA34" s="880">
        <v>109502.07945967432</v>
      </c>
      <c r="AB34" s="880">
        <v>109502.07945967432</v>
      </c>
      <c r="AC34" s="880">
        <v>109502.07945967432</v>
      </c>
      <c r="AD34" s="880">
        <v>109502.07945967432</v>
      </c>
      <c r="AE34" s="880">
        <v>0</v>
      </c>
      <c r="AF34" s="839"/>
      <c r="AG34" s="839"/>
      <c r="AH34" s="839"/>
      <c r="AI34" s="839"/>
      <c r="AJ34" s="839"/>
      <c r="AK34" s="839"/>
      <c r="AL34" s="839"/>
      <c r="AM34" s="839"/>
      <c r="AN34" s="839"/>
      <c r="AO34" s="839"/>
    </row>
    <row r="35" spans="2:44" s="833" customFormat="1" ht="13.5">
      <c r="B35" s="866"/>
      <c r="C35" s="868"/>
      <c r="D35" s="881" t="s">
        <v>2097</v>
      </c>
      <c r="E35" s="881"/>
      <c r="F35" s="819"/>
      <c r="G35" s="819"/>
      <c r="H35" s="848"/>
      <c r="J35" s="848"/>
      <c r="K35" s="848"/>
      <c r="L35" s="848"/>
      <c r="M35" s="848"/>
      <c r="N35" s="848"/>
      <c r="O35" s="848"/>
      <c r="P35" s="848"/>
      <c r="Q35" s="848"/>
      <c r="R35" s="848"/>
      <c r="S35" s="848"/>
      <c r="T35" s="848"/>
      <c r="U35" s="848"/>
      <c r="V35" s="848"/>
      <c r="W35" s="848"/>
      <c r="X35" s="848"/>
      <c r="Y35" s="848"/>
      <c r="Z35" s="848"/>
      <c r="AA35" s="848"/>
      <c r="AB35" s="848"/>
      <c r="AC35" s="848"/>
      <c r="AD35" s="848"/>
      <c r="AE35" s="848"/>
      <c r="AF35" s="839"/>
      <c r="AG35" s="839"/>
      <c r="AH35" s="839"/>
      <c r="AI35" s="839"/>
      <c r="AJ35" s="839"/>
      <c r="AK35" s="839"/>
      <c r="AL35" s="839"/>
      <c r="AM35" s="839"/>
      <c r="AN35" s="839"/>
      <c r="AO35" s="839"/>
    </row>
    <row r="36" spans="2:44" s="833" customFormat="1" ht="13.5">
      <c r="B36" s="866"/>
      <c r="C36" s="868"/>
      <c r="D36" s="868"/>
      <c r="E36" s="2346" t="s">
        <v>770</v>
      </c>
      <c r="G36" s="883">
        <v>0</v>
      </c>
      <c r="H36" s="848">
        <f t="shared" ref="H36:H41" si="7">SUM(J36:AE36)</f>
        <v>0</v>
      </c>
      <c r="J36" s="244">
        <v>0</v>
      </c>
      <c r="K36" s="244">
        <v>0</v>
      </c>
      <c r="L36" s="244">
        <v>0</v>
      </c>
      <c r="M36" s="244">
        <v>0</v>
      </c>
      <c r="N36" s="244">
        <v>0</v>
      </c>
      <c r="O36" s="244">
        <v>0</v>
      </c>
      <c r="P36" s="244">
        <v>0</v>
      </c>
      <c r="Q36" s="244">
        <v>0</v>
      </c>
      <c r="R36" s="244">
        <v>0</v>
      </c>
      <c r="S36" s="244">
        <v>0</v>
      </c>
      <c r="T36" s="244">
        <v>0</v>
      </c>
      <c r="U36" s="244">
        <v>0</v>
      </c>
      <c r="V36" s="244">
        <v>0</v>
      </c>
      <c r="W36" s="244">
        <v>0</v>
      </c>
      <c r="X36" s="244">
        <v>0</v>
      </c>
      <c r="Y36" s="244">
        <v>0</v>
      </c>
      <c r="Z36" s="244">
        <v>0</v>
      </c>
      <c r="AA36" s="244">
        <v>0</v>
      </c>
      <c r="AB36" s="244">
        <v>0</v>
      </c>
      <c r="AC36" s="244">
        <v>0</v>
      </c>
      <c r="AD36" s="244">
        <v>0</v>
      </c>
      <c r="AE36" s="244">
        <v>0</v>
      </c>
      <c r="AF36" s="839"/>
      <c r="AG36" s="839"/>
      <c r="AH36" s="839"/>
      <c r="AI36" s="839"/>
      <c r="AJ36" s="839"/>
      <c r="AK36" s="839"/>
      <c r="AL36" s="839"/>
      <c r="AM36" s="839"/>
      <c r="AN36" s="839"/>
      <c r="AO36" s="839"/>
    </row>
    <row r="37" spans="2:44" s="833" customFormat="1" ht="13.5">
      <c r="B37" s="866"/>
      <c r="C37" s="868"/>
      <c r="D37" s="868"/>
      <c r="E37" s="2346" t="s">
        <v>1583</v>
      </c>
      <c r="G37" s="883">
        <v>1</v>
      </c>
      <c r="H37" s="848">
        <f t="shared" si="7"/>
        <v>43602.843836325665</v>
      </c>
      <c r="J37" s="244">
        <f>-(J29+J36)*(J29+J36&lt;0)*(J$4&gt;0)*$G37</f>
        <v>0</v>
      </c>
      <c r="K37" s="244">
        <f t="shared" ref="K37:AE37" si="8">-(K29+K36)*(K29+K36&lt;0)*(K$4&gt;0)*$G37</f>
        <v>0</v>
      </c>
      <c r="L37" s="244">
        <f t="shared" si="8"/>
        <v>0</v>
      </c>
      <c r="M37" s="244">
        <f t="shared" si="8"/>
        <v>0</v>
      </c>
      <c r="N37" s="244">
        <f t="shared" si="8"/>
        <v>0</v>
      </c>
      <c r="O37" s="244">
        <f t="shared" si="8"/>
        <v>652.61925893875832</v>
      </c>
      <c r="P37" s="244">
        <f t="shared" si="8"/>
        <v>13275.272923045479</v>
      </c>
      <c r="Q37" s="244">
        <f t="shared" si="8"/>
        <v>4540.8309796071471</v>
      </c>
      <c r="R37" s="244">
        <f t="shared" si="8"/>
        <v>3772.2104685200857</v>
      </c>
      <c r="S37" s="244">
        <f t="shared" si="8"/>
        <v>4243.4630396185048</v>
      </c>
      <c r="T37" s="244">
        <f t="shared" si="8"/>
        <v>10263.465347692647</v>
      </c>
      <c r="U37" s="244">
        <f t="shared" si="8"/>
        <v>967.66016749293249</v>
      </c>
      <c r="V37" s="244">
        <f t="shared" si="8"/>
        <v>0</v>
      </c>
      <c r="W37" s="244">
        <f t="shared" si="8"/>
        <v>325.52194382869766</v>
      </c>
      <c r="X37" s="244">
        <f t="shared" si="8"/>
        <v>5561.7997075814155</v>
      </c>
      <c r="Y37" s="244">
        <f t="shared" si="8"/>
        <v>0</v>
      </c>
      <c r="Z37" s="244">
        <f t="shared" si="8"/>
        <v>0</v>
      </c>
      <c r="AA37" s="244">
        <f t="shared" si="8"/>
        <v>0</v>
      </c>
      <c r="AB37" s="244">
        <f t="shared" si="8"/>
        <v>0</v>
      </c>
      <c r="AC37" s="244">
        <f t="shared" si="8"/>
        <v>0</v>
      </c>
      <c r="AD37" s="244">
        <f t="shared" si="8"/>
        <v>0</v>
      </c>
      <c r="AE37" s="244">
        <f t="shared" si="8"/>
        <v>0</v>
      </c>
      <c r="AF37" s="839"/>
      <c r="AG37" s="839"/>
      <c r="AH37" s="839"/>
      <c r="AI37" s="839"/>
      <c r="AJ37" s="839"/>
      <c r="AK37" s="839"/>
      <c r="AL37" s="839"/>
      <c r="AM37" s="839"/>
      <c r="AN37" s="839"/>
      <c r="AO37" s="839"/>
    </row>
    <row r="38" spans="2:44" s="833" customFormat="1" ht="13.5">
      <c r="B38" s="866"/>
      <c r="C38" s="868"/>
      <c r="D38" s="868"/>
      <c r="E38" s="2346" t="s">
        <v>1584</v>
      </c>
      <c r="G38" s="883">
        <v>1</v>
      </c>
      <c r="H38" s="848">
        <f t="shared" si="7"/>
        <v>48072</v>
      </c>
      <c r="J38" s="2347">
        <v>0</v>
      </c>
      <c r="K38" s="2347">
        <v>0</v>
      </c>
      <c r="L38" s="2347">
        <v>0</v>
      </c>
      <c r="M38" s="2347">
        <v>0</v>
      </c>
      <c r="N38" s="2347">
        <v>0</v>
      </c>
      <c r="O38" s="2347">
        <v>4860</v>
      </c>
      <c r="P38" s="2347">
        <v>4860</v>
      </c>
      <c r="Q38" s="2347">
        <v>4860</v>
      </c>
      <c r="R38" s="2347">
        <v>4860</v>
      </c>
      <c r="S38" s="2347">
        <v>4860</v>
      </c>
      <c r="T38" s="2347">
        <v>5943</v>
      </c>
      <c r="U38" s="2347">
        <v>5943</v>
      </c>
      <c r="V38" s="2347">
        <v>0</v>
      </c>
      <c r="W38" s="2347">
        <v>5943</v>
      </c>
      <c r="X38" s="2347">
        <v>5943</v>
      </c>
      <c r="Y38" s="2347">
        <v>0</v>
      </c>
      <c r="Z38" s="2347">
        <v>0</v>
      </c>
      <c r="AA38" s="2347">
        <v>0</v>
      </c>
      <c r="AB38" s="2347">
        <v>0</v>
      </c>
      <c r="AC38" s="2347">
        <v>0</v>
      </c>
      <c r="AD38" s="2347">
        <v>0</v>
      </c>
      <c r="AE38" s="2347">
        <v>0</v>
      </c>
      <c r="AF38" s="894"/>
      <c r="AG38" s="894"/>
      <c r="AH38" s="894"/>
      <c r="AI38" s="894"/>
      <c r="AJ38" s="894"/>
      <c r="AK38" s="894"/>
      <c r="AL38" s="894"/>
      <c r="AM38" s="894"/>
      <c r="AN38" s="894"/>
      <c r="AO38" s="894"/>
    </row>
    <row r="39" spans="2:44" s="833" customFormat="1" ht="13.5">
      <c r="B39" s="866"/>
      <c r="C39" s="868"/>
      <c r="D39" s="868"/>
      <c r="E39" s="2346" t="s">
        <v>2098</v>
      </c>
      <c r="G39" s="2348">
        <v>0</v>
      </c>
      <c r="H39" s="848">
        <f t="shared" si="7"/>
        <v>0</v>
      </c>
      <c r="J39" s="893">
        <f>(J105-SUM(J29,J54,J37)&gt;0)*MAX(MIN(J105-SUM(J29,J54,J37),J33-J37),0)*$G39</f>
        <v>0</v>
      </c>
      <c r="K39" s="848"/>
      <c r="L39" s="848"/>
      <c r="M39" s="848"/>
      <c r="N39" s="848"/>
      <c r="O39" s="848"/>
      <c r="P39" s="848"/>
      <c r="Q39" s="848"/>
      <c r="R39" s="848"/>
      <c r="S39" s="848"/>
      <c r="T39" s="848"/>
      <c r="U39" s="848"/>
      <c r="V39" s="848"/>
      <c r="W39" s="848"/>
      <c r="X39" s="848"/>
      <c r="Y39" s="848"/>
      <c r="Z39" s="848"/>
      <c r="AA39" s="848"/>
      <c r="AB39" s="848"/>
      <c r="AC39" s="848"/>
      <c r="AD39" s="848"/>
      <c r="AE39" s="848"/>
      <c r="AF39" s="839"/>
      <c r="AG39" s="839"/>
      <c r="AH39" s="839"/>
      <c r="AI39" s="839"/>
      <c r="AJ39" s="839"/>
      <c r="AK39" s="839"/>
      <c r="AL39" s="839"/>
      <c r="AM39" s="839"/>
      <c r="AN39" s="839"/>
      <c r="AO39" s="839"/>
    </row>
    <row r="40" spans="2:44" s="833" customFormat="1" ht="13.5">
      <c r="B40" s="866"/>
      <c r="C40" s="868"/>
      <c r="D40" s="868"/>
      <c r="E40" s="2346" t="s">
        <v>2099</v>
      </c>
      <c r="G40" s="2348">
        <v>0</v>
      </c>
      <c r="H40" s="848">
        <f t="shared" si="7"/>
        <v>0</v>
      </c>
      <c r="J40" s="848">
        <f>IFERROR((SUM(J105,J116)-SUM(J29,J54,J36:J39)&gt;0)*MAX(MIN(SUM(J105,J116)-SUM(J29,J54,J36:J39),J33-SUM(J37:J37)),0),)*$G40</f>
        <v>0</v>
      </c>
      <c r="K40" s="848"/>
      <c r="L40" s="848"/>
      <c r="M40" s="848"/>
      <c r="N40" s="848"/>
      <c r="O40" s="848"/>
      <c r="P40" s="848"/>
      <c r="Q40" s="848"/>
      <c r="R40" s="848"/>
      <c r="S40" s="848"/>
      <c r="T40" s="848"/>
      <c r="U40" s="848"/>
      <c r="V40" s="848"/>
      <c r="W40" s="848"/>
      <c r="X40" s="848"/>
      <c r="Y40" s="848"/>
      <c r="Z40" s="848"/>
      <c r="AA40" s="848"/>
      <c r="AB40" s="848"/>
      <c r="AC40" s="848"/>
      <c r="AD40" s="848"/>
      <c r="AE40" s="848"/>
      <c r="AF40" s="839"/>
      <c r="AG40" s="839"/>
      <c r="AH40" s="839"/>
      <c r="AI40" s="839"/>
      <c r="AJ40" s="839"/>
      <c r="AK40" s="839"/>
      <c r="AL40" s="839"/>
      <c r="AM40" s="839"/>
      <c r="AN40" s="839"/>
      <c r="AO40" s="839"/>
    </row>
    <row r="41" spans="2:44" s="888" customFormat="1" ht="13.5">
      <c r="B41" s="885"/>
      <c r="C41" s="886"/>
      <c r="D41" s="886"/>
      <c r="E41" s="2346" t="s">
        <v>2100</v>
      </c>
      <c r="F41" s="2349"/>
      <c r="G41" s="2348">
        <v>0</v>
      </c>
      <c r="H41" s="848">
        <f t="shared" si="7"/>
        <v>0</v>
      </c>
      <c r="J41" s="848">
        <f>IFERROR((SUM(J105,J116,J127)-SUM(J29,J54,J36:J40)&gt;0)*MAX(MIN(SUM(J105,J116,J127)-SUM(J29,J54,J36:J40),J33-SUM(J36:J40)),0),)*$G41</f>
        <v>0</v>
      </c>
      <c r="K41" s="848"/>
      <c r="L41" s="848"/>
      <c r="M41" s="848"/>
      <c r="N41" s="848"/>
      <c r="O41" s="848"/>
      <c r="P41" s="848"/>
      <c r="Q41" s="848"/>
      <c r="R41" s="848"/>
      <c r="S41" s="848"/>
      <c r="T41" s="848"/>
      <c r="U41" s="848"/>
      <c r="V41" s="848"/>
      <c r="W41" s="848"/>
      <c r="X41" s="848"/>
      <c r="Y41" s="848"/>
      <c r="Z41" s="848"/>
      <c r="AA41" s="848"/>
      <c r="AB41" s="848"/>
      <c r="AC41" s="848"/>
      <c r="AD41" s="848"/>
      <c r="AE41" s="848"/>
      <c r="AF41" s="887"/>
      <c r="AG41" s="887"/>
      <c r="AH41" s="887"/>
      <c r="AI41" s="887"/>
      <c r="AJ41" s="887"/>
      <c r="AK41" s="887"/>
      <c r="AL41" s="887"/>
      <c r="AM41" s="887"/>
      <c r="AN41" s="887"/>
      <c r="AO41" s="887"/>
    </row>
    <row r="42" spans="2:44" s="833" customFormat="1" ht="13.5">
      <c r="B42" s="866"/>
      <c r="C42" s="868"/>
      <c r="D42" s="868"/>
      <c r="E42" s="881"/>
      <c r="F42" s="883"/>
      <c r="G42" s="253"/>
      <c r="H42" s="848"/>
      <c r="J42" s="244"/>
      <c r="K42" s="244"/>
      <c r="L42" s="244"/>
      <c r="M42" s="244"/>
      <c r="N42" s="244"/>
      <c r="O42" s="244"/>
      <c r="P42" s="244"/>
      <c r="Q42" s="244"/>
      <c r="R42" s="244"/>
      <c r="S42" s="244"/>
      <c r="T42" s="244"/>
      <c r="U42" s="244"/>
      <c r="V42" s="244"/>
      <c r="W42" s="244"/>
      <c r="X42" s="244"/>
      <c r="Y42" s="244"/>
      <c r="Z42" s="244"/>
      <c r="AA42" s="244"/>
      <c r="AB42" s="244"/>
      <c r="AC42" s="244"/>
      <c r="AD42" s="244"/>
      <c r="AE42" s="244"/>
      <c r="AF42" s="839"/>
      <c r="AG42" s="839"/>
      <c r="AH42" s="839"/>
      <c r="AI42" s="839"/>
      <c r="AJ42" s="839"/>
      <c r="AK42" s="839"/>
      <c r="AL42" s="839"/>
      <c r="AM42" s="839"/>
      <c r="AN42" s="839"/>
      <c r="AO42" s="839"/>
    </row>
    <row r="43" spans="2:44" s="894" customFormat="1" ht="13.5">
      <c r="B43" s="889"/>
      <c r="C43" s="890"/>
      <c r="D43" s="890"/>
      <c r="E43" s="891" t="s">
        <v>2040</v>
      </c>
      <c r="F43" s="892"/>
      <c r="G43" s="892"/>
      <c r="H43" s="893">
        <f>SUM(J43:AE43)</f>
        <v>91674.843836325672</v>
      </c>
      <c r="J43" s="893">
        <f t="shared" ref="J43:AE43" si="9">SUM(J36:J42)</f>
        <v>0</v>
      </c>
      <c r="K43" s="893">
        <f t="shared" si="9"/>
        <v>0</v>
      </c>
      <c r="L43" s="893">
        <f t="shared" si="9"/>
        <v>0</v>
      </c>
      <c r="M43" s="893">
        <f t="shared" si="9"/>
        <v>0</v>
      </c>
      <c r="N43" s="893">
        <f t="shared" si="9"/>
        <v>0</v>
      </c>
      <c r="O43" s="893">
        <f t="shared" si="9"/>
        <v>5512.6192589387583</v>
      </c>
      <c r="P43" s="893">
        <f t="shared" si="9"/>
        <v>18135.272923045479</v>
      </c>
      <c r="Q43" s="893">
        <f t="shared" si="9"/>
        <v>9400.830979607148</v>
      </c>
      <c r="R43" s="893">
        <f t="shared" si="9"/>
        <v>8632.2104685200866</v>
      </c>
      <c r="S43" s="893">
        <f t="shared" si="9"/>
        <v>9103.4630396185057</v>
      </c>
      <c r="T43" s="893">
        <f t="shared" si="9"/>
        <v>16206.465347692647</v>
      </c>
      <c r="U43" s="893">
        <f t="shared" si="9"/>
        <v>6910.6601674929325</v>
      </c>
      <c r="V43" s="893">
        <f t="shared" si="9"/>
        <v>0</v>
      </c>
      <c r="W43" s="893">
        <f t="shared" si="9"/>
        <v>6268.5219438286977</v>
      </c>
      <c r="X43" s="893">
        <f t="shared" si="9"/>
        <v>11504.799707581416</v>
      </c>
      <c r="Y43" s="893">
        <f t="shared" si="9"/>
        <v>0</v>
      </c>
      <c r="Z43" s="893">
        <f t="shared" si="9"/>
        <v>0</v>
      </c>
      <c r="AA43" s="893">
        <f t="shared" si="9"/>
        <v>0</v>
      </c>
      <c r="AB43" s="893">
        <f t="shared" si="9"/>
        <v>0</v>
      </c>
      <c r="AC43" s="893">
        <f t="shared" si="9"/>
        <v>0</v>
      </c>
      <c r="AD43" s="893">
        <f t="shared" si="9"/>
        <v>0</v>
      </c>
      <c r="AE43" s="893">
        <f t="shared" si="9"/>
        <v>0</v>
      </c>
      <c r="AF43" s="839"/>
      <c r="AG43" s="839"/>
      <c r="AH43" s="839"/>
      <c r="AI43" s="839"/>
      <c r="AJ43" s="839"/>
      <c r="AK43" s="839"/>
      <c r="AL43" s="839"/>
      <c r="AM43" s="839"/>
      <c r="AN43" s="839"/>
      <c r="AO43" s="839"/>
    </row>
    <row r="44" spans="2:44" s="833" customFormat="1" ht="13.5">
      <c r="B44" s="895"/>
      <c r="C44" s="896"/>
      <c r="D44" s="896"/>
      <c r="E44" s="896"/>
      <c r="F44" s="897"/>
      <c r="G44" s="897"/>
      <c r="H44" s="848"/>
      <c r="I44" s="898"/>
      <c r="J44" s="899"/>
      <c r="K44" s="899"/>
      <c r="L44" s="899"/>
      <c r="M44" s="899"/>
      <c r="N44" s="899"/>
      <c r="O44" s="899"/>
      <c r="P44" s="899"/>
      <c r="Q44" s="899"/>
      <c r="R44" s="899"/>
      <c r="S44" s="899"/>
      <c r="T44" s="899"/>
      <c r="U44" s="899"/>
      <c r="V44" s="899"/>
      <c r="W44" s="899"/>
      <c r="X44" s="899"/>
      <c r="Y44" s="899"/>
      <c r="Z44" s="899"/>
      <c r="AA44" s="899"/>
      <c r="AB44" s="899"/>
      <c r="AC44" s="899"/>
      <c r="AD44" s="899"/>
      <c r="AE44" s="899"/>
      <c r="AF44" s="839"/>
      <c r="AG44" s="839"/>
      <c r="AH44" s="839"/>
      <c r="AI44" s="839"/>
      <c r="AJ44" s="839"/>
      <c r="AK44" s="839"/>
      <c r="AL44" s="839"/>
      <c r="AM44" s="839"/>
      <c r="AN44" s="839"/>
      <c r="AO44" s="839"/>
    </row>
    <row r="45" spans="2:44" s="833" customFormat="1" ht="13.5">
      <c r="B45" s="866"/>
      <c r="C45" s="868"/>
      <c r="D45" s="868" t="s">
        <v>2101</v>
      </c>
      <c r="F45" s="900"/>
      <c r="G45" s="819"/>
      <c r="H45" s="848">
        <f>SUM(J45:AE45)</f>
        <v>91674.843836325672</v>
      </c>
      <c r="I45" s="898"/>
      <c r="J45" s="848">
        <f>MIN(SUM(J38:J41),J33)+MIN(J34,J36+J37)</f>
        <v>0</v>
      </c>
      <c r="K45" s="848">
        <f t="shared" ref="K45:AE45" si="10">MIN(SUM(K38:K41),K33)+MIN(K34,K36+K37)</f>
        <v>0</v>
      </c>
      <c r="L45" s="848">
        <f t="shared" si="10"/>
        <v>0</v>
      </c>
      <c r="M45" s="848">
        <f t="shared" si="10"/>
        <v>0</v>
      </c>
      <c r="N45" s="848">
        <f t="shared" si="10"/>
        <v>0</v>
      </c>
      <c r="O45" s="848">
        <f t="shared" si="10"/>
        <v>5512.6192589387583</v>
      </c>
      <c r="P45" s="848">
        <f t="shared" si="10"/>
        <v>18135.272923045479</v>
      </c>
      <c r="Q45" s="848">
        <f t="shared" si="10"/>
        <v>9400.830979607148</v>
      </c>
      <c r="R45" s="848">
        <f t="shared" si="10"/>
        <v>8632.2104685200866</v>
      </c>
      <c r="S45" s="848">
        <f t="shared" si="10"/>
        <v>9103.4630396185057</v>
      </c>
      <c r="T45" s="848">
        <f t="shared" si="10"/>
        <v>16206.465347692647</v>
      </c>
      <c r="U45" s="848">
        <f t="shared" si="10"/>
        <v>6910.6601674929325</v>
      </c>
      <c r="V45" s="848">
        <f t="shared" si="10"/>
        <v>0</v>
      </c>
      <c r="W45" s="848">
        <f t="shared" si="10"/>
        <v>6268.5219438286977</v>
      </c>
      <c r="X45" s="848">
        <f t="shared" si="10"/>
        <v>11504.799707581416</v>
      </c>
      <c r="Y45" s="848">
        <f t="shared" si="10"/>
        <v>0</v>
      </c>
      <c r="Z45" s="848">
        <f t="shared" si="10"/>
        <v>0</v>
      </c>
      <c r="AA45" s="848">
        <f t="shared" si="10"/>
        <v>0</v>
      </c>
      <c r="AB45" s="848">
        <f t="shared" si="10"/>
        <v>0</v>
      </c>
      <c r="AC45" s="848">
        <f t="shared" si="10"/>
        <v>0</v>
      </c>
      <c r="AD45" s="848">
        <f t="shared" si="10"/>
        <v>0</v>
      </c>
      <c r="AE45" s="848">
        <f t="shared" si="10"/>
        <v>0</v>
      </c>
      <c r="AF45" s="894"/>
      <c r="AG45" s="894"/>
      <c r="AH45" s="894"/>
      <c r="AI45" s="894"/>
      <c r="AJ45" s="894"/>
      <c r="AK45" s="894"/>
      <c r="AL45" s="894"/>
      <c r="AM45" s="894"/>
      <c r="AN45" s="894"/>
      <c r="AO45" s="894"/>
    </row>
    <row r="46" spans="2:44" s="833" customFormat="1" ht="13.5">
      <c r="B46" s="902"/>
      <c r="C46" s="903"/>
      <c r="D46" s="903"/>
      <c r="E46" s="903"/>
      <c r="F46" s="903"/>
      <c r="G46" s="903"/>
      <c r="H46" s="904"/>
      <c r="I46" s="898"/>
      <c r="J46" s="904"/>
      <c r="K46" s="904"/>
      <c r="L46" s="904"/>
      <c r="M46" s="904"/>
      <c r="N46" s="904"/>
      <c r="O46" s="904"/>
      <c r="P46" s="904"/>
      <c r="Q46" s="904"/>
      <c r="R46" s="904"/>
      <c r="S46" s="904"/>
      <c r="T46" s="904"/>
      <c r="U46" s="904"/>
      <c r="V46" s="904"/>
      <c r="W46" s="904"/>
      <c r="X46" s="904"/>
      <c r="Y46" s="904"/>
      <c r="Z46" s="904"/>
      <c r="AA46" s="904"/>
      <c r="AB46" s="904"/>
      <c r="AC46" s="904"/>
      <c r="AD46" s="904"/>
      <c r="AE46" s="904"/>
      <c r="AF46" s="839"/>
      <c r="AG46" s="839"/>
      <c r="AH46" s="839"/>
      <c r="AI46" s="839"/>
      <c r="AJ46" s="839"/>
      <c r="AK46" s="839"/>
      <c r="AL46" s="839"/>
      <c r="AM46" s="839"/>
      <c r="AN46" s="839"/>
      <c r="AO46" s="839"/>
    </row>
    <row r="47" spans="2:44" s="833" customFormat="1" hidden="1" outlineLevel="1">
      <c r="G47" s="250"/>
      <c r="I47" s="898"/>
      <c r="AF47" s="839"/>
      <c r="AG47" s="839"/>
      <c r="AH47" s="839"/>
      <c r="AI47" s="839"/>
      <c r="AJ47" s="839"/>
      <c r="AK47" s="839"/>
      <c r="AL47" s="839"/>
      <c r="AM47" s="839"/>
      <c r="AN47" s="839"/>
      <c r="AO47" s="839"/>
    </row>
    <row r="48" spans="2:44" s="833" customFormat="1" hidden="1" outlineLevel="1">
      <c r="B48" s="905"/>
      <c r="C48" s="843"/>
      <c r="D48" s="843"/>
      <c r="E48" s="843"/>
      <c r="F48" s="843"/>
      <c r="G48" s="843"/>
      <c r="H48" s="906"/>
      <c r="J48" s="906"/>
      <c r="K48" s="906"/>
      <c r="L48" s="906"/>
      <c r="M48" s="906"/>
      <c r="N48" s="906"/>
      <c r="O48" s="906"/>
      <c r="P48" s="906"/>
      <c r="Q48" s="906"/>
      <c r="R48" s="906"/>
      <c r="S48" s="906"/>
      <c r="T48" s="906"/>
      <c r="U48" s="906"/>
      <c r="V48" s="906"/>
      <c r="W48" s="906"/>
      <c r="X48" s="906"/>
      <c r="Y48" s="906"/>
      <c r="Z48" s="906"/>
      <c r="AA48" s="906"/>
      <c r="AB48" s="906"/>
      <c r="AC48" s="906"/>
      <c r="AD48" s="906"/>
      <c r="AE48" s="906"/>
      <c r="AF48" s="906"/>
      <c r="AG48" s="906"/>
      <c r="AH48" s="906"/>
      <c r="AI48" s="906"/>
      <c r="AJ48" s="906"/>
      <c r="AK48" s="906"/>
      <c r="AL48" s="906"/>
      <c r="AM48" s="906"/>
      <c r="AN48" s="906"/>
      <c r="AO48" s="906"/>
      <c r="AP48" s="906"/>
      <c r="AQ48" s="906"/>
      <c r="AR48" s="906"/>
    </row>
    <row r="49" spans="2:41" s="833" customFormat="1" hidden="1" outlineLevel="1">
      <c r="B49" s="907"/>
      <c r="C49" s="908"/>
      <c r="D49" s="908"/>
      <c r="E49" s="908"/>
      <c r="F49" s="908"/>
      <c r="G49" s="908"/>
      <c r="H49" s="864"/>
      <c r="J49" s="865"/>
      <c r="K49" s="865"/>
      <c r="L49" s="865"/>
      <c r="M49" s="865"/>
      <c r="N49" s="865"/>
      <c r="O49" s="865"/>
      <c r="P49" s="865"/>
      <c r="Q49" s="865"/>
      <c r="R49" s="865"/>
      <c r="S49" s="865"/>
      <c r="T49" s="865"/>
      <c r="U49" s="865"/>
      <c r="V49" s="865"/>
      <c r="W49" s="865"/>
      <c r="X49" s="865"/>
      <c r="Y49" s="865"/>
      <c r="Z49" s="865"/>
      <c r="AA49" s="865"/>
      <c r="AB49" s="865"/>
      <c r="AC49" s="865"/>
      <c r="AD49" s="865"/>
      <c r="AE49" s="865"/>
      <c r="AF49" s="839"/>
      <c r="AG49" s="839"/>
      <c r="AH49" s="839"/>
      <c r="AI49" s="839"/>
      <c r="AJ49" s="839"/>
      <c r="AK49" s="839"/>
      <c r="AL49" s="839"/>
      <c r="AM49" s="839"/>
      <c r="AN49" s="839"/>
      <c r="AO49" s="839"/>
    </row>
    <row r="50" spans="2:41" s="833" customFormat="1" ht="13.5" hidden="1" outlineLevel="1">
      <c r="B50" s="845"/>
      <c r="C50" s="846"/>
      <c r="D50" s="846" t="s">
        <v>2102</v>
      </c>
      <c r="E50" s="846"/>
      <c r="F50" s="846"/>
      <c r="G50" s="846"/>
      <c r="H50" s="848">
        <f>SUM(J50:AE50)</f>
        <v>558608.53422372055</v>
      </c>
      <c r="J50" s="848">
        <f>SUM(J52:J55)*(ABS(SUM(J52:J55))&gt;0.0001)</f>
        <v>0</v>
      </c>
      <c r="K50" s="848">
        <f t="shared" ref="K50:AE50" si="11">SUM(K52:K55)*(ABS(SUM(K52:K55))&gt;0.0001)</f>
        <v>0</v>
      </c>
      <c r="L50" s="848">
        <f t="shared" si="11"/>
        <v>0</v>
      </c>
      <c r="M50" s="848">
        <f t="shared" si="11"/>
        <v>0</v>
      </c>
      <c r="N50" s="848">
        <f t="shared" si="11"/>
        <v>0</v>
      </c>
      <c r="O50" s="848">
        <f t="shared" si="11"/>
        <v>4860</v>
      </c>
      <c r="P50" s="848">
        <f t="shared" si="11"/>
        <v>4860.0000000000018</v>
      </c>
      <c r="Q50" s="848">
        <f t="shared" si="11"/>
        <v>4860.0000000000018</v>
      </c>
      <c r="R50" s="848">
        <f t="shared" si="11"/>
        <v>4860.0000000000009</v>
      </c>
      <c r="S50" s="848">
        <f t="shared" si="11"/>
        <v>4860.0000000000009</v>
      </c>
      <c r="T50" s="848">
        <f t="shared" si="11"/>
        <v>5943</v>
      </c>
      <c r="U50" s="848">
        <f t="shared" si="11"/>
        <v>5942.9999999999973</v>
      </c>
      <c r="V50" s="848">
        <f t="shared" si="11"/>
        <v>6100.8872171842295</v>
      </c>
      <c r="W50" s="848">
        <f t="shared" si="11"/>
        <v>5942.9999999999991</v>
      </c>
      <c r="X50" s="848">
        <f t="shared" si="11"/>
        <v>5943.0000000000018</v>
      </c>
      <c r="Y50" s="848">
        <f t="shared" si="11"/>
        <v>8059.4802109788398</v>
      </c>
      <c r="Z50" s="848">
        <f t="shared" si="11"/>
        <v>9744.8104223767514</v>
      </c>
      <c r="AA50" s="848">
        <f t="shared" si="11"/>
        <v>8546.9776538911428</v>
      </c>
      <c r="AB50" s="848">
        <f t="shared" si="11"/>
        <v>10258.353380260731</v>
      </c>
      <c r="AC50" s="848">
        <f t="shared" si="11"/>
        <v>9016.4505219601415</v>
      </c>
      <c r="AD50" s="848">
        <f t="shared" si="11"/>
        <v>458809.5748170687</v>
      </c>
      <c r="AE50" s="848">
        <f t="shared" si="11"/>
        <v>0</v>
      </c>
      <c r="AF50" s="839"/>
      <c r="AG50" s="839"/>
      <c r="AH50" s="839"/>
      <c r="AI50" s="839"/>
      <c r="AJ50" s="839"/>
      <c r="AK50" s="839"/>
      <c r="AL50" s="839"/>
      <c r="AM50" s="839"/>
      <c r="AN50" s="839"/>
      <c r="AO50" s="839"/>
    </row>
    <row r="51" spans="2:41" s="833" customFormat="1" hidden="1" outlineLevel="1">
      <c r="B51" s="845"/>
      <c r="C51" s="846"/>
      <c r="D51" s="846"/>
      <c r="E51" s="846"/>
      <c r="F51" s="846"/>
      <c r="G51" s="846"/>
      <c r="H51" s="847"/>
      <c r="J51" s="244"/>
      <c r="K51" s="244"/>
      <c r="L51" s="244"/>
      <c r="M51" s="244"/>
      <c r="N51" s="244"/>
      <c r="O51" s="244"/>
      <c r="P51" s="244"/>
      <c r="Q51" s="244"/>
      <c r="R51" s="244"/>
      <c r="S51" s="244"/>
      <c r="T51" s="244"/>
      <c r="U51" s="244"/>
      <c r="V51" s="244"/>
      <c r="W51" s="244"/>
      <c r="X51" s="244"/>
      <c r="Y51" s="244"/>
      <c r="Z51" s="244"/>
      <c r="AA51" s="244"/>
      <c r="AB51" s="244"/>
      <c r="AC51" s="244"/>
      <c r="AD51" s="244"/>
      <c r="AE51" s="244"/>
      <c r="AF51" s="839"/>
      <c r="AG51" s="839"/>
      <c r="AH51" s="839"/>
      <c r="AI51" s="839"/>
      <c r="AJ51" s="839"/>
      <c r="AK51" s="839"/>
      <c r="AL51" s="839"/>
      <c r="AM51" s="839"/>
      <c r="AN51" s="839"/>
      <c r="AO51" s="839"/>
    </row>
    <row r="52" spans="2:41" s="833" customFormat="1" ht="13.5" hidden="1" outlineLevel="1">
      <c r="B52" s="845"/>
      <c r="C52" s="846"/>
      <c r="D52" s="846"/>
      <c r="E52" s="846" t="s">
        <v>2103</v>
      </c>
      <c r="F52" s="846"/>
      <c r="G52" s="846"/>
      <c r="H52" s="848">
        <f>SUM(J52:AE52)</f>
        <v>0</v>
      </c>
      <c r="J52" s="848">
        <f t="shared" ref="J52:AE52" si="12">I62</f>
        <v>0</v>
      </c>
      <c r="K52" s="848">
        <f t="shared" si="12"/>
        <v>0</v>
      </c>
      <c r="L52" s="848">
        <f t="shared" si="12"/>
        <v>0</v>
      </c>
      <c r="M52" s="848">
        <f t="shared" si="12"/>
        <v>0</v>
      </c>
      <c r="N52" s="848">
        <f t="shared" si="12"/>
        <v>0</v>
      </c>
      <c r="O52" s="848">
        <f t="shared" si="12"/>
        <v>0</v>
      </c>
      <c r="P52" s="848">
        <f t="shared" si="12"/>
        <v>0</v>
      </c>
      <c r="Q52" s="848">
        <f t="shared" si="12"/>
        <v>0</v>
      </c>
      <c r="R52" s="848">
        <f t="shared" si="12"/>
        <v>0</v>
      </c>
      <c r="S52" s="848">
        <f t="shared" si="12"/>
        <v>0</v>
      </c>
      <c r="T52" s="848">
        <f t="shared" si="12"/>
        <v>0</v>
      </c>
      <c r="U52" s="848">
        <f t="shared" si="12"/>
        <v>0</v>
      </c>
      <c r="V52" s="848">
        <f t="shared" si="12"/>
        <v>0</v>
      </c>
      <c r="W52" s="848">
        <f t="shared" si="12"/>
        <v>0</v>
      </c>
      <c r="X52" s="848">
        <f t="shared" si="12"/>
        <v>0</v>
      </c>
      <c r="Y52" s="848">
        <f t="shared" si="12"/>
        <v>0</v>
      </c>
      <c r="Z52" s="848">
        <f t="shared" si="12"/>
        <v>0</v>
      </c>
      <c r="AA52" s="848">
        <f t="shared" si="12"/>
        <v>0</v>
      </c>
      <c r="AB52" s="848">
        <f t="shared" si="12"/>
        <v>0</v>
      </c>
      <c r="AC52" s="848">
        <f t="shared" si="12"/>
        <v>0</v>
      </c>
      <c r="AD52" s="848">
        <f t="shared" si="12"/>
        <v>0</v>
      </c>
      <c r="AE52" s="848">
        <f t="shared" si="12"/>
        <v>0</v>
      </c>
      <c r="AF52" s="839"/>
      <c r="AG52" s="839"/>
      <c r="AH52" s="839"/>
      <c r="AI52" s="839"/>
      <c r="AJ52" s="839"/>
      <c r="AK52" s="839"/>
      <c r="AL52" s="839"/>
      <c r="AM52" s="839"/>
      <c r="AN52" s="839"/>
      <c r="AO52" s="839"/>
    </row>
    <row r="53" spans="2:41" s="833" customFormat="1" ht="13.5" hidden="1" outlineLevel="1">
      <c r="B53" s="845"/>
      <c r="C53" s="846"/>
      <c r="D53" s="846"/>
      <c r="E53" s="846" t="s">
        <v>902</v>
      </c>
      <c r="F53" s="846"/>
      <c r="G53" s="855"/>
      <c r="H53" s="848">
        <f>SUM(J53:AE53)</f>
        <v>432669.91143779905</v>
      </c>
      <c r="J53" s="848">
        <f t="shared" ref="J53:AE53" si="13">J13</f>
        <v>0</v>
      </c>
      <c r="K53" s="848">
        <f t="shared" si="13"/>
        <v>0</v>
      </c>
      <c r="L53" s="848">
        <f t="shared" si="13"/>
        <v>0</v>
      </c>
      <c r="M53" s="848">
        <f t="shared" si="13"/>
        <v>0</v>
      </c>
      <c r="N53" s="848">
        <f t="shared" si="13"/>
        <v>0</v>
      </c>
      <c r="O53" s="848">
        <f t="shared" si="13"/>
        <v>-652.61925893875832</v>
      </c>
      <c r="P53" s="848">
        <f t="shared" si="13"/>
        <v>-13275.272923045477</v>
      </c>
      <c r="Q53" s="848">
        <f t="shared" si="13"/>
        <v>-4540.8309796071462</v>
      </c>
      <c r="R53" s="848">
        <f t="shared" si="13"/>
        <v>-3772.2104685200857</v>
      </c>
      <c r="S53" s="848">
        <f t="shared" si="13"/>
        <v>-4243.4630396185048</v>
      </c>
      <c r="T53" s="848">
        <f t="shared" si="13"/>
        <v>-10263.465347692647</v>
      </c>
      <c r="U53" s="848">
        <f t="shared" si="13"/>
        <v>-967.66016749293522</v>
      </c>
      <c r="V53" s="848">
        <f t="shared" si="13"/>
        <v>690.81685672172898</v>
      </c>
      <c r="W53" s="848">
        <f t="shared" si="13"/>
        <v>-325.52194382869857</v>
      </c>
      <c r="X53" s="848">
        <f t="shared" si="13"/>
        <v>-5561.7997075814146</v>
      </c>
      <c r="Y53" s="848">
        <f t="shared" si="13"/>
        <v>2649.4098505163392</v>
      </c>
      <c r="Z53" s="848">
        <f t="shared" si="13"/>
        <v>4334.7400619142509</v>
      </c>
      <c r="AA53" s="848">
        <f t="shared" si="13"/>
        <v>3136.9072934286423</v>
      </c>
      <c r="AB53" s="848">
        <f t="shared" si="13"/>
        <v>4848.2830197982303</v>
      </c>
      <c r="AC53" s="848">
        <f t="shared" si="13"/>
        <v>3606.380161497641</v>
      </c>
      <c r="AD53" s="848">
        <f t="shared" si="13"/>
        <v>457006.2180302479</v>
      </c>
      <c r="AE53" s="848">
        <f t="shared" si="13"/>
        <v>0</v>
      </c>
      <c r="AF53" s="839"/>
      <c r="AG53" s="839"/>
      <c r="AH53" s="839"/>
      <c r="AI53" s="839"/>
      <c r="AJ53" s="839"/>
      <c r="AK53" s="839"/>
      <c r="AL53" s="839"/>
      <c r="AM53" s="839"/>
      <c r="AN53" s="839"/>
      <c r="AO53" s="839"/>
    </row>
    <row r="54" spans="2:41" s="833" customFormat="1" ht="13.5" hidden="1" outlineLevel="1">
      <c r="B54" s="845"/>
      <c r="C54" s="846"/>
      <c r="D54" s="846"/>
      <c r="E54" s="846" t="s">
        <v>2104</v>
      </c>
      <c r="F54" s="846"/>
      <c r="G54" s="254">
        <v>1</v>
      </c>
      <c r="H54" s="848">
        <f>SUM(J54:AE54)</f>
        <v>34263.778949595835</v>
      </c>
      <c r="J54" s="848">
        <f t="shared" ref="J54:AE54" si="14">(J$7&gt;0)*(SUM(J52:J53)&gt;0)*J30*$G54</f>
        <v>0</v>
      </c>
      <c r="K54" s="848">
        <f t="shared" si="14"/>
        <v>0</v>
      </c>
      <c r="L54" s="848">
        <f t="shared" si="14"/>
        <v>0</v>
      </c>
      <c r="M54" s="848">
        <f t="shared" si="14"/>
        <v>0</v>
      </c>
      <c r="N54" s="848">
        <f t="shared" si="14"/>
        <v>0</v>
      </c>
      <c r="O54" s="848">
        <f t="shared" si="14"/>
        <v>0</v>
      </c>
      <c r="P54" s="848">
        <f t="shared" si="14"/>
        <v>0</v>
      </c>
      <c r="Q54" s="848">
        <f t="shared" si="14"/>
        <v>0</v>
      </c>
      <c r="R54" s="848">
        <f t="shared" si="14"/>
        <v>0</v>
      </c>
      <c r="S54" s="848">
        <f t="shared" si="14"/>
        <v>0</v>
      </c>
      <c r="T54" s="848">
        <f t="shared" si="14"/>
        <v>0</v>
      </c>
      <c r="U54" s="848">
        <f t="shared" si="14"/>
        <v>0</v>
      </c>
      <c r="V54" s="848">
        <f t="shared" si="14"/>
        <v>5410.0703604625005</v>
      </c>
      <c r="W54" s="848">
        <f t="shared" si="14"/>
        <v>0</v>
      </c>
      <c r="X54" s="848">
        <f t="shared" si="14"/>
        <v>0</v>
      </c>
      <c r="Y54" s="848">
        <f t="shared" si="14"/>
        <v>5410.0703604625005</v>
      </c>
      <c r="Z54" s="848">
        <f t="shared" si="14"/>
        <v>5410.0703604625005</v>
      </c>
      <c r="AA54" s="848">
        <f t="shared" si="14"/>
        <v>5410.0703604625005</v>
      </c>
      <c r="AB54" s="848">
        <f t="shared" si="14"/>
        <v>5410.0703604625005</v>
      </c>
      <c r="AC54" s="848">
        <f t="shared" si="14"/>
        <v>5410.0703604625005</v>
      </c>
      <c r="AD54" s="848">
        <f t="shared" si="14"/>
        <v>1803.3567868208333</v>
      </c>
      <c r="AE54" s="848">
        <f t="shared" si="14"/>
        <v>0</v>
      </c>
      <c r="AF54" s="894"/>
      <c r="AG54" s="894"/>
      <c r="AH54" s="894"/>
      <c r="AI54" s="894"/>
      <c r="AJ54" s="894"/>
      <c r="AK54" s="894"/>
      <c r="AL54" s="894"/>
      <c r="AM54" s="894"/>
      <c r="AN54" s="894"/>
      <c r="AO54" s="894"/>
    </row>
    <row r="55" spans="2:41" s="833" customFormat="1" ht="13.5" hidden="1" outlineLevel="1">
      <c r="B55" s="845"/>
      <c r="C55" s="846"/>
      <c r="D55" s="846"/>
      <c r="E55" s="852" t="s">
        <v>2105</v>
      </c>
      <c r="F55" s="846"/>
      <c r="G55" s="855"/>
      <c r="H55" s="848">
        <f>SUM(J55:AE55)</f>
        <v>91674.843836325672</v>
      </c>
      <c r="J55" s="848">
        <f>J45</f>
        <v>0</v>
      </c>
      <c r="K55" s="848">
        <f t="shared" ref="K55:AE55" si="15">K45</f>
        <v>0</v>
      </c>
      <c r="L55" s="848">
        <f t="shared" si="15"/>
        <v>0</v>
      </c>
      <c r="M55" s="848">
        <f t="shared" si="15"/>
        <v>0</v>
      </c>
      <c r="N55" s="848">
        <f t="shared" si="15"/>
        <v>0</v>
      </c>
      <c r="O55" s="848">
        <f t="shared" si="15"/>
        <v>5512.6192589387583</v>
      </c>
      <c r="P55" s="848">
        <f t="shared" si="15"/>
        <v>18135.272923045479</v>
      </c>
      <c r="Q55" s="848">
        <f t="shared" si="15"/>
        <v>9400.830979607148</v>
      </c>
      <c r="R55" s="848">
        <f t="shared" si="15"/>
        <v>8632.2104685200866</v>
      </c>
      <c r="S55" s="848">
        <f t="shared" si="15"/>
        <v>9103.4630396185057</v>
      </c>
      <c r="T55" s="848">
        <f t="shared" si="15"/>
        <v>16206.465347692647</v>
      </c>
      <c r="U55" s="848">
        <f t="shared" si="15"/>
        <v>6910.6601674929325</v>
      </c>
      <c r="V55" s="848">
        <f t="shared" si="15"/>
        <v>0</v>
      </c>
      <c r="W55" s="848">
        <f t="shared" si="15"/>
        <v>6268.5219438286977</v>
      </c>
      <c r="X55" s="848">
        <f t="shared" si="15"/>
        <v>11504.799707581416</v>
      </c>
      <c r="Y55" s="848">
        <f t="shared" si="15"/>
        <v>0</v>
      </c>
      <c r="Z55" s="848">
        <f t="shared" si="15"/>
        <v>0</v>
      </c>
      <c r="AA55" s="848">
        <f t="shared" si="15"/>
        <v>0</v>
      </c>
      <c r="AB55" s="848">
        <f t="shared" si="15"/>
        <v>0</v>
      </c>
      <c r="AC55" s="848">
        <f t="shared" si="15"/>
        <v>0</v>
      </c>
      <c r="AD55" s="848">
        <f t="shared" si="15"/>
        <v>0</v>
      </c>
      <c r="AE55" s="848">
        <f t="shared" si="15"/>
        <v>0</v>
      </c>
      <c r="AF55" s="839"/>
      <c r="AG55" s="839"/>
      <c r="AH55" s="839"/>
      <c r="AI55" s="839"/>
      <c r="AJ55" s="839"/>
      <c r="AK55" s="839"/>
      <c r="AL55" s="839"/>
      <c r="AM55" s="839"/>
      <c r="AN55" s="839"/>
      <c r="AO55" s="839"/>
    </row>
    <row r="56" spans="2:41" s="833" customFormat="1" hidden="1" outlineLevel="1">
      <c r="B56" s="845"/>
      <c r="C56" s="846"/>
      <c r="D56" s="846"/>
      <c r="E56" s="846"/>
      <c r="F56" s="846"/>
      <c r="G56" s="846"/>
      <c r="H56" s="848"/>
      <c r="J56" s="244"/>
      <c r="K56" s="244"/>
      <c r="L56" s="244"/>
      <c r="M56" s="244"/>
      <c r="N56" s="244"/>
      <c r="O56" s="244"/>
      <c r="P56" s="244"/>
      <c r="Q56" s="244"/>
      <c r="R56" s="244"/>
      <c r="S56" s="244"/>
      <c r="T56" s="244"/>
      <c r="U56" s="244"/>
      <c r="V56" s="244"/>
      <c r="W56" s="244"/>
      <c r="X56" s="244"/>
      <c r="Y56" s="244"/>
      <c r="Z56" s="244"/>
      <c r="AA56" s="244"/>
      <c r="AB56" s="244"/>
      <c r="AC56" s="244"/>
      <c r="AD56" s="244"/>
      <c r="AE56" s="244"/>
      <c r="AF56" s="839"/>
      <c r="AG56" s="839"/>
      <c r="AH56" s="839"/>
      <c r="AI56" s="839"/>
      <c r="AJ56" s="839"/>
      <c r="AK56" s="839"/>
      <c r="AL56" s="839"/>
      <c r="AM56" s="839"/>
      <c r="AN56" s="839"/>
      <c r="AO56" s="839"/>
    </row>
    <row r="57" spans="2:41" s="833" customFormat="1" ht="13.5" hidden="1" outlineLevel="1">
      <c r="B57" s="845"/>
      <c r="C57" s="846"/>
      <c r="D57" s="846" t="s">
        <v>2106</v>
      </c>
      <c r="E57" s="846"/>
      <c r="F57" s="846"/>
      <c r="G57" s="846"/>
      <c r="H57" s="848">
        <f>SUM(J57:AE57)</f>
        <v>558608.53422372055</v>
      </c>
      <c r="J57" s="848">
        <f>SUM(J59:J60)</f>
        <v>0</v>
      </c>
      <c r="K57" s="848">
        <f>SUM(K59:K60)</f>
        <v>0</v>
      </c>
      <c r="L57" s="848">
        <f t="shared" ref="L57:AE57" si="16">SUM(L59:L60)</f>
        <v>0</v>
      </c>
      <c r="M57" s="848">
        <f t="shared" si="16"/>
        <v>0</v>
      </c>
      <c r="N57" s="848">
        <f t="shared" si="16"/>
        <v>0</v>
      </c>
      <c r="O57" s="848">
        <f t="shared" si="16"/>
        <v>4860</v>
      </c>
      <c r="P57" s="848">
        <f t="shared" si="16"/>
        <v>4860.0000000000018</v>
      </c>
      <c r="Q57" s="848">
        <f t="shared" si="16"/>
        <v>4860.0000000000018</v>
      </c>
      <c r="R57" s="848">
        <f t="shared" si="16"/>
        <v>4860.0000000000009</v>
      </c>
      <c r="S57" s="848">
        <f t="shared" si="16"/>
        <v>4860.0000000000009</v>
      </c>
      <c r="T57" s="848">
        <f t="shared" si="16"/>
        <v>5943</v>
      </c>
      <c r="U57" s="848">
        <f t="shared" si="16"/>
        <v>5942.9999999999973</v>
      </c>
      <c r="V57" s="848">
        <f t="shared" si="16"/>
        <v>6100.8872171842295</v>
      </c>
      <c r="W57" s="848">
        <f t="shared" si="16"/>
        <v>5942.9999999999991</v>
      </c>
      <c r="X57" s="848">
        <f t="shared" si="16"/>
        <v>5943.0000000000018</v>
      </c>
      <c r="Y57" s="848">
        <f t="shared" si="16"/>
        <v>8059.4802109788398</v>
      </c>
      <c r="Z57" s="848">
        <f t="shared" si="16"/>
        <v>9744.8104223767514</v>
      </c>
      <c r="AA57" s="848">
        <f t="shared" si="16"/>
        <v>8546.9776538911428</v>
      </c>
      <c r="AB57" s="848">
        <f t="shared" si="16"/>
        <v>10258.353380260731</v>
      </c>
      <c r="AC57" s="848">
        <f t="shared" si="16"/>
        <v>9016.4505219601415</v>
      </c>
      <c r="AD57" s="848">
        <f t="shared" si="16"/>
        <v>458809.5748170687</v>
      </c>
      <c r="AE57" s="848">
        <f t="shared" si="16"/>
        <v>0</v>
      </c>
      <c r="AF57" s="839"/>
      <c r="AG57" s="839"/>
      <c r="AH57" s="839"/>
      <c r="AI57" s="839"/>
      <c r="AJ57" s="839"/>
      <c r="AK57" s="839"/>
      <c r="AL57" s="839"/>
      <c r="AM57" s="839"/>
      <c r="AN57" s="839"/>
      <c r="AO57" s="839"/>
    </row>
    <row r="58" spans="2:41" s="833" customFormat="1" hidden="1" outlineLevel="1">
      <c r="B58" s="845"/>
      <c r="C58" s="846"/>
      <c r="D58" s="846"/>
      <c r="E58" s="846"/>
      <c r="F58" s="846"/>
      <c r="G58" s="846"/>
      <c r="H58" s="848"/>
      <c r="J58" s="244"/>
      <c r="K58" s="244"/>
      <c r="L58" s="244"/>
      <c r="M58" s="244"/>
      <c r="N58" s="244"/>
      <c r="O58" s="244"/>
      <c r="P58" s="244"/>
      <c r="Q58" s="244"/>
      <c r="R58" s="244"/>
      <c r="S58" s="244"/>
      <c r="T58" s="244"/>
      <c r="U58" s="244"/>
      <c r="V58" s="244"/>
      <c r="W58" s="244"/>
      <c r="X58" s="244"/>
      <c r="Y58" s="244"/>
      <c r="Z58" s="244"/>
      <c r="AA58" s="244"/>
      <c r="AB58" s="244"/>
      <c r="AC58" s="244"/>
      <c r="AD58" s="244"/>
      <c r="AE58" s="244"/>
      <c r="AF58" s="839"/>
      <c r="AG58" s="839"/>
      <c r="AH58" s="839"/>
      <c r="AI58" s="839"/>
      <c r="AJ58" s="839"/>
      <c r="AK58" s="839"/>
      <c r="AL58" s="839"/>
      <c r="AM58" s="839"/>
      <c r="AN58" s="839"/>
      <c r="AO58" s="839"/>
    </row>
    <row r="59" spans="2:41" s="833" customFormat="1" ht="13.5" hidden="1" outlineLevel="1">
      <c r="B59" s="845"/>
      <c r="C59" s="846"/>
      <c r="D59" s="846"/>
      <c r="E59" s="846" t="s">
        <v>903</v>
      </c>
      <c r="F59" s="846"/>
      <c r="G59" s="846"/>
      <c r="H59" s="848">
        <f>SUM(J59:AE59)</f>
        <v>0</v>
      </c>
      <c r="J59" s="244">
        <f>J78</f>
        <v>0</v>
      </c>
      <c r="K59" s="244">
        <f>K78</f>
        <v>0</v>
      </c>
      <c r="L59" s="244">
        <f t="shared" ref="L59:AE59" si="17">L78</f>
        <v>0</v>
      </c>
      <c r="M59" s="244">
        <f t="shared" si="17"/>
        <v>0</v>
      </c>
      <c r="N59" s="244">
        <f t="shared" si="17"/>
        <v>0</v>
      </c>
      <c r="O59" s="244">
        <f t="shared" si="17"/>
        <v>0</v>
      </c>
      <c r="P59" s="244">
        <f t="shared" si="17"/>
        <v>0</v>
      </c>
      <c r="Q59" s="244">
        <f t="shared" si="17"/>
        <v>0</v>
      </c>
      <c r="R59" s="244">
        <f t="shared" si="17"/>
        <v>0</v>
      </c>
      <c r="S59" s="244">
        <f t="shared" si="17"/>
        <v>0</v>
      </c>
      <c r="T59" s="244">
        <f t="shared" si="17"/>
        <v>0</v>
      </c>
      <c r="U59" s="244">
        <f t="shared" si="17"/>
        <v>0</v>
      </c>
      <c r="V59" s="244">
        <f t="shared" si="17"/>
        <v>0</v>
      </c>
      <c r="W59" s="244">
        <f t="shared" si="17"/>
        <v>0</v>
      </c>
      <c r="X59" s="244">
        <f t="shared" si="17"/>
        <v>0</v>
      </c>
      <c r="Y59" s="244">
        <f t="shared" si="17"/>
        <v>0</v>
      </c>
      <c r="Z59" s="244">
        <f t="shared" si="17"/>
        <v>0</v>
      </c>
      <c r="AA59" s="244">
        <f t="shared" si="17"/>
        <v>0</v>
      </c>
      <c r="AB59" s="244">
        <f t="shared" si="17"/>
        <v>0</v>
      </c>
      <c r="AC59" s="244">
        <f t="shared" si="17"/>
        <v>0</v>
      </c>
      <c r="AD59" s="244">
        <f t="shared" si="17"/>
        <v>0</v>
      </c>
      <c r="AE59" s="244">
        <f t="shared" si="17"/>
        <v>0</v>
      </c>
      <c r="AF59" s="839"/>
      <c r="AG59" s="839"/>
      <c r="AH59" s="839"/>
      <c r="AI59" s="839"/>
      <c r="AJ59" s="839"/>
      <c r="AK59" s="839"/>
      <c r="AL59" s="839"/>
      <c r="AM59" s="839"/>
      <c r="AN59" s="839"/>
      <c r="AO59" s="839"/>
    </row>
    <row r="60" spans="2:41" s="833" customFormat="1" ht="13.5" hidden="1" outlineLevel="1">
      <c r="B60" s="845"/>
      <c r="C60" s="846"/>
      <c r="D60" s="846"/>
      <c r="E60" s="846" t="s">
        <v>2107</v>
      </c>
      <c r="F60" s="846"/>
      <c r="H60" s="848">
        <f>SUM(J60:AE60)</f>
        <v>558608.53422372055</v>
      </c>
      <c r="J60" s="848">
        <f t="shared" ref="J60:AE60" si="18">(J$7&lt;$G$7)*(SUM(J52:J55)&gt;0)*IF(J50-J59&lt;0,0,J50-J59)*(J$7&gt;0)+(J$7=$G$7)*(J50-J59)*(J$7&gt;0)</f>
        <v>0</v>
      </c>
      <c r="K60" s="848">
        <f t="shared" si="18"/>
        <v>0</v>
      </c>
      <c r="L60" s="848">
        <f t="shared" si="18"/>
        <v>0</v>
      </c>
      <c r="M60" s="848">
        <f t="shared" si="18"/>
        <v>0</v>
      </c>
      <c r="N60" s="848">
        <f t="shared" si="18"/>
        <v>0</v>
      </c>
      <c r="O60" s="848">
        <f t="shared" si="18"/>
        <v>4860</v>
      </c>
      <c r="P60" s="848">
        <f t="shared" si="18"/>
        <v>4860.0000000000018</v>
      </c>
      <c r="Q60" s="848">
        <f t="shared" si="18"/>
        <v>4860.0000000000018</v>
      </c>
      <c r="R60" s="848">
        <f t="shared" si="18"/>
        <v>4860.0000000000009</v>
      </c>
      <c r="S60" s="848">
        <f t="shared" si="18"/>
        <v>4860.0000000000009</v>
      </c>
      <c r="T60" s="848">
        <f t="shared" si="18"/>
        <v>5943</v>
      </c>
      <c r="U60" s="848">
        <f t="shared" si="18"/>
        <v>5942.9999999999973</v>
      </c>
      <c r="V60" s="848">
        <f t="shared" si="18"/>
        <v>6100.8872171842295</v>
      </c>
      <c r="W60" s="848">
        <f t="shared" si="18"/>
        <v>5942.9999999999991</v>
      </c>
      <c r="X60" s="848">
        <f t="shared" si="18"/>
        <v>5943.0000000000018</v>
      </c>
      <c r="Y60" s="848">
        <f t="shared" si="18"/>
        <v>8059.4802109788398</v>
      </c>
      <c r="Z60" s="848">
        <f t="shared" si="18"/>
        <v>9744.8104223767514</v>
      </c>
      <c r="AA60" s="848">
        <f t="shared" si="18"/>
        <v>8546.9776538911428</v>
      </c>
      <c r="AB60" s="848">
        <f t="shared" si="18"/>
        <v>10258.353380260731</v>
      </c>
      <c r="AC60" s="848">
        <f t="shared" si="18"/>
        <v>9016.4505219601415</v>
      </c>
      <c r="AD60" s="848">
        <f t="shared" si="18"/>
        <v>458809.5748170687</v>
      </c>
      <c r="AE60" s="848">
        <f t="shared" si="18"/>
        <v>0</v>
      </c>
      <c r="AF60" s="839"/>
      <c r="AG60" s="839"/>
      <c r="AH60" s="839"/>
      <c r="AI60" s="839"/>
      <c r="AJ60" s="839"/>
      <c r="AK60" s="839"/>
      <c r="AL60" s="839"/>
      <c r="AM60" s="839"/>
      <c r="AN60" s="839"/>
      <c r="AO60" s="839"/>
    </row>
    <row r="61" spans="2:41" s="833" customFormat="1" hidden="1" outlineLevel="1">
      <c r="B61" s="845"/>
      <c r="C61" s="846"/>
      <c r="D61" s="846"/>
      <c r="E61" s="846"/>
      <c r="F61" s="846"/>
      <c r="G61" s="857"/>
      <c r="H61" s="244"/>
      <c r="J61" s="248"/>
      <c r="K61" s="248"/>
      <c r="L61" s="248"/>
      <c r="M61" s="248"/>
      <c r="N61" s="248"/>
      <c r="O61" s="248"/>
      <c r="P61" s="248"/>
      <c r="Q61" s="248"/>
      <c r="R61" s="248"/>
      <c r="S61" s="248"/>
      <c r="T61" s="248"/>
      <c r="U61" s="248"/>
      <c r="V61" s="248"/>
      <c r="W61" s="248"/>
      <c r="X61" s="248"/>
      <c r="Y61" s="248"/>
      <c r="Z61" s="248"/>
      <c r="AA61" s="248"/>
      <c r="AB61" s="248"/>
      <c r="AC61" s="248"/>
      <c r="AD61" s="248"/>
      <c r="AE61" s="248"/>
      <c r="AF61" s="839"/>
      <c r="AG61" s="839"/>
      <c r="AH61" s="839"/>
      <c r="AI61" s="839"/>
      <c r="AJ61" s="839"/>
      <c r="AK61" s="839"/>
      <c r="AL61" s="839"/>
      <c r="AM61" s="839"/>
      <c r="AN61" s="839"/>
      <c r="AO61" s="839"/>
    </row>
    <row r="62" spans="2:41" s="833" customFormat="1" ht="13.5" hidden="1" outlineLevel="1">
      <c r="B62" s="845"/>
      <c r="C62" s="846"/>
      <c r="D62" s="846" t="s">
        <v>2108</v>
      </c>
      <c r="E62" s="846"/>
      <c r="F62" s="846"/>
      <c r="G62" s="857"/>
      <c r="H62" s="848">
        <f>SUM(J62:AE62)</f>
        <v>0</v>
      </c>
      <c r="J62" s="848">
        <f t="shared" ref="J62:AE62" si="19">IF(ABS(J50-J57)&lt;0.00001,0,J50-J57)</f>
        <v>0</v>
      </c>
      <c r="K62" s="848">
        <f t="shared" si="19"/>
        <v>0</v>
      </c>
      <c r="L62" s="848">
        <f t="shared" si="19"/>
        <v>0</v>
      </c>
      <c r="M62" s="848">
        <f t="shared" si="19"/>
        <v>0</v>
      </c>
      <c r="N62" s="848">
        <f t="shared" si="19"/>
        <v>0</v>
      </c>
      <c r="O62" s="848">
        <f t="shared" si="19"/>
        <v>0</v>
      </c>
      <c r="P62" s="848">
        <f t="shared" si="19"/>
        <v>0</v>
      </c>
      <c r="Q62" s="848">
        <f t="shared" si="19"/>
        <v>0</v>
      </c>
      <c r="R62" s="848">
        <f t="shared" si="19"/>
        <v>0</v>
      </c>
      <c r="S62" s="848">
        <f t="shared" si="19"/>
        <v>0</v>
      </c>
      <c r="T62" s="848">
        <f t="shared" si="19"/>
        <v>0</v>
      </c>
      <c r="U62" s="848">
        <f t="shared" si="19"/>
        <v>0</v>
      </c>
      <c r="V62" s="848">
        <f t="shared" si="19"/>
        <v>0</v>
      </c>
      <c r="W62" s="848">
        <f t="shared" si="19"/>
        <v>0</v>
      </c>
      <c r="X62" s="848">
        <f t="shared" si="19"/>
        <v>0</v>
      </c>
      <c r="Y62" s="848">
        <f t="shared" si="19"/>
        <v>0</v>
      </c>
      <c r="Z62" s="848">
        <f t="shared" si="19"/>
        <v>0</v>
      </c>
      <c r="AA62" s="848">
        <f t="shared" si="19"/>
        <v>0</v>
      </c>
      <c r="AB62" s="848">
        <f t="shared" si="19"/>
        <v>0</v>
      </c>
      <c r="AC62" s="848">
        <f t="shared" si="19"/>
        <v>0</v>
      </c>
      <c r="AD62" s="848">
        <f t="shared" si="19"/>
        <v>0</v>
      </c>
      <c r="AE62" s="848">
        <f t="shared" si="19"/>
        <v>0</v>
      </c>
      <c r="AF62" s="839"/>
      <c r="AG62" s="839"/>
      <c r="AH62" s="839"/>
      <c r="AI62" s="839"/>
      <c r="AJ62" s="839"/>
      <c r="AK62" s="839"/>
      <c r="AL62" s="839"/>
      <c r="AM62" s="839"/>
      <c r="AN62" s="839"/>
      <c r="AO62" s="839"/>
    </row>
    <row r="63" spans="2:41" s="833" customFormat="1" hidden="1" outlineLevel="1">
      <c r="B63" s="860"/>
      <c r="C63" s="861"/>
      <c r="D63" s="861"/>
      <c r="E63" s="861"/>
      <c r="F63" s="861"/>
      <c r="G63" s="861"/>
      <c r="H63" s="909"/>
      <c r="J63" s="255"/>
      <c r="K63" s="255"/>
      <c r="L63" s="255"/>
      <c r="M63" s="255"/>
      <c r="N63" s="255"/>
      <c r="O63" s="255"/>
      <c r="P63" s="255"/>
      <c r="Q63" s="255"/>
      <c r="R63" s="255"/>
      <c r="S63" s="255"/>
      <c r="T63" s="255"/>
      <c r="U63" s="255"/>
      <c r="V63" s="255"/>
      <c r="W63" s="255"/>
      <c r="X63" s="255"/>
      <c r="Y63" s="255"/>
      <c r="Z63" s="255"/>
      <c r="AA63" s="255"/>
      <c r="AB63" s="255"/>
      <c r="AC63" s="255"/>
      <c r="AD63" s="255"/>
      <c r="AE63" s="255"/>
      <c r="AF63" s="839"/>
      <c r="AG63" s="839"/>
      <c r="AH63" s="839"/>
      <c r="AI63" s="839"/>
      <c r="AJ63" s="839"/>
      <c r="AK63" s="839"/>
      <c r="AL63" s="839"/>
      <c r="AM63" s="839"/>
      <c r="AN63" s="839"/>
      <c r="AO63" s="839"/>
    </row>
    <row r="64" spans="2:41" s="833" customFormat="1" hidden="1" outlineLevel="1">
      <c r="B64" s="845"/>
      <c r="C64" s="846"/>
      <c r="D64" s="846"/>
      <c r="E64" s="846"/>
      <c r="F64" s="846"/>
      <c r="G64" s="846"/>
      <c r="H64" s="847"/>
      <c r="J64" s="251"/>
      <c r="K64" s="251"/>
      <c r="L64" s="251"/>
      <c r="M64" s="251"/>
      <c r="N64" s="251"/>
      <c r="O64" s="251"/>
      <c r="P64" s="251"/>
      <c r="Q64" s="251"/>
      <c r="R64" s="251"/>
      <c r="S64" s="251"/>
      <c r="T64" s="251"/>
      <c r="U64" s="251"/>
      <c r="V64" s="251"/>
      <c r="W64" s="251"/>
      <c r="X64" s="251"/>
      <c r="Y64" s="251"/>
      <c r="Z64" s="251"/>
      <c r="AA64" s="251"/>
      <c r="AB64" s="251"/>
      <c r="AC64" s="251"/>
      <c r="AD64" s="251"/>
      <c r="AE64" s="251"/>
      <c r="AF64" s="839"/>
      <c r="AG64" s="839"/>
      <c r="AH64" s="839"/>
      <c r="AI64" s="839"/>
      <c r="AJ64" s="839"/>
      <c r="AK64" s="839"/>
      <c r="AL64" s="839"/>
      <c r="AM64" s="839"/>
      <c r="AN64" s="839"/>
      <c r="AO64" s="839"/>
    </row>
    <row r="65" spans="2:41" s="833" customFormat="1" ht="13.5" hidden="1" outlineLevel="1">
      <c r="B65" s="845"/>
      <c r="C65" s="846"/>
      <c r="D65" s="846" t="s">
        <v>904</v>
      </c>
      <c r="E65" s="846"/>
      <c r="F65" s="846"/>
      <c r="G65" s="846"/>
      <c r="H65" s="847"/>
      <c r="J65" s="251"/>
      <c r="K65" s="251"/>
      <c r="L65" s="251"/>
      <c r="M65" s="251"/>
      <c r="N65" s="251"/>
      <c r="O65" s="251"/>
      <c r="P65" s="251"/>
      <c r="Q65" s="251"/>
      <c r="R65" s="251"/>
      <c r="S65" s="251"/>
      <c r="T65" s="251"/>
      <c r="U65" s="251"/>
      <c r="V65" s="251"/>
      <c r="W65" s="251"/>
      <c r="X65" s="251"/>
      <c r="Y65" s="251"/>
      <c r="Z65" s="251"/>
      <c r="AA65" s="251"/>
      <c r="AB65" s="251"/>
      <c r="AC65" s="251"/>
      <c r="AD65" s="251"/>
      <c r="AE65" s="251"/>
      <c r="AF65" s="839"/>
      <c r="AG65" s="839"/>
      <c r="AH65" s="839"/>
      <c r="AI65" s="839"/>
      <c r="AJ65" s="839"/>
      <c r="AK65" s="839"/>
      <c r="AL65" s="839"/>
      <c r="AM65" s="839"/>
      <c r="AN65" s="839"/>
      <c r="AO65" s="839"/>
    </row>
    <row r="66" spans="2:41" s="833" customFormat="1" hidden="1" outlineLevel="1">
      <c r="B66" s="845"/>
      <c r="C66" s="846"/>
      <c r="D66" s="846"/>
      <c r="E66" s="846"/>
      <c r="F66" s="846"/>
      <c r="G66" s="846"/>
      <c r="H66" s="847"/>
      <c r="J66" s="251"/>
      <c r="K66" s="251"/>
      <c r="L66" s="251"/>
      <c r="M66" s="251"/>
      <c r="N66" s="251"/>
      <c r="O66" s="251"/>
      <c r="P66" s="251"/>
      <c r="Q66" s="251"/>
      <c r="R66" s="251"/>
      <c r="S66" s="251"/>
      <c r="T66" s="251"/>
      <c r="U66" s="251"/>
      <c r="V66" s="251"/>
      <c r="W66" s="251"/>
      <c r="X66" s="251"/>
      <c r="Y66" s="251"/>
      <c r="Z66" s="251"/>
      <c r="AA66" s="251"/>
      <c r="AB66" s="251"/>
      <c r="AC66" s="251"/>
      <c r="AD66" s="251"/>
      <c r="AE66" s="251"/>
      <c r="AF66" s="839"/>
      <c r="AG66" s="839"/>
      <c r="AH66" s="839"/>
      <c r="AI66" s="839"/>
      <c r="AJ66" s="839"/>
      <c r="AK66" s="839"/>
      <c r="AL66" s="839"/>
      <c r="AM66" s="839"/>
      <c r="AN66" s="839"/>
      <c r="AO66" s="839"/>
    </row>
    <row r="67" spans="2:41" s="833" customFormat="1" ht="13.5" hidden="1" outlineLevel="1">
      <c r="B67" s="845"/>
      <c r="C67" s="846"/>
      <c r="D67" s="846"/>
      <c r="E67" s="846" t="s">
        <v>905</v>
      </c>
      <c r="F67" s="846"/>
      <c r="G67" s="846"/>
      <c r="H67" s="848">
        <f>SUM(J67:AE67)</f>
        <v>0</v>
      </c>
      <c r="J67" s="848">
        <f t="shared" ref="J67:AE67" si="20">I74</f>
        <v>0</v>
      </c>
      <c r="K67" s="848">
        <f t="shared" si="20"/>
        <v>0</v>
      </c>
      <c r="L67" s="848">
        <f t="shared" si="20"/>
        <v>0</v>
      </c>
      <c r="M67" s="848">
        <f t="shared" si="20"/>
        <v>0</v>
      </c>
      <c r="N67" s="848">
        <f t="shared" si="20"/>
        <v>0</v>
      </c>
      <c r="O67" s="848">
        <f t="shared" si="20"/>
        <v>0</v>
      </c>
      <c r="P67" s="848">
        <f t="shared" si="20"/>
        <v>0</v>
      </c>
      <c r="Q67" s="848">
        <f t="shared" si="20"/>
        <v>0</v>
      </c>
      <c r="R67" s="848">
        <f t="shared" si="20"/>
        <v>0</v>
      </c>
      <c r="S67" s="848">
        <f t="shared" si="20"/>
        <v>0</v>
      </c>
      <c r="T67" s="848">
        <f t="shared" si="20"/>
        <v>0</v>
      </c>
      <c r="U67" s="848">
        <f t="shared" si="20"/>
        <v>0</v>
      </c>
      <c r="V67" s="848">
        <f t="shared" si="20"/>
        <v>0</v>
      </c>
      <c r="W67" s="848">
        <f t="shared" si="20"/>
        <v>0</v>
      </c>
      <c r="X67" s="848">
        <f t="shared" si="20"/>
        <v>0</v>
      </c>
      <c r="Y67" s="848">
        <f t="shared" si="20"/>
        <v>0</v>
      </c>
      <c r="Z67" s="848">
        <f t="shared" si="20"/>
        <v>0</v>
      </c>
      <c r="AA67" s="848">
        <f t="shared" si="20"/>
        <v>0</v>
      </c>
      <c r="AB67" s="848">
        <f t="shared" si="20"/>
        <v>0</v>
      </c>
      <c r="AC67" s="848">
        <f t="shared" si="20"/>
        <v>0</v>
      </c>
      <c r="AD67" s="848">
        <f t="shared" si="20"/>
        <v>0</v>
      </c>
      <c r="AE67" s="848">
        <f t="shared" si="20"/>
        <v>0</v>
      </c>
      <c r="AF67" s="839"/>
      <c r="AG67" s="839"/>
      <c r="AH67" s="839"/>
      <c r="AI67" s="839"/>
      <c r="AJ67" s="839"/>
      <c r="AK67" s="839"/>
      <c r="AL67" s="839"/>
      <c r="AM67" s="839"/>
      <c r="AN67" s="839"/>
      <c r="AO67" s="839"/>
    </row>
    <row r="68" spans="2:41" s="833" customFormat="1" ht="13.5" hidden="1" outlineLevel="1">
      <c r="B68" s="845"/>
      <c r="C68" s="846"/>
      <c r="D68" s="846"/>
      <c r="E68" s="846" t="s">
        <v>906</v>
      </c>
      <c r="F68" s="846"/>
      <c r="G68" s="846"/>
      <c r="H68" s="848"/>
      <c r="J68" s="848"/>
      <c r="K68" s="848"/>
      <c r="L68" s="848"/>
      <c r="M68" s="848"/>
      <c r="N68" s="848"/>
      <c r="O68" s="848"/>
      <c r="P68" s="848"/>
      <c r="Q68" s="848"/>
      <c r="R68" s="848"/>
      <c r="S68" s="848"/>
      <c r="T68" s="848"/>
      <c r="U68" s="848"/>
      <c r="V68" s="848"/>
      <c r="W68" s="848"/>
      <c r="X68" s="848"/>
      <c r="Y68" s="848"/>
      <c r="Z68" s="848"/>
      <c r="AA68" s="848"/>
      <c r="AB68" s="848"/>
      <c r="AC68" s="848"/>
      <c r="AD68" s="848"/>
      <c r="AE68" s="848"/>
      <c r="AF68" s="839"/>
      <c r="AG68" s="839"/>
      <c r="AH68" s="839"/>
      <c r="AI68" s="839"/>
      <c r="AJ68" s="839"/>
      <c r="AK68" s="839"/>
      <c r="AL68" s="839"/>
      <c r="AM68" s="839"/>
      <c r="AN68" s="839"/>
      <c r="AO68" s="839"/>
    </row>
    <row r="69" spans="2:41" s="833" customFormat="1" ht="13.5" hidden="1" outlineLevel="1">
      <c r="B69" s="845"/>
      <c r="C69" s="846"/>
      <c r="D69" s="846"/>
      <c r="E69" s="910" t="s">
        <v>907</v>
      </c>
      <c r="F69" s="846"/>
      <c r="G69" s="846"/>
      <c r="H69" s="848">
        <f>SUM(J69:AE69)</f>
        <v>432669.91143779905</v>
      </c>
      <c r="J69" s="848">
        <f t="shared" ref="J69:AE69" si="21">J53</f>
        <v>0</v>
      </c>
      <c r="K69" s="848">
        <f t="shared" si="21"/>
        <v>0</v>
      </c>
      <c r="L69" s="848">
        <f t="shared" si="21"/>
        <v>0</v>
      </c>
      <c r="M69" s="848">
        <f t="shared" si="21"/>
        <v>0</v>
      </c>
      <c r="N69" s="848">
        <f t="shared" si="21"/>
        <v>0</v>
      </c>
      <c r="O69" s="848">
        <f t="shared" si="21"/>
        <v>-652.61925893875832</v>
      </c>
      <c r="P69" s="848">
        <f t="shared" si="21"/>
        <v>-13275.272923045477</v>
      </c>
      <c r="Q69" s="848">
        <f t="shared" si="21"/>
        <v>-4540.8309796071462</v>
      </c>
      <c r="R69" s="848">
        <f t="shared" si="21"/>
        <v>-3772.2104685200857</v>
      </c>
      <c r="S69" s="848">
        <f t="shared" si="21"/>
        <v>-4243.4630396185048</v>
      </c>
      <c r="T69" s="848">
        <f t="shared" si="21"/>
        <v>-10263.465347692647</v>
      </c>
      <c r="U69" s="848">
        <f t="shared" si="21"/>
        <v>-967.66016749293522</v>
      </c>
      <c r="V69" s="848">
        <f t="shared" si="21"/>
        <v>690.81685672172898</v>
      </c>
      <c r="W69" s="848">
        <f t="shared" si="21"/>
        <v>-325.52194382869857</v>
      </c>
      <c r="X69" s="848">
        <f t="shared" si="21"/>
        <v>-5561.7997075814146</v>
      </c>
      <c r="Y69" s="848">
        <f t="shared" si="21"/>
        <v>2649.4098505163392</v>
      </c>
      <c r="Z69" s="848">
        <f t="shared" si="21"/>
        <v>4334.7400619142509</v>
      </c>
      <c r="AA69" s="848">
        <f t="shared" si="21"/>
        <v>3136.9072934286423</v>
      </c>
      <c r="AB69" s="848">
        <f t="shared" si="21"/>
        <v>4848.2830197982303</v>
      </c>
      <c r="AC69" s="848">
        <f t="shared" si="21"/>
        <v>3606.380161497641</v>
      </c>
      <c r="AD69" s="848">
        <f t="shared" si="21"/>
        <v>457006.2180302479</v>
      </c>
      <c r="AE69" s="848">
        <f t="shared" si="21"/>
        <v>0</v>
      </c>
      <c r="AF69" s="839"/>
      <c r="AG69" s="839"/>
      <c r="AH69" s="839"/>
      <c r="AI69" s="839"/>
      <c r="AJ69" s="839"/>
      <c r="AK69" s="839"/>
      <c r="AL69" s="839"/>
      <c r="AM69" s="839"/>
      <c r="AN69" s="839"/>
      <c r="AO69" s="839"/>
    </row>
    <row r="70" spans="2:41" s="833" customFormat="1" ht="13.5" hidden="1" outlineLevel="1">
      <c r="B70" s="845"/>
      <c r="C70" s="846"/>
      <c r="D70" s="846"/>
      <c r="E70" s="911" t="str">
        <f>E55</f>
        <v>자본잉여금의 이입</v>
      </c>
      <c r="F70" s="846"/>
      <c r="G70" s="846"/>
      <c r="H70" s="848">
        <f>SUM(J70:AE70)</f>
        <v>91674.843836325672</v>
      </c>
      <c r="J70" s="848">
        <f t="shared" ref="J70:AE70" si="22">J55</f>
        <v>0</v>
      </c>
      <c r="K70" s="848">
        <f t="shared" si="22"/>
        <v>0</v>
      </c>
      <c r="L70" s="848">
        <f t="shared" si="22"/>
        <v>0</v>
      </c>
      <c r="M70" s="848">
        <f t="shared" si="22"/>
        <v>0</v>
      </c>
      <c r="N70" s="848">
        <f t="shared" si="22"/>
        <v>0</v>
      </c>
      <c r="O70" s="848">
        <f t="shared" si="22"/>
        <v>5512.6192589387583</v>
      </c>
      <c r="P70" s="848">
        <f t="shared" si="22"/>
        <v>18135.272923045479</v>
      </c>
      <c r="Q70" s="848">
        <f t="shared" si="22"/>
        <v>9400.830979607148</v>
      </c>
      <c r="R70" s="848">
        <f t="shared" si="22"/>
        <v>8632.2104685200866</v>
      </c>
      <c r="S70" s="848">
        <f t="shared" si="22"/>
        <v>9103.4630396185057</v>
      </c>
      <c r="T70" s="848">
        <f t="shared" si="22"/>
        <v>16206.465347692647</v>
      </c>
      <c r="U70" s="848">
        <f t="shared" si="22"/>
        <v>6910.6601674929325</v>
      </c>
      <c r="V70" s="848">
        <f t="shared" si="22"/>
        <v>0</v>
      </c>
      <c r="W70" s="848">
        <f t="shared" si="22"/>
        <v>6268.5219438286977</v>
      </c>
      <c r="X70" s="848">
        <f t="shared" si="22"/>
        <v>11504.799707581416</v>
      </c>
      <c r="Y70" s="848">
        <f t="shared" si="22"/>
        <v>0</v>
      </c>
      <c r="Z70" s="848">
        <f t="shared" si="22"/>
        <v>0</v>
      </c>
      <c r="AA70" s="848">
        <f t="shared" si="22"/>
        <v>0</v>
      </c>
      <c r="AB70" s="848">
        <f t="shared" si="22"/>
        <v>0</v>
      </c>
      <c r="AC70" s="848">
        <f t="shared" si="22"/>
        <v>0</v>
      </c>
      <c r="AD70" s="848">
        <f t="shared" si="22"/>
        <v>0</v>
      </c>
      <c r="AE70" s="848">
        <f t="shared" si="22"/>
        <v>0</v>
      </c>
      <c r="AF70" s="839"/>
      <c r="AG70" s="839"/>
      <c r="AH70" s="839"/>
      <c r="AI70" s="839"/>
      <c r="AJ70" s="839"/>
      <c r="AK70" s="839"/>
      <c r="AL70" s="839"/>
      <c r="AM70" s="839"/>
      <c r="AN70" s="839"/>
      <c r="AO70" s="839"/>
    </row>
    <row r="71" spans="2:41" s="833" customFormat="1" ht="13.5" hidden="1" outlineLevel="1">
      <c r="B71" s="845"/>
      <c r="C71" s="846"/>
      <c r="D71" s="846"/>
      <c r="E71" s="846" t="s">
        <v>908</v>
      </c>
      <c r="F71" s="846"/>
      <c r="G71" s="846"/>
      <c r="H71" s="244"/>
      <c r="J71" s="244"/>
      <c r="K71" s="244"/>
      <c r="L71" s="244"/>
      <c r="M71" s="244"/>
      <c r="N71" s="244"/>
      <c r="O71" s="244"/>
      <c r="P71" s="244"/>
      <c r="Q71" s="244"/>
      <c r="R71" s="244"/>
      <c r="S71" s="244"/>
      <c r="T71" s="244"/>
      <c r="U71" s="244"/>
      <c r="V71" s="244"/>
      <c r="W71" s="244"/>
      <c r="X71" s="244"/>
      <c r="Y71" s="244"/>
      <c r="Z71" s="244"/>
      <c r="AA71" s="244"/>
      <c r="AB71" s="244"/>
      <c r="AC71" s="244"/>
      <c r="AD71" s="244"/>
      <c r="AE71" s="244"/>
      <c r="AF71" s="839"/>
      <c r="AG71" s="839"/>
      <c r="AH71" s="839"/>
      <c r="AI71" s="839"/>
      <c r="AJ71" s="839"/>
      <c r="AK71" s="839"/>
      <c r="AL71" s="839"/>
      <c r="AM71" s="839"/>
      <c r="AN71" s="839"/>
      <c r="AO71" s="839"/>
    </row>
    <row r="72" spans="2:41" s="833" customFormat="1" ht="13.5" hidden="1" outlineLevel="1">
      <c r="B72" s="845"/>
      <c r="C72" s="846"/>
      <c r="D72" s="846"/>
      <c r="E72" s="910" t="s">
        <v>909</v>
      </c>
      <c r="G72" s="846"/>
      <c r="H72" s="848">
        <f>SUM(J72:AE72)</f>
        <v>0</v>
      </c>
      <c r="J72" s="244">
        <f>J59</f>
        <v>0</v>
      </c>
      <c r="K72" s="244">
        <f>K59</f>
        <v>0</v>
      </c>
      <c r="L72" s="244">
        <f t="shared" ref="L72:AE72" si="23">L59</f>
        <v>0</v>
      </c>
      <c r="M72" s="244">
        <f t="shared" si="23"/>
        <v>0</v>
      </c>
      <c r="N72" s="244">
        <f t="shared" si="23"/>
        <v>0</v>
      </c>
      <c r="O72" s="244">
        <f t="shared" si="23"/>
        <v>0</v>
      </c>
      <c r="P72" s="244">
        <f t="shared" si="23"/>
        <v>0</v>
      </c>
      <c r="Q72" s="244">
        <f t="shared" si="23"/>
        <v>0</v>
      </c>
      <c r="R72" s="244">
        <f t="shared" si="23"/>
        <v>0</v>
      </c>
      <c r="S72" s="244">
        <f t="shared" si="23"/>
        <v>0</v>
      </c>
      <c r="T72" s="244">
        <f t="shared" si="23"/>
        <v>0</v>
      </c>
      <c r="U72" s="244">
        <f t="shared" si="23"/>
        <v>0</v>
      </c>
      <c r="V72" s="244">
        <f t="shared" si="23"/>
        <v>0</v>
      </c>
      <c r="W72" s="244">
        <f t="shared" si="23"/>
        <v>0</v>
      </c>
      <c r="X72" s="244">
        <f t="shared" si="23"/>
        <v>0</v>
      </c>
      <c r="Y72" s="244">
        <f t="shared" si="23"/>
        <v>0</v>
      </c>
      <c r="Z72" s="244">
        <f t="shared" si="23"/>
        <v>0</v>
      </c>
      <c r="AA72" s="244">
        <f t="shared" si="23"/>
        <v>0</v>
      </c>
      <c r="AB72" s="244">
        <f t="shared" si="23"/>
        <v>0</v>
      </c>
      <c r="AC72" s="244">
        <f t="shared" si="23"/>
        <v>0</v>
      </c>
      <c r="AD72" s="244">
        <f t="shared" si="23"/>
        <v>0</v>
      </c>
      <c r="AE72" s="244">
        <f t="shared" si="23"/>
        <v>0</v>
      </c>
      <c r="AF72" s="839"/>
      <c r="AG72" s="839"/>
      <c r="AH72" s="839"/>
      <c r="AI72" s="839"/>
      <c r="AJ72" s="839"/>
      <c r="AK72" s="839"/>
      <c r="AL72" s="839"/>
      <c r="AM72" s="839"/>
      <c r="AN72" s="839"/>
      <c r="AO72" s="839"/>
    </row>
    <row r="73" spans="2:41" s="833" customFormat="1" ht="13.5" hidden="1" outlineLevel="1">
      <c r="B73" s="845"/>
      <c r="C73" s="846"/>
      <c r="D73" s="846"/>
      <c r="E73" s="910" t="s">
        <v>910</v>
      </c>
      <c r="G73" s="846"/>
      <c r="H73" s="848">
        <f>SUM(J73:AE73)</f>
        <v>524344.75527412468</v>
      </c>
      <c r="J73" s="848">
        <f t="shared" ref="J73:AE73" si="24">(J$7&lt;$G$7)*(J67+SUM(J69:J70)-J72&gt;0)*(J67+SUM(J69:J70)-J72)+(J$7=$G$7)*(J67+SUM(J69:J70)-J72)</f>
        <v>0</v>
      </c>
      <c r="K73" s="848">
        <f t="shared" si="24"/>
        <v>0</v>
      </c>
      <c r="L73" s="848">
        <f t="shared" si="24"/>
        <v>0</v>
      </c>
      <c r="M73" s="848">
        <f t="shared" si="24"/>
        <v>0</v>
      </c>
      <c r="N73" s="848">
        <f t="shared" si="24"/>
        <v>0</v>
      </c>
      <c r="O73" s="848">
        <f t="shared" si="24"/>
        <v>4860</v>
      </c>
      <c r="P73" s="848">
        <f t="shared" si="24"/>
        <v>4860.0000000000018</v>
      </c>
      <c r="Q73" s="848">
        <f t="shared" si="24"/>
        <v>4860.0000000000018</v>
      </c>
      <c r="R73" s="848">
        <f t="shared" si="24"/>
        <v>4860.0000000000009</v>
      </c>
      <c r="S73" s="848">
        <f t="shared" si="24"/>
        <v>4860.0000000000009</v>
      </c>
      <c r="T73" s="848">
        <f t="shared" si="24"/>
        <v>5943</v>
      </c>
      <c r="U73" s="848">
        <f t="shared" si="24"/>
        <v>5942.9999999999973</v>
      </c>
      <c r="V73" s="848">
        <f t="shared" si="24"/>
        <v>690.81685672172898</v>
      </c>
      <c r="W73" s="848">
        <f t="shared" si="24"/>
        <v>5942.9999999999991</v>
      </c>
      <c r="X73" s="848">
        <f t="shared" si="24"/>
        <v>5943.0000000000018</v>
      </c>
      <c r="Y73" s="848">
        <f t="shared" si="24"/>
        <v>2649.4098505163392</v>
      </c>
      <c r="Z73" s="848">
        <f t="shared" si="24"/>
        <v>4334.7400619142509</v>
      </c>
      <c r="AA73" s="848">
        <f t="shared" si="24"/>
        <v>3136.9072934286423</v>
      </c>
      <c r="AB73" s="848">
        <f t="shared" si="24"/>
        <v>4848.2830197982303</v>
      </c>
      <c r="AC73" s="848">
        <f t="shared" si="24"/>
        <v>3606.380161497641</v>
      </c>
      <c r="AD73" s="848">
        <f t="shared" si="24"/>
        <v>457006.2180302479</v>
      </c>
      <c r="AE73" s="848">
        <f t="shared" si="24"/>
        <v>0</v>
      </c>
      <c r="AF73" s="839"/>
      <c r="AG73" s="839"/>
      <c r="AH73" s="839"/>
      <c r="AI73" s="839"/>
      <c r="AJ73" s="839"/>
      <c r="AK73" s="839"/>
      <c r="AL73" s="839"/>
      <c r="AM73" s="839"/>
      <c r="AN73" s="839"/>
      <c r="AO73" s="839"/>
    </row>
    <row r="74" spans="2:41" s="833" customFormat="1" ht="13.5" hidden="1" outlineLevel="1">
      <c r="B74" s="845"/>
      <c r="C74" s="846"/>
      <c r="D74" s="846"/>
      <c r="E74" s="846" t="s">
        <v>911</v>
      </c>
      <c r="F74" s="846"/>
      <c r="G74" s="846"/>
      <c r="H74" s="848">
        <f>SUM(J74:AE74)</f>
        <v>0</v>
      </c>
      <c r="J74" s="848">
        <f t="shared" ref="J74:AE74" si="25">J67+SUM(J69:J70)-SUM(J72:J73)</f>
        <v>0</v>
      </c>
      <c r="K74" s="848">
        <f t="shared" si="25"/>
        <v>0</v>
      </c>
      <c r="L74" s="848">
        <f t="shared" si="25"/>
        <v>0</v>
      </c>
      <c r="M74" s="848">
        <f t="shared" si="25"/>
        <v>0</v>
      </c>
      <c r="N74" s="848">
        <f t="shared" si="25"/>
        <v>0</v>
      </c>
      <c r="O74" s="848">
        <f t="shared" si="25"/>
        <v>0</v>
      </c>
      <c r="P74" s="848">
        <f t="shared" si="25"/>
        <v>0</v>
      </c>
      <c r="Q74" s="848">
        <f t="shared" si="25"/>
        <v>0</v>
      </c>
      <c r="R74" s="848">
        <f t="shared" si="25"/>
        <v>0</v>
      </c>
      <c r="S74" s="848">
        <f t="shared" si="25"/>
        <v>0</v>
      </c>
      <c r="T74" s="848">
        <f t="shared" si="25"/>
        <v>0</v>
      </c>
      <c r="U74" s="848">
        <f t="shared" si="25"/>
        <v>0</v>
      </c>
      <c r="V74" s="848">
        <f t="shared" si="25"/>
        <v>0</v>
      </c>
      <c r="W74" s="848">
        <f t="shared" si="25"/>
        <v>0</v>
      </c>
      <c r="X74" s="848">
        <f t="shared" si="25"/>
        <v>0</v>
      </c>
      <c r="Y74" s="848">
        <f t="shared" si="25"/>
        <v>0</v>
      </c>
      <c r="Z74" s="848">
        <f t="shared" si="25"/>
        <v>0</v>
      </c>
      <c r="AA74" s="848">
        <f t="shared" si="25"/>
        <v>0</v>
      </c>
      <c r="AB74" s="848">
        <f t="shared" si="25"/>
        <v>0</v>
      </c>
      <c r="AC74" s="848">
        <f t="shared" si="25"/>
        <v>0</v>
      </c>
      <c r="AD74" s="848">
        <f t="shared" si="25"/>
        <v>0</v>
      </c>
      <c r="AE74" s="848">
        <f t="shared" si="25"/>
        <v>0</v>
      </c>
      <c r="AF74" s="839"/>
      <c r="AG74" s="839"/>
      <c r="AH74" s="839"/>
      <c r="AI74" s="839"/>
      <c r="AJ74" s="839"/>
      <c r="AK74" s="839"/>
      <c r="AL74" s="839"/>
      <c r="AM74" s="839"/>
      <c r="AN74" s="839"/>
      <c r="AO74" s="839"/>
    </row>
    <row r="75" spans="2:41" s="833" customFormat="1" hidden="1" outlineLevel="1">
      <c r="B75" s="845"/>
      <c r="C75" s="846"/>
      <c r="D75" s="846"/>
      <c r="E75" s="846"/>
      <c r="F75" s="846"/>
      <c r="G75" s="846"/>
      <c r="H75" s="847"/>
      <c r="J75" s="251"/>
      <c r="K75" s="251"/>
      <c r="L75" s="251"/>
      <c r="M75" s="251"/>
      <c r="N75" s="251"/>
      <c r="O75" s="251"/>
      <c r="P75" s="251"/>
      <c r="Q75" s="251"/>
      <c r="R75" s="251"/>
      <c r="S75" s="251"/>
      <c r="T75" s="251"/>
      <c r="U75" s="251"/>
      <c r="V75" s="251"/>
      <c r="W75" s="251"/>
      <c r="X75" s="251"/>
      <c r="Y75" s="251"/>
      <c r="Z75" s="251"/>
      <c r="AA75" s="251"/>
      <c r="AB75" s="251"/>
      <c r="AC75" s="251"/>
      <c r="AD75" s="251"/>
      <c r="AE75" s="251"/>
      <c r="AF75" s="839"/>
      <c r="AG75" s="839"/>
      <c r="AH75" s="839"/>
      <c r="AI75" s="839"/>
      <c r="AJ75" s="839"/>
      <c r="AK75" s="839"/>
      <c r="AL75" s="839"/>
      <c r="AM75" s="839"/>
      <c r="AN75" s="839"/>
      <c r="AO75" s="839"/>
    </row>
    <row r="76" spans="2:41" s="833" customFormat="1" hidden="1" outlineLevel="1">
      <c r="B76" s="907"/>
      <c r="C76" s="908"/>
      <c r="D76" s="908"/>
      <c r="E76" s="908"/>
      <c r="F76" s="908"/>
      <c r="G76" s="908"/>
      <c r="H76" s="864"/>
      <c r="J76" s="865"/>
      <c r="K76" s="865"/>
      <c r="L76" s="865"/>
      <c r="M76" s="865"/>
      <c r="N76" s="865"/>
      <c r="O76" s="865"/>
      <c r="P76" s="865"/>
      <c r="Q76" s="865"/>
      <c r="R76" s="865"/>
      <c r="S76" s="865"/>
      <c r="T76" s="865"/>
      <c r="U76" s="865"/>
      <c r="V76" s="865"/>
      <c r="W76" s="865"/>
      <c r="X76" s="865"/>
      <c r="Y76" s="865"/>
      <c r="Z76" s="865"/>
      <c r="AA76" s="865"/>
      <c r="AB76" s="865"/>
      <c r="AC76" s="865"/>
      <c r="AD76" s="865"/>
      <c r="AE76" s="865"/>
      <c r="AF76" s="839"/>
      <c r="AG76" s="839"/>
      <c r="AH76" s="839"/>
      <c r="AI76" s="839"/>
      <c r="AJ76" s="839"/>
      <c r="AK76" s="839"/>
      <c r="AL76" s="839"/>
      <c r="AM76" s="839"/>
      <c r="AN76" s="839"/>
      <c r="AO76" s="839"/>
    </row>
    <row r="77" spans="2:41" s="833" customFormat="1" ht="13.5" hidden="1" outlineLevel="1">
      <c r="B77" s="845"/>
      <c r="C77" s="846"/>
      <c r="D77" s="846" t="s">
        <v>912</v>
      </c>
      <c r="E77" s="846"/>
      <c r="F77" s="846"/>
      <c r="G77" s="853"/>
      <c r="H77" s="244"/>
      <c r="I77" s="846"/>
      <c r="J77" s="244"/>
      <c r="K77" s="244"/>
      <c r="L77" s="244"/>
      <c r="M77" s="244"/>
      <c r="N77" s="244"/>
      <c r="O77" s="244"/>
      <c r="P77" s="244"/>
      <c r="Q77" s="244"/>
      <c r="R77" s="244"/>
      <c r="S77" s="244"/>
      <c r="T77" s="244"/>
      <c r="U77" s="244"/>
      <c r="V77" s="244"/>
      <c r="W77" s="244"/>
      <c r="X77" s="244"/>
      <c r="Y77" s="244"/>
      <c r="Z77" s="244"/>
      <c r="AA77" s="244"/>
      <c r="AB77" s="244"/>
      <c r="AC77" s="244"/>
      <c r="AD77" s="244"/>
      <c r="AE77" s="244"/>
      <c r="AF77" s="839"/>
      <c r="AG77" s="839"/>
      <c r="AH77" s="839"/>
      <c r="AI77" s="839"/>
      <c r="AJ77" s="839"/>
      <c r="AK77" s="839"/>
      <c r="AL77" s="839"/>
      <c r="AM77" s="839"/>
      <c r="AN77" s="839"/>
      <c r="AO77" s="839"/>
    </row>
    <row r="78" spans="2:41" s="833" customFormat="1" ht="13.5" hidden="1" outlineLevel="1">
      <c r="B78" s="845"/>
      <c r="C78" s="846"/>
      <c r="D78" s="846"/>
      <c r="E78" s="846" t="s">
        <v>913</v>
      </c>
      <c r="F78" s="846"/>
      <c r="G78" s="962"/>
      <c r="H78" s="244">
        <f>SUM(J78:AE78)</f>
        <v>0</v>
      </c>
      <c r="J78" s="244">
        <f>(ABS(MIN($G78/6,$G78-SUM($I78:I78)))&gt;0.0001)*MIN($G78/6,$G78-SUM($I78:I78))</f>
        <v>0</v>
      </c>
      <c r="K78" s="244">
        <f>(ABS(MIN($G78/6,$G78-SUM($I78:J78)))&gt;0.0001)*MIN($G78/6,$G78-SUM($I78:J78))</f>
        <v>0</v>
      </c>
      <c r="L78" s="244">
        <f>(ABS(MIN($G78/6,$G78-SUM($I78:K78)))&gt;0.0001)*MIN($G78/6,$G78-SUM($I78:K78))</f>
        <v>0</v>
      </c>
      <c r="M78" s="244">
        <f>(ABS(MIN($G78/6,$G78-SUM($I78:L78)))&gt;0.0001)*MIN($G78/6,$G78-SUM($I78:L78))</f>
        <v>0</v>
      </c>
      <c r="N78" s="244">
        <f>(ABS(MIN($G78/6,$G78-SUM($I78:M78)))&gt;0.0001)*MIN($G78/6,$G78-SUM($I78:M78))</f>
        <v>0</v>
      </c>
      <c r="O78" s="244">
        <f>(ABS(MIN($G78/6,$G78-SUM($I78:N78)))&gt;0.0001)*MIN($G78/6,$G78-SUM($I78:N78))</f>
        <v>0</v>
      </c>
      <c r="P78" s="244">
        <f>(ABS(MIN($G78/6,$G78-SUM($I78:O78)))&gt;0.0001)*MIN($G78/6,$G78-SUM($I78:O78))</f>
        <v>0</v>
      </c>
      <c r="Q78" s="244">
        <f>(ABS(MIN($G78/6,$G78-SUM($I78:P78)))&gt;0.0001)*MIN($G78/6,$G78-SUM($I78:P78))</f>
        <v>0</v>
      </c>
      <c r="R78" s="244">
        <f>(ABS(MIN($G78/6,$G78-SUM($I78:Q78)))&gt;0.0001)*MIN($G78/6,$G78-SUM($I78:Q78))</f>
        <v>0</v>
      </c>
      <c r="S78" s="244">
        <f>(ABS(MIN($G78/6,$G78-SUM($I78:R78)))&gt;0.0001)*MIN($G78/6,$G78-SUM($I78:R78))</f>
        <v>0</v>
      </c>
      <c r="T78" s="244">
        <f>(ABS(MIN($G78/6,$G78-SUM($I78:S78)))&gt;0.0001)*MIN($G78/6,$G78-SUM($I78:S78))</f>
        <v>0</v>
      </c>
      <c r="U78" s="244">
        <f>(ABS(MIN($G78/6,$G78-SUM($I78:T78)))&gt;0.0001)*MIN($G78/6,$G78-SUM($I78:T78))</f>
        <v>0</v>
      </c>
      <c r="V78" s="244">
        <f>(ABS(MIN($G78/6,$G78-SUM($I78:U78)))&gt;0.0001)*MIN($G78/6,$G78-SUM($I78:U78))</f>
        <v>0</v>
      </c>
      <c r="W78" s="244">
        <f>(ABS(MIN($G78/6,$G78-SUM($I78:V78)))&gt;0.0001)*MIN($G78/6,$G78-SUM($I78:V78))</f>
        <v>0</v>
      </c>
      <c r="X78" s="244">
        <f>(ABS(MIN($G78/6,$G78-SUM($I78:W78)))&gt;0.0001)*MIN($G78/6,$G78-SUM($I78:W78))</f>
        <v>0</v>
      </c>
      <c r="Y78" s="244">
        <f>(ABS(MIN($G78/6,$G78-SUM($I78:X78)))&gt;0.0001)*MIN($G78/6,$G78-SUM($I78:X78))</f>
        <v>0</v>
      </c>
      <c r="Z78" s="244">
        <f>(ABS(MIN($G78/6,$G78-SUM($I78:Y78)))&gt;0.0001)*MIN($G78/6,$G78-SUM($I78:Y78))</f>
        <v>0</v>
      </c>
      <c r="AA78" s="244">
        <f>(ABS(MIN($G78/6,$G78-SUM($I78:Z78)))&gt;0.0001)*MIN($G78/6,$G78-SUM($I78:Z78))</f>
        <v>0</v>
      </c>
      <c r="AB78" s="244">
        <f>(ABS(MIN($G78/6,$G78-SUM($I78:AA78)))&gt;0.0001)*MIN($G78/6,$G78-SUM($I78:AA78))</f>
        <v>0</v>
      </c>
      <c r="AC78" s="244">
        <f>(ABS(MIN($G78/6,$G78-SUM($I78:AB78)))&gt;0.0001)*MIN($G78/6,$G78-SUM($I78:AB78))</f>
        <v>0</v>
      </c>
      <c r="AD78" s="244">
        <f>(ABS(MIN($G78/6,$G78-SUM($I78:AC78)))&gt;0.0001)*MIN($G78/6,$G78-SUM($I78:AC78))</f>
        <v>0</v>
      </c>
      <c r="AE78" s="244">
        <f>(ABS(MIN($G78/6,$G78-SUM($I78:AD78)))&gt;0.0001)*MIN($G78/6,$G78-SUM($I78:AD78))</f>
        <v>0</v>
      </c>
      <c r="AF78" s="894"/>
      <c r="AG78" s="894"/>
      <c r="AH78" s="894"/>
      <c r="AI78" s="894"/>
      <c r="AJ78" s="894"/>
      <c r="AK78" s="894"/>
      <c r="AL78" s="894"/>
      <c r="AM78" s="894"/>
      <c r="AN78" s="894"/>
      <c r="AO78" s="894"/>
    </row>
    <row r="79" spans="2:41" s="833" customFormat="1" ht="13.5" hidden="1" outlineLevel="1">
      <c r="B79" s="845"/>
      <c r="C79" s="846"/>
      <c r="D79" s="846"/>
      <c r="E79" s="846" t="s">
        <v>914</v>
      </c>
      <c r="F79" s="853"/>
      <c r="G79" s="846"/>
      <c r="H79" s="244"/>
      <c r="J79" s="912">
        <v>44500</v>
      </c>
      <c r="K79" s="912">
        <v>44681</v>
      </c>
      <c r="L79" s="912">
        <v>44865</v>
      </c>
      <c r="M79" s="912">
        <v>45046</v>
      </c>
      <c r="N79" s="912">
        <v>45230</v>
      </c>
      <c r="O79" s="912">
        <v>45412</v>
      </c>
      <c r="P79" s="912">
        <v>45596</v>
      </c>
      <c r="Q79" s="912">
        <v>45777</v>
      </c>
      <c r="R79" s="912">
        <v>45961</v>
      </c>
      <c r="S79" s="912">
        <v>46142</v>
      </c>
      <c r="T79" s="912">
        <v>46326</v>
      </c>
      <c r="U79" s="912">
        <v>46507</v>
      </c>
      <c r="V79" s="912">
        <v>46691</v>
      </c>
      <c r="W79" s="912">
        <v>46873</v>
      </c>
      <c r="X79" s="912">
        <v>47057</v>
      </c>
      <c r="Y79" s="912">
        <v>47238</v>
      </c>
      <c r="Z79" s="912">
        <v>47422</v>
      </c>
      <c r="AA79" s="912">
        <v>47603</v>
      </c>
      <c r="AB79" s="912">
        <v>47787</v>
      </c>
      <c r="AC79" s="912">
        <v>47968</v>
      </c>
      <c r="AD79" s="912">
        <v>48029</v>
      </c>
      <c r="AE79" s="912">
        <v>0</v>
      </c>
      <c r="AF79" s="839"/>
      <c r="AG79" s="839"/>
      <c r="AH79" s="839"/>
      <c r="AI79" s="839"/>
      <c r="AJ79" s="839"/>
      <c r="AK79" s="839"/>
      <c r="AL79" s="839"/>
      <c r="AM79" s="839"/>
      <c r="AN79" s="839"/>
      <c r="AO79" s="839"/>
    </row>
    <row r="80" spans="2:41" s="833" customFormat="1" ht="13.5" hidden="1" outlineLevel="1">
      <c r="B80" s="845"/>
      <c r="C80" s="846"/>
      <c r="D80" s="846"/>
      <c r="E80" s="846" t="s">
        <v>2109</v>
      </c>
      <c r="F80" s="846"/>
      <c r="G80" s="846"/>
      <c r="H80" s="244"/>
      <c r="J80" s="912">
        <v>44592</v>
      </c>
      <c r="K80" s="912">
        <v>44773</v>
      </c>
      <c r="L80" s="912">
        <v>44957</v>
      </c>
      <c r="M80" s="912">
        <v>45138</v>
      </c>
      <c r="N80" s="912">
        <v>45322</v>
      </c>
      <c r="O80" s="912">
        <v>45504</v>
      </c>
      <c r="P80" s="912">
        <v>45688</v>
      </c>
      <c r="Q80" s="912">
        <v>45869</v>
      </c>
      <c r="R80" s="912">
        <v>46053</v>
      </c>
      <c r="S80" s="912">
        <v>46234</v>
      </c>
      <c r="T80" s="912">
        <v>46418</v>
      </c>
      <c r="U80" s="912">
        <v>46599</v>
      </c>
      <c r="V80" s="912">
        <v>46783</v>
      </c>
      <c r="W80" s="912">
        <v>46965</v>
      </c>
      <c r="X80" s="912">
        <v>47149</v>
      </c>
      <c r="Y80" s="912">
        <v>47330</v>
      </c>
      <c r="Z80" s="912">
        <v>47514</v>
      </c>
      <c r="AA80" s="912">
        <v>47695</v>
      </c>
      <c r="AB80" s="912">
        <v>47879</v>
      </c>
      <c r="AC80" s="912">
        <v>48029</v>
      </c>
      <c r="AD80" s="912">
        <v>48029</v>
      </c>
      <c r="AE80" s="912">
        <v>0</v>
      </c>
      <c r="AF80" s="839"/>
      <c r="AG80" s="839"/>
      <c r="AH80" s="839"/>
      <c r="AI80" s="839"/>
      <c r="AJ80" s="839"/>
      <c r="AK80" s="839"/>
      <c r="AL80" s="839"/>
      <c r="AM80" s="839"/>
      <c r="AN80" s="839"/>
      <c r="AO80" s="839"/>
    </row>
    <row r="81" spans="2:41" s="833" customFormat="1" hidden="1" outlineLevel="1">
      <c r="B81" s="860"/>
      <c r="C81" s="861"/>
      <c r="D81" s="861"/>
      <c r="E81" s="861"/>
      <c r="F81" s="861"/>
      <c r="G81" s="861"/>
      <c r="H81" s="909"/>
      <c r="J81" s="255"/>
      <c r="K81" s="255"/>
      <c r="L81" s="255"/>
      <c r="M81" s="255"/>
      <c r="N81" s="255"/>
      <c r="O81" s="255"/>
      <c r="P81" s="255"/>
      <c r="Q81" s="255"/>
      <c r="R81" s="255"/>
      <c r="S81" s="255"/>
      <c r="T81" s="255"/>
      <c r="U81" s="255"/>
      <c r="V81" s="255"/>
      <c r="W81" s="255"/>
      <c r="X81" s="255"/>
      <c r="Y81" s="255"/>
      <c r="Z81" s="255"/>
      <c r="AA81" s="255"/>
      <c r="AB81" s="255"/>
      <c r="AC81" s="255"/>
      <c r="AD81" s="255"/>
      <c r="AE81" s="255"/>
      <c r="AF81" s="839"/>
      <c r="AG81" s="839"/>
      <c r="AH81" s="839"/>
      <c r="AI81" s="839"/>
      <c r="AJ81" s="839"/>
      <c r="AK81" s="839"/>
      <c r="AL81" s="839"/>
      <c r="AM81" s="839"/>
      <c r="AN81" s="839"/>
      <c r="AO81" s="839"/>
    </row>
    <row r="82" spans="2:41" s="833" customFormat="1" hidden="1" outlineLevel="1">
      <c r="B82" s="908"/>
      <c r="C82" s="908"/>
      <c r="D82" s="908"/>
      <c r="E82" s="908"/>
      <c r="F82" s="908"/>
      <c r="G82" s="913"/>
      <c r="H82" s="908"/>
      <c r="J82" s="908"/>
      <c r="K82" s="908"/>
      <c r="L82" s="908"/>
      <c r="M82" s="908"/>
      <c r="N82" s="908"/>
      <c r="O82" s="908"/>
      <c r="P82" s="908"/>
      <c r="Q82" s="908"/>
      <c r="R82" s="908"/>
      <c r="S82" s="908"/>
      <c r="T82" s="908"/>
      <c r="U82" s="908"/>
      <c r="V82" s="908"/>
      <c r="W82" s="908"/>
      <c r="X82" s="908"/>
      <c r="Y82" s="908"/>
      <c r="Z82" s="908"/>
      <c r="AA82" s="908"/>
      <c r="AB82" s="908"/>
      <c r="AC82" s="908"/>
      <c r="AD82" s="908"/>
      <c r="AE82" s="908"/>
      <c r="AF82" s="839"/>
      <c r="AG82" s="839"/>
      <c r="AH82" s="839"/>
      <c r="AI82" s="839"/>
      <c r="AJ82" s="839"/>
      <c r="AK82" s="839"/>
      <c r="AL82" s="839"/>
      <c r="AM82" s="839"/>
      <c r="AN82" s="839"/>
      <c r="AO82" s="839"/>
    </row>
    <row r="83" spans="2:41" s="833" customFormat="1" ht="13.5" collapsed="1" thickBot="1">
      <c r="B83" s="914"/>
      <c r="C83" s="914"/>
      <c r="D83" s="914"/>
      <c r="E83" s="914"/>
      <c r="F83" s="914"/>
      <c r="G83" s="256"/>
      <c r="H83" s="914"/>
      <c r="I83" s="914"/>
      <c r="J83" s="914"/>
      <c r="K83" s="914"/>
      <c r="L83" s="914"/>
      <c r="M83" s="914"/>
      <c r="N83" s="914"/>
      <c r="O83" s="914"/>
      <c r="P83" s="914"/>
      <c r="Q83" s="914"/>
      <c r="R83" s="914"/>
      <c r="S83" s="914"/>
      <c r="T83" s="914"/>
      <c r="U83" s="914"/>
      <c r="V83" s="914"/>
      <c r="W83" s="914"/>
      <c r="X83" s="914"/>
      <c r="Y83" s="914"/>
      <c r="Z83" s="914"/>
      <c r="AA83" s="914"/>
      <c r="AB83" s="914"/>
      <c r="AC83" s="914"/>
      <c r="AD83" s="914"/>
      <c r="AE83" s="914"/>
      <c r="AF83" s="839"/>
      <c r="AG83" s="839"/>
      <c r="AH83" s="839"/>
      <c r="AI83" s="839"/>
      <c r="AJ83" s="839"/>
      <c r="AK83" s="839"/>
      <c r="AL83" s="839"/>
      <c r="AM83" s="839"/>
      <c r="AN83" s="839"/>
      <c r="AO83" s="839"/>
    </row>
    <row r="84" spans="2:41" s="833" customFormat="1">
      <c r="B84" s="846"/>
      <c r="C84" s="846"/>
      <c r="D84" s="846"/>
      <c r="E84" s="846"/>
      <c r="F84" s="846"/>
      <c r="G84" s="257"/>
      <c r="H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39"/>
      <c r="AG84" s="839"/>
      <c r="AH84" s="839"/>
      <c r="AI84" s="839"/>
      <c r="AJ84" s="839"/>
      <c r="AK84" s="839"/>
      <c r="AL84" s="839"/>
      <c r="AM84" s="839"/>
      <c r="AN84" s="839"/>
      <c r="AO84" s="839"/>
    </row>
    <row r="85" spans="2:41" s="833" customFormat="1">
      <c r="B85" s="907"/>
      <c r="C85" s="908"/>
      <c r="D85" s="908"/>
      <c r="E85" s="908"/>
      <c r="F85" s="908"/>
      <c r="G85" s="913"/>
      <c r="H85" s="915"/>
      <c r="J85" s="915"/>
      <c r="K85" s="915"/>
      <c r="L85" s="915"/>
      <c r="M85" s="915"/>
      <c r="N85" s="915"/>
      <c r="O85" s="915"/>
      <c r="P85" s="915"/>
      <c r="Q85" s="915"/>
      <c r="R85" s="915"/>
      <c r="S85" s="915"/>
      <c r="T85" s="915"/>
      <c r="U85" s="915"/>
      <c r="V85" s="915"/>
      <c r="W85" s="915"/>
      <c r="X85" s="915"/>
      <c r="Y85" s="915"/>
      <c r="Z85" s="915"/>
      <c r="AA85" s="915"/>
      <c r="AB85" s="915"/>
      <c r="AC85" s="915"/>
      <c r="AD85" s="915"/>
      <c r="AE85" s="915"/>
      <c r="AF85" s="839"/>
      <c r="AG85" s="839"/>
      <c r="AH85" s="839"/>
      <c r="AI85" s="839"/>
      <c r="AJ85" s="839"/>
      <c r="AK85" s="839"/>
      <c r="AL85" s="839"/>
      <c r="AM85" s="839"/>
      <c r="AN85" s="839"/>
      <c r="AO85" s="839"/>
    </row>
    <row r="86" spans="2:41" s="833" customFormat="1" ht="13.5">
      <c r="B86" s="845"/>
      <c r="C86" s="846"/>
      <c r="D86" s="841" t="s">
        <v>2110</v>
      </c>
      <c r="E86" s="846"/>
      <c r="F86" s="846"/>
      <c r="G86" s="257"/>
      <c r="H86" s="916"/>
      <c r="J86" s="916"/>
      <c r="K86" s="916"/>
      <c r="L86" s="916"/>
      <c r="M86" s="916"/>
      <c r="N86" s="916"/>
      <c r="O86" s="916"/>
      <c r="P86" s="916"/>
      <c r="Q86" s="916"/>
      <c r="R86" s="916"/>
      <c r="S86" s="916"/>
      <c r="T86" s="916"/>
      <c r="U86" s="916"/>
      <c r="V86" s="916"/>
      <c r="W86" s="916"/>
      <c r="X86" s="916"/>
      <c r="Y86" s="916"/>
      <c r="Z86" s="916"/>
      <c r="AA86" s="916"/>
      <c r="AB86" s="916"/>
      <c r="AC86" s="916"/>
      <c r="AD86" s="916"/>
      <c r="AE86" s="916"/>
      <c r="AF86" s="839"/>
      <c r="AG86" s="839"/>
      <c r="AH86" s="839"/>
      <c r="AI86" s="839"/>
      <c r="AJ86" s="839"/>
      <c r="AK86" s="839"/>
      <c r="AL86" s="839"/>
      <c r="AM86" s="839"/>
      <c r="AN86" s="839"/>
      <c r="AO86" s="839"/>
    </row>
    <row r="87" spans="2:41" s="833" customFormat="1">
      <c r="B87" s="845"/>
      <c r="C87" s="846"/>
      <c r="D87" s="846"/>
      <c r="E87" s="846"/>
      <c r="F87" s="846"/>
      <c r="G87" s="257"/>
      <c r="H87" s="916"/>
      <c r="J87" s="916"/>
      <c r="K87" s="916"/>
      <c r="L87" s="916"/>
      <c r="M87" s="916"/>
      <c r="N87" s="916"/>
      <c r="O87" s="916"/>
      <c r="P87" s="916"/>
      <c r="Q87" s="916"/>
      <c r="R87" s="916"/>
      <c r="S87" s="916"/>
      <c r="T87" s="916"/>
      <c r="U87" s="916"/>
      <c r="V87" s="916"/>
      <c r="W87" s="916"/>
      <c r="X87" s="916"/>
      <c r="Y87" s="916"/>
      <c r="Z87" s="916"/>
      <c r="AA87" s="916"/>
      <c r="AB87" s="916"/>
      <c r="AC87" s="916"/>
      <c r="AD87" s="916"/>
      <c r="AE87" s="916"/>
      <c r="AF87" s="839"/>
      <c r="AG87" s="839"/>
      <c r="AH87" s="839"/>
      <c r="AI87" s="839"/>
      <c r="AJ87" s="839"/>
      <c r="AK87" s="839"/>
      <c r="AL87" s="839"/>
      <c r="AM87" s="839"/>
      <c r="AN87" s="839"/>
      <c r="AO87" s="839"/>
    </row>
    <row r="88" spans="2:41" s="833" customFormat="1" ht="13.5">
      <c r="B88" s="845"/>
      <c r="C88" s="846"/>
      <c r="D88" s="846"/>
      <c r="E88" s="846" t="s">
        <v>2107</v>
      </c>
      <c r="F88" s="846"/>
      <c r="G88" s="846"/>
      <c r="H88" s="848">
        <f>SUM(J88:AE88)</f>
        <v>558608.53422372055</v>
      </c>
      <c r="J88" s="848">
        <f t="shared" ref="J88:AE88" si="26">SUM(J19:J19)</f>
        <v>0</v>
      </c>
      <c r="K88" s="848">
        <f t="shared" si="26"/>
        <v>0</v>
      </c>
      <c r="L88" s="848">
        <f t="shared" si="26"/>
        <v>0</v>
      </c>
      <c r="M88" s="848">
        <f t="shared" si="26"/>
        <v>0</v>
      </c>
      <c r="N88" s="848">
        <f t="shared" si="26"/>
        <v>0</v>
      </c>
      <c r="O88" s="848">
        <f t="shared" si="26"/>
        <v>4860</v>
      </c>
      <c r="P88" s="848">
        <f t="shared" si="26"/>
        <v>4860.0000000000018</v>
      </c>
      <c r="Q88" s="848">
        <f t="shared" si="26"/>
        <v>4860.0000000000018</v>
      </c>
      <c r="R88" s="848">
        <f t="shared" si="26"/>
        <v>4860.0000000000009</v>
      </c>
      <c r="S88" s="848">
        <f t="shared" si="26"/>
        <v>4860.0000000000009</v>
      </c>
      <c r="T88" s="848">
        <f t="shared" si="26"/>
        <v>5943</v>
      </c>
      <c r="U88" s="848">
        <f t="shared" si="26"/>
        <v>5942.9999999999973</v>
      </c>
      <c r="V88" s="848">
        <f t="shared" si="26"/>
        <v>6100.8872171842295</v>
      </c>
      <c r="W88" s="848">
        <f t="shared" si="26"/>
        <v>5942.9999999999991</v>
      </c>
      <c r="X88" s="848">
        <f t="shared" si="26"/>
        <v>5943.0000000000018</v>
      </c>
      <c r="Y88" s="848">
        <f t="shared" si="26"/>
        <v>8059.4802109788398</v>
      </c>
      <c r="Z88" s="848">
        <f t="shared" si="26"/>
        <v>9744.8104223767514</v>
      </c>
      <c r="AA88" s="848">
        <f t="shared" si="26"/>
        <v>8546.9776538911428</v>
      </c>
      <c r="AB88" s="848">
        <f t="shared" si="26"/>
        <v>10258.353380260731</v>
      </c>
      <c r="AC88" s="848">
        <f t="shared" si="26"/>
        <v>9016.4505219601415</v>
      </c>
      <c r="AD88" s="848">
        <f t="shared" si="26"/>
        <v>458809.5748170687</v>
      </c>
      <c r="AE88" s="848">
        <f t="shared" si="26"/>
        <v>0</v>
      </c>
      <c r="AF88" s="839"/>
      <c r="AG88" s="839"/>
      <c r="AH88" s="839"/>
      <c r="AI88" s="839"/>
      <c r="AJ88" s="839"/>
      <c r="AK88" s="839"/>
      <c r="AL88" s="839"/>
      <c r="AM88" s="839"/>
      <c r="AN88" s="839"/>
      <c r="AO88" s="839"/>
    </row>
    <row r="89" spans="2:41" s="833" customFormat="1" ht="13.5">
      <c r="B89" s="845"/>
      <c r="C89" s="846"/>
      <c r="D89" s="846"/>
      <c r="E89" s="852" t="s">
        <v>2111</v>
      </c>
      <c r="F89" s="846"/>
      <c r="G89" s="917">
        <f>(ABS(H89+H90-H88)&gt;0.0001)*(H89+H90-H88)</f>
        <v>0</v>
      </c>
      <c r="H89" s="848">
        <f>SUM(J89:AE89)</f>
        <v>103340.58979366333</v>
      </c>
      <c r="I89" s="856"/>
      <c r="J89" s="848">
        <f>J167*(J167&gt;0)</f>
        <v>0</v>
      </c>
      <c r="K89" s="848">
        <f t="shared" ref="K89:AE89" si="27">K167*(K167&gt;0)</f>
        <v>0</v>
      </c>
      <c r="L89" s="848">
        <f t="shared" si="27"/>
        <v>0</v>
      </c>
      <c r="M89" s="848">
        <f t="shared" si="27"/>
        <v>0</v>
      </c>
      <c r="N89" s="848">
        <f t="shared" si="27"/>
        <v>0</v>
      </c>
      <c r="O89" s="2368">
        <f t="shared" si="27"/>
        <v>4860</v>
      </c>
      <c r="P89" s="2368">
        <f t="shared" si="27"/>
        <v>4860</v>
      </c>
      <c r="Q89" s="2368">
        <f t="shared" si="27"/>
        <v>4860.0000000000009</v>
      </c>
      <c r="R89" s="2368">
        <f t="shared" si="27"/>
        <v>4860.0000000000009</v>
      </c>
      <c r="S89" s="2368">
        <f t="shared" si="27"/>
        <v>4860.0000000000009</v>
      </c>
      <c r="T89" s="2368">
        <f t="shared" si="27"/>
        <v>5943</v>
      </c>
      <c r="U89" s="2368">
        <f t="shared" si="27"/>
        <v>5943</v>
      </c>
      <c r="V89" s="2368">
        <f t="shared" si="27"/>
        <v>6100.8872171842304</v>
      </c>
      <c r="W89" s="2368">
        <f t="shared" si="27"/>
        <v>5943</v>
      </c>
      <c r="X89" s="2368">
        <f t="shared" si="27"/>
        <v>5943.0000000000009</v>
      </c>
      <c r="Y89" s="2368">
        <f t="shared" si="27"/>
        <v>8059.4802109788416</v>
      </c>
      <c r="Z89" s="2368">
        <f t="shared" si="27"/>
        <v>9744.8104223767532</v>
      </c>
      <c r="AA89" s="2368">
        <f t="shared" si="27"/>
        <v>8546.9776538911428</v>
      </c>
      <c r="AB89" s="2368">
        <f t="shared" si="27"/>
        <v>10258.353380260729</v>
      </c>
      <c r="AC89" s="2368">
        <f t="shared" si="27"/>
        <v>9016.4505219601433</v>
      </c>
      <c r="AD89" s="2368">
        <f t="shared" si="27"/>
        <v>3541.6303870114962</v>
      </c>
      <c r="AE89" s="848">
        <f t="shared" si="27"/>
        <v>0</v>
      </c>
      <c r="AF89" s="839"/>
      <c r="AG89" s="839"/>
      <c r="AH89" s="839"/>
      <c r="AI89" s="839"/>
      <c r="AJ89" s="839"/>
      <c r="AK89" s="839"/>
      <c r="AL89" s="839"/>
      <c r="AM89" s="839"/>
      <c r="AN89" s="839"/>
      <c r="AO89" s="839"/>
    </row>
    <row r="90" spans="2:41" s="833" customFormat="1" ht="13.5">
      <c r="B90" s="845"/>
      <c r="C90" s="846"/>
      <c r="D90" s="846"/>
      <c r="E90" s="852" t="s">
        <v>2112</v>
      </c>
      <c r="F90" s="846"/>
      <c r="G90" s="258">
        <v>0</v>
      </c>
      <c r="H90" s="848">
        <f>SUM(J90:AE90)</f>
        <v>455267.94443005719</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455267.94443005719</v>
      </c>
      <c r="AE90" s="848">
        <v>0</v>
      </c>
      <c r="AF90" s="839"/>
      <c r="AG90" s="839"/>
      <c r="AH90" s="839"/>
      <c r="AI90" s="839"/>
      <c r="AJ90" s="839"/>
      <c r="AK90" s="839"/>
      <c r="AL90" s="839"/>
      <c r="AM90" s="839"/>
      <c r="AN90" s="839"/>
      <c r="AO90" s="839"/>
    </row>
    <row r="91" spans="2:41" s="833" customFormat="1">
      <c r="B91" s="860"/>
      <c r="C91" s="861"/>
      <c r="D91" s="861"/>
      <c r="E91" s="861"/>
      <c r="F91" s="861"/>
      <c r="G91" s="259"/>
      <c r="H91" s="918"/>
      <c r="J91" s="918"/>
      <c r="K91" s="918"/>
      <c r="L91" s="918"/>
      <c r="M91" s="918"/>
      <c r="N91" s="918"/>
      <c r="O91" s="918"/>
      <c r="P91" s="918"/>
      <c r="Q91" s="918"/>
      <c r="R91" s="918"/>
      <c r="S91" s="918"/>
      <c r="T91" s="918"/>
      <c r="U91" s="918"/>
      <c r="V91" s="918"/>
      <c r="W91" s="918"/>
      <c r="X91" s="918"/>
      <c r="Y91" s="918"/>
      <c r="Z91" s="918"/>
      <c r="AA91" s="918"/>
      <c r="AB91" s="918"/>
      <c r="AC91" s="918"/>
      <c r="AD91" s="918"/>
      <c r="AE91" s="918"/>
      <c r="AF91" s="839"/>
      <c r="AG91" s="839"/>
      <c r="AH91" s="839"/>
      <c r="AI91" s="839"/>
      <c r="AJ91" s="839"/>
      <c r="AK91" s="839"/>
      <c r="AL91" s="839"/>
      <c r="AM91" s="839"/>
      <c r="AN91" s="839"/>
      <c r="AO91" s="839"/>
    </row>
    <row r="92" spans="2:41" s="833" customFormat="1" ht="13.5" hidden="1" outlineLevel="1">
      <c r="B92" s="907"/>
      <c r="C92" s="908"/>
      <c r="D92" s="908"/>
      <c r="E92" s="863" t="s">
        <v>2113</v>
      </c>
      <c r="F92" s="908"/>
      <c r="G92" s="908"/>
      <c r="H92" s="864"/>
      <c r="J92" s="865"/>
      <c r="K92" s="865"/>
      <c r="L92" s="865"/>
      <c r="M92" s="865"/>
      <c r="N92" s="865"/>
      <c r="O92" s="865"/>
      <c r="P92" s="865"/>
      <c r="Q92" s="865"/>
      <c r="R92" s="865"/>
      <c r="S92" s="865"/>
      <c r="T92" s="865"/>
      <c r="U92" s="865"/>
      <c r="V92" s="865"/>
      <c r="W92" s="865"/>
      <c r="X92" s="865"/>
      <c r="Y92" s="865"/>
      <c r="Z92" s="865"/>
      <c r="AA92" s="865"/>
      <c r="AB92" s="865"/>
      <c r="AC92" s="865"/>
      <c r="AD92" s="865"/>
      <c r="AE92" s="865"/>
      <c r="AF92" s="839"/>
      <c r="AG92" s="839"/>
      <c r="AH92" s="839"/>
      <c r="AI92" s="839"/>
      <c r="AJ92" s="839"/>
      <c r="AK92" s="839"/>
      <c r="AL92" s="839"/>
      <c r="AM92" s="839"/>
      <c r="AN92" s="839"/>
      <c r="AO92" s="839"/>
    </row>
    <row r="93" spans="2:41" s="833" customFormat="1" ht="13.5" hidden="1" outlineLevel="1">
      <c r="B93" s="845"/>
      <c r="C93" s="846"/>
      <c r="D93" s="846"/>
      <c r="E93" s="919" t="s">
        <v>2114</v>
      </c>
      <c r="F93" s="920"/>
      <c r="G93" s="260"/>
      <c r="H93" s="921">
        <f>SUM(J93:AE93)</f>
        <v>0</v>
      </c>
      <c r="I93" s="922"/>
      <c r="J93" s="921">
        <v>0</v>
      </c>
      <c r="K93" s="921">
        <v>0</v>
      </c>
      <c r="L93" s="921">
        <v>0</v>
      </c>
      <c r="M93" s="921">
        <v>0</v>
      </c>
      <c r="N93" s="921">
        <v>0</v>
      </c>
      <c r="O93" s="921">
        <v>0</v>
      </c>
      <c r="P93" s="921">
        <v>0</v>
      </c>
      <c r="Q93" s="921">
        <v>0</v>
      </c>
      <c r="R93" s="921">
        <v>0</v>
      </c>
      <c r="S93" s="921">
        <v>0</v>
      </c>
      <c r="T93" s="921">
        <v>0</v>
      </c>
      <c r="U93" s="921">
        <v>0</v>
      </c>
      <c r="V93" s="921">
        <v>0</v>
      </c>
      <c r="W93" s="921">
        <v>0</v>
      </c>
      <c r="X93" s="921">
        <v>0</v>
      </c>
      <c r="Y93" s="921">
        <v>0</v>
      </c>
      <c r="Z93" s="921">
        <v>0</v>
      </c>
      <c r="AA93" s="921">
        <v>0</v>
      </c>
      <c r="AB93" s="921">
        <v>0</v>
      </c>
      <c r="AC93" s="921">
        <v>0</v>
      </c>
      <c r="AD93" s="921">
        <v>0</v>
      </c>
      <c r="AE93" s="921">
        <v>0</v>
      </c>
      <c r="AF93" s="839"/>
      <c r="AG93" s="839"/>
      <c r="AH93" s="839"/>
      <c r="AI93" s="839"/>
      <c r="AJ93" s="839"/>
      <c r="AK93" s="839"/>
      <c r="AL93" s="839"/>
      <c r="AM93" s="839"/>
      <c r="AN93" s="839"/>
      <c r="AO93" s="839"/>
    </row>
    <row r="94" spans="2:41" s="833" customFormat="1" ht="13.5" hidden="1" outlineLevel="1">
      <c r="B94" s="845"/>
      <c r="C94" s="846"/>
      <c r="D94" s="846"/>
      <c r="E94" s="919" t="s">
        <v>2115</v>
      </c>
      <c r="F94" s="920"/>
      <c r="G94" s="260"/>
      <c r="H94" s="921">
        <f>SUM(J94:AE94)</f>
        <v>0</v>
      </c>
      <c r="I94" s="922"/>
      <c r="J94" s="921">
        <v>0</v>
      </c>
      <c r="K94" s="921">
        <v>0</v>
      </c>
      <c r="L94" s="921">
        <v>0</v>
      </c>
      <c r="M94" s="921">
        <v>0</v>
      </c>
      <c r="N94" s="921">
        <v>0</v>
      </c>
      <c r="O94" s="921">
        <v>0</v>
      </c>
      <c r="P94" s="921">
        <v>0</v>
      </c>
      <c r="Q94" s="921">
        <v>0</v>
      </c>
      <c r="R94" s="921">
        <v>0</v>
      </c>
      <c r="S94" s="921">
        <v>0</v>
      </c>
      <c r="T94" s="921">
        <v>0</v>
      </c>
      <c r="U94" s="921">
        <v>0</v>
      </c>
      <c r="V94" s="921">
        <v>0</v>
      </c>
      <c r="W94" s="921">
        <v>0</v>
      </c>
      <c r="X94" s="921">
        <v>0</v>
      </c>
      <c r="Y94" s="921">
        <v>0</v>
      </c>
      <c r="Z94" s="921">
        <v>0</v>
      </c>
      <c r="AA94" s="921">
        <v>0</v>
      </c>
      <c r="AB94" s="921">
        <v>0</v>
      </c>
      <c r="AC94" s="921">
        <v>0</v>
      </c>
      <c r="AD94" s="921">
        <v>0</v>
      </c>
      <c r="AE94" s="921">
        <v>0</v>
      </c>
      <c r="AF94" s="839"/>
      <c r="AG94" s="839"/>
      <c r="AH94" s="839"/>
      <c r="AI94" s="839"/>
      <c r="AJ94" s="839"/>
      <c r="AK94" s="839"/>
      <c r="AL94" s="839"/>
      <c r="AM94" s="839"/>
      <c r="AN94" s="839"/>
      <c r="AO94" s="839"/>
    </row>
    <row r="95" spans="2:41" s="833" customFormat="1" ht="13.5" hidden="1" outlineLevel="1">
      <c r="B95" s="845"/>
      <c r="C95" s="846"/>
      <c r="D95" s="846"/>
      <c r="E95" s="923"/>
      <c r="F95" s="924"/>
      <c r="G95" s="261"/>
      <c r="H95" s="848"/>
      <c r="J95" s="848"/>
      <c r="K95" s="848"/>
      <c r="L95" s="848"/>
      <c r="M95" s="848"/>
      <c r="N95" s="848"/>
      <c r="O95" s="848"/>
      <c r="P95" s="848"/>
      <c r="Q95" s="848"/>
      <c r="R95" s="848"/>
      <c r="S95" s="848"/>
      <c r="T95" s="848"/>
      <c r="U95" s="848"/>
      <c r="V95" s="848"/>
      <c r="W95" s="848"/>
      <c r="X95" s="848"/>
      <c r="Y95" s="848"/>
      <c r="Z95" s="848"/>
      <c r="AA95" s="848"/>
      <c r="AB95" s="848"/>
      <c r="AC95" s="848"/>
      <c r="AD95" s="848"/>
      <c r="AE95" s="848"/>
      <c r="AF95" s="894"/>
      <c r="AG95" s="894"/>
      <c r="AH95" s="894"/>
      <c r="AI95" s="894"/>
      <c r="AJ95" s="894"/>
      <c r="AK95" s="894"/>
      <c r="AL95" s="894"/>
      <c r="AM95" s="894"/>
      <c r="AN95" s="894"/>
      <c r="AO95" s="894"/>
    </row>
    <row r="96" spans="2:41" s="833" customFormat="1" ht="13.5" collapsed="1">
      <c r="B96" s="845"/>
      <c r="C96" s="857" t="s">
        <v>2116</v>
      </c>
      <c r="D96" s="852" t="s">
        <v>2117</v>
      </c>
      <c r="F96" s="846"/>
      <c r="G96" s="815">
        <f>(ABS(H96-H89)&gt;0.0001)*(H96-H89)</f>
        <v>0</v>
      </c>
      <c r="H96" s="848">
        <f>SUM(J96:AE96)</f>
        <v>103340.58979366333</v>
      </c>
      <c r="J96" s="848">
        <f>(J89&gt;0)*J89</f>
        <v>0</v>
      </c>
      <c r="K96" s="848">
        <f>(K89&gt;0)*K89</f>
        <v>0</v>
      </c>
      <c r="L96" s="848">
        <f t="shared" ref="L96:AE96" si="28">(L89&gt;0)*L89</f>
        <v>0</v>
      </c>
      <c r="M96" s="848">
        <f t="shared" si="28"/>
        <v>0</v>
      </c>
      <c r="N96" s="848">
        <f t="shared" si="28"/>
        <v>0</v>
      </c>
      <c r="O96" s="848">
        <f t="shared" si="28"/>
        <v>4860</v>
      </c>
      <c r="P96" s="848">
        <f t="shared" si="28"/>
        <v>4860</v>
      </c>
      <c r="Q96" s="848">
        <f t="shared" si="28"/>
        <v>4860.0000000000009</v>
      </c>
      <c r="R96" s="848">
        <f t="shared" si="28"/>
        <v>4860.0000000000009</v>
      </c>
      <c r="S96" s="848">
        <f t="shared" si="28"/>
        <v>4860.0000000000009</v>
      </c>
      <c r="T96" s="848">
        <f t="shared" si="28"/>
        <v>5943</v>
      </c>
      <c r="U96" s="848">
        <f t="shared" si="28"/>
        <v>5943</v>
      </c>
      <c r="V96" s="848">
        <f t="shared" si="28"/>
        <v>6100.8872171842304</v>
      </c>
      <c r="W96" s="848">
        <f t="shared" si="28"/>
        <v>5943</v>
      </c>
      <c r="X96" s="848">
        <f t="shared" si="28"/>
        <v>5943.0000000000009</v>
      </c>
      <c r="Y96" s="848">
        <f t="shared" si="28"/>
        <v>8059.4802109788416</v>
      </c>
      <c r="Z96" s="848">
        <f t="shared" si="28"/>
        <v>9744.8104223767532</v>
      </c>
      <c r="AA96" s="848">
        <f t="shared" si="28"/>
        <v>8546.9776538911428</v>
      </c>
      <c r="AB96" s="848">
        <f t="shared" si="28"/>
        <v>10258.353380260729</v>
      </c>
      <c r="AC96" s="848">
        <f t="shared" si="28"/>
        <v>9016.4505219601433</v>
      </c>
      <c r="AD96" s="848">
        <f t="shared" si="28"/>
        <v>3541.6303870114962</v>
      </c>
      <c r="AE96" s="848">
        <f t="shared" si="28"/>
        <v>0</v>
      </c>
      <c r="AF96" s="839"/>
      <c r="AG96" s="839"/>
      <c r="AH96" s="839"/>
      <c r="AI96" s="839"/>
      <c r="AJ96" s="839"/>
      <c r="AK96" s="839"/>
      <c r="AL96" s="839"/>
      <c r="AM96" s="839"/>
      <c r="AN96" s="839"/>
      <c r="AO96" s="839"/>
    </row>
    <row r="97" spans="2:41" s="833" customFormat="1" ht="13.5">
      <c r="B97" s="845"/>
      <c r="C97" s="846"/>
      <c r="D97" s="868" t="s">
        <v>2118</v>
      </c>
      <c r="E97" s="846"/>
      <c r="F97" s="846"/>
      <c r="G97" s="846"/>
      <c r="H97" s="848"/>
      <c r="J97" s="244"/>
      <c r="K97" s="244"/>
      <c r="L97" s="244"/>
      <c r="M97" s="244"/>
      <c r="N97" s="244"/>
      <c r="O97" s="244"/>
      <c r="P97" s="244"/>
      <c r="Q97" s="244"/>
      <c r="R97" s="244"/>
      <c r="S97" s="244"/>
      <c r="T97" s="244"/>
      <c r="U97" s="244"/>
      <c r="V97" s="244"/>
      <c r="W97" s="244"/>
      <c r="X97" s="244"/>
      <c r="Y97" s="244"/>
      <c r="Z97" s="244"/>
      <c r="AA97" s="244"/>
      <c r="AB97" s="244"/>
      <c r="AC97" s="244"/>
      <c r="AD97" s="244"/>
      <c r="AE97" s="244"/>
      <c r="AF97" s="839"/>
      <c r="AG97" s="839"/>
      <c r="AH97" s="839"/>
      <c r="AI97" s="839"/>
      <c r="AJ97" s="839"/>
      <c r="AK97" s="839"/>
      <c r="AL97" s="839"/>
      <c r="AM97" s="839"/>
      <c r="AN97" s="839"/>
      <c r="AO97" s="839"/>
    </row>
    <row r="98" spans="2:41" s="846" customFormat="1" ht="13.5">
      <c r="B98" s="845"/>
      <c r="H98" s="848"/>
      <c r="J98" s="262"/>
      <c r="K98" s="262"/>
      <c r="L98" s="262"/>
      <c r="M98" s="262"/>
      <c r="N98" s="262"/>
      <c r="O98" s="262"/>
      <c r="P98" s="262"/>
      <c r="Q98" s="262"/>
      <c r="R98" s="262"/>
      <c r="S98" s="262"/>
      <c r="T98" s="262"/>
      <c r="U98" s="262"/>
      <c r="V98" s="262"/>
      <c r="W98" s="262"/>
      <c r="X98" s="262"/>
      <c r="Y98" s="262"/>
      <c r="Z98" s="262"/>
      <c r="AA98" s="262"/>
      <c r="AB98" s="262"/>
      <c r="AC98" s="262"/>
      <c r="AD98" s="262"/>
      <c r="AE98" s="262"/>
      <c r="AF98" s="925"/>
      <c r="AG98" s="925"/>
      <c r="AH98" s="925"/>
      <c r="AI98" s="925"/>
      <c r="AJ98" s="925"/>
      <c r="AK98" s="925"/>
      <c r="AL98" s="925"/>
      <c r="AM98" s="925"/>
      <c r="AN98" s="925"/>
      <c r="AO98" s="925"/>
    </row>
    <row r="99" spans="2:41" s="833" customFormat="1" ht="13.5">
      <c r="B99" s="845"/>
      <c r="C99" s="846"/>
      <c r="D99" s="926" t="s">
        <v>915</v>
      </c>
      <c r="E99" s="846"/>
      <c r="F99" s="846"/>
      <c r="G99" s="263"/>
      <c r="H99" s="880">
        <f>SUMPRODUCT($J$4:$AE$4,J99:AE99)/H$4</f>
        <v>186146.66666666666</v>
      </c>
      <c r="J99" s="880">
        <v>0</v>
      </c>
      <c r="K99" s="880">
        <v>0</v>
      </c>
      <c r="L99" s="880">
        <v>0</v>
      </c>
      <c r="M99" s="880">
        <v>0</v>
      </c>
      <c r="N99" s="880">
        <v>0</v>
      </c>
      <c r="O99" s="880">
        <v>242800</v>
      </c>
      <c r="P99" s="880">
        <v>242800</v>
      </c>
      <c r="Q99" s="880">
        <v>242800</v>
      </c>
      <c r="R99" s="880">
        <v>242800</v>
      </c>
      <c r="S99" s="880">
        <v>242800</v>
      </c>
      <c r="T99" s="880">
        <v>242800</v>
      </c>
      <c r="U99" s="880">
        <v>242800</v>
      </c>
      <c r="V99" s="880">
        <v>242800</v>
      </c>
      <c r="W99" s="880">
        <v>242800</v>
      </c>
      <c r="X99" s="880">
        <v>242800</v>
      </c>
      <c r="Y99" s="880">
        <v>242800</v>
      </c>
      <c r="Z99" s="880">
        <v>242800</v>
      </c>
      <c r="AA99" s="880">
        <v>242800</v>
      </c>
      <c r="AB99" s="880">
        <v>242800</v>
      </c>
      <c r="AC99" s="880">
        <v>242800</v>
      </c>
      <c r="AD99" s="880">
        <v>242800</v>
      </c>
      <c r="AE99" s="880">
        <v>0</v>
      </c>
      <c r="AF99" s="839"/>
      <c r="AG99" s="839"/>
      <c r="AH99" s="839"/>
      <c r="AI99" s="839"/>
      <c r="AJ99" s="839"/>
      <c r="AK99" s="839"/>
      <c r="AL99" s="839"/>
      <c r="AM99" s="839"/>
      <c r="AN99" s="839"/>
      <c r="AO99" s="839"/>
    </row>
    <row r="100" spans="2:41" s="833" customFormat="1">
      <c r="B100" s="845"/>
      <c r="C100" s="846"/>
      <c r="D100" s="846"/>
      <c r="E100" s="846"/>
      <c r="F100" s="846"/>
      <c r="G100" s="846"/>
      <c r="H100" s="848"/>
      <c r="J100" s="848"/>
      <c r="K100" s="848"/>
      <c r="L100" s="848"/>
      <c r="M100" s="848"/>
      <c r="N100" s="848"/>
      <c r="O100" s="848"/>
      <c r="P100" s="848"/>
      <c r="Q100" s="848"/>
      <c r="R100" s="848"/>
      <c r="S100" s="848"/>
      <c r="T100" s="848"/>
      <c r="U100" s="848"/>
      <c r="V100" s="848"/>
      <c r="W100" s="848"/>
      <c r="X100" s="848"/>
      <c r="Y100" s="848"/>
      <c r="Z100" s="848"/>
      <c r="AA100" s="848"/>
      <c r="AB100" s="848"/>
      <c r="AC100" s="848"/>
      <c r="AD100" s="848"/>
      <c r="AE100" s="848"/>
      <c r="AF100" s="839"/>
      <c r="AG100" s="839"/>
      <c r="AH100" s="839"/>
      <c r="AI100" s="839"/>
      <c r="AJ100" s="839"/>
      <c r="AK100" s="839"/>
      <c r="AL100" s="839"/>
      <c r="AM100" s="839"/>
      <c r="AN100" s="839"/>
      <c r="AO100" s="839"/>
    </row>
    <row r="101" spans="2:41" s="930" customFormat="1" ht="13.5">
      <c r="B101" s="927"/>
      <c r="C101" s="928"/>
      <c r="D101" s="929" t="s">
        <v>916</v>
      </c>
      <c r="F101" s="264"/>
      <c r="G101" s="265">
        <v>6.2E-2</v>
      </c>
      <c r="H101" s="266">
        <f>IFERROR(H103/H99/H$4*12,)</f>
        <v>6.200000000000002E-2</v>
      </c>
      <c r="J101" s="267">
        <f>(J99&gt;0)*$G101</f>
        <v>0</v>
      </c>
      <c r="K101" s="267">
        <f t="shared" ref="K101:AE101" si="29">(K99&gt;0)*$G101</f>
        <v>0</v>
      </c>
      <c r="L101" s="267">
        <f t="shared" si="29"/>
        <v>0</v>
      </c>
      <c r="M101" s="267">
        <f t="shared" si="29"/>
        <v>0</v>
      </c>
      <c r="N101" s="267">
        <f t="shared" si="29"/>
        <v>0</v>
      </c>
      <c r="O101" s="267">
        <f t="shared" si="29"/>
        <v>6.2E-2</v>
      </c>
      <c r="P101" s="267">
        <f t="shared" si="29"/>
        <v>6.2E-2</v>
      </c>
      <c r="Q101" s="267">
        <f t="shared" si="29"/>
        <v>6.2E-2</v>
      </c>
      <c r="R101" s="267">
        <f t="shared" si="29"/>
        <v>6.2E-2</v>
      </c>
      <c r="S101" s="267">
        <f t="shared" si="29"/>
        <v>6.2E-2</v>
      </c>
      <c r="T101" s="267">
        <f t="shared" si="29"/>
        <v>6.2E-2</v>
      </c>
      <c r="U101" s="267">
        <f t="shared" si="29"/>
        <v>6.2E-2</v>
      </c>
      <c r="V101" s="267">
        <f t="shared" si="29"/>
        <v>6.2E-2</v>
      </c>
      <c r="W101" s="267">
        <f t="shared" si="29"/>
        <v>6.2E-2</v>
      </c>
      <c r="X101" s="267">
        <f t="shared" si="29"/>
        <v>6.2E-2</v>
      </c>
      <c r="Y101" s="267">
        <f t="shared" si="29"/>
        <v>6.2E-2</v>
      </c>
      <c r="Z101" s="267">
        <f t="shared" si="29"/>
        <v>6.2E-2</v>
      </c>
      <c r="AA101" s="267">
        <f t="shared" si="29"/>
        <v>6.2E-2</v>
      </c>
      <c r="AB101" s="267">
        <f t="shared" si="29"/>
        <v>6.2E-2</v>
      </c>
      <c r="AC101" s="267">
        <f t="shared" si="29"/>
        <v>6.2E-2</v>
      </c>
      <c r="AD101" s="267">
        <f t="shared" si="29"/>
        <v>6.2E-2</v>
      </c>
      <c r="AE101" s="267">
        <f t="shared" si="29"/>
        <v>0</v>
      </c>
      <c r="AF101" s="931"/>
      <c r="AG101" s="931"/>
      <c r="AH101" s="931"/>
      <c r="AI101" s="931"/>
      <c r="AJ101" s="931"/>
      <c r="AK101" s="931"/>
      <c r="AL101" s="931"/>
      <c r="AM101" s="931"/>
      <c r="AN101" s="931"/>
      <c r="AO101" s="931"/>
    </row>
    <row r="102" spans="2:41" s="930" customFormat="1" ht="13.5">
      <c r="B102" s="927"/>
      <c r="C102" s="928"/>
      <c r="D102" s="929"/>
      <c r="F102" s="268"/>
      <c r="G102" s="269"/>
      <c r="H102" s="266"/>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931"/>
      <c r="AG102" s="931"/>
      <c r="AH102" s="931"/>
      <c r="AI102" s="931"/>
      <c r="AJ102" s="931"/>
      <c r="AK102" s="931"/>
      <c r="AL102" s="931"/>
      <c r="AM102" s="931"/>
      <c r="AN102" s="931"/>
      <c r="AO102" s="931"/>
    </row>
    <row r="103" spans="2:41" s="872" customFormat="1" ht="13.5">
      <c r="B103" s="932"/>
      <c r="C103" s="854"/>
      <c r="D103" s="933" t="s">
        <v>2119</v>
      </c>
      <c r="E103" s="934"/>
      <c r="G103" s="935"/>
      <c r="H103" s="271">
        <f>SUM(J103:AE103)</f>
        <v>115410.93333333336</v>
      </c>
      <c r="J103" s="880">
        <f>J99*J101*J$4/12</f>
        <v>0</v>
      </c>
      <c r="K103" s="880">
        <f t="shared" ref="K103:AE103" si="30">K99*K101*K$4/12</f>
        <v>0</v>
      </c>
      <c r="L103" s="880">
        <f t="shared" si="30"/>
        <v>0</v>
      </c>
      <c r="M103" s="880">
        <f t="shared" si="30"/>
        <v>0</v>
      </c>
      <c r="N103" s="880">
        <f t="shared" si="30"/>
        <v>0</v>
      </c>
      <c r="O103" s="880">
        <f t="shared" si="30"/>
        <v>7526.8</v>
      </c>
      <c r="P103" s="880">
        <f t="shared" si="30"/>
        <v>7526.8</v>
      </c>
      <c r="Q103" s="880">
        <f t="shared" si="30"/>
        <v>7526.8</v>
      </c>
      <c r="R103" s="880">
        <f t="shared" si="30"/>
        <v>7526.8</v>
      </c>
      <c r="S103" s="880">
        <f t="shared" si="30"/>
        <v>7526.8</v>
      </c>
      <c r="T103" s="880">
        <f t="shared" si="30"/>
        <v>7526.8</v>
      </c>
      <c r="U103" s="880">
        <f t="shared" si="30"/>
        <v>7526.8</v>
      </c>
      <c r="V103" s="880">
        <f t="shared" si="30"/>
        <v>7526.8</v>
      </c>
      <c r="W103" s="880">
        <f t="shared" si="30"/>
        <v>7526.8</v>
      </c>
      <c r="X103" s="880">
        <f t="shared" si="30"/>
        <v>7526.8</v>
      </c>
      <c r="Y103" s="880">
        <f t="shared" si="30"/>
        <v>7526.8</v>
      </c>
      <c r="Z103" s="880">
        <f t="shared" si="30"/>
        <v>7526.8</v>
      </c>
      <c r="AA103" s="880">
        <f t="shared" si="30"/>
        <v>7526.8</v>
      </c>
      <c r="AB103" s="880">
        <f t="shared" si="30"/>
        <v>7526.8</v>
      </c>
      <c r="AC103" s="880">
        <f t="shared" si="30"/>
        <v>7526.8</v>
      </c>
      <c r="AD103" s="880">
        <f t="shared" si="30"/>
        <v>2508.9333333333334</v>
      </c>
      <c r="AE103" s="880">
        <f t="shared" si="30"/>
        <v>0</v>
      </c>
      <c r="AF103" s="873"/>
      <c r="AG103" s="873"/>
      <c r="AH103" s="873"/>
      <c r="AI103" s="873"/>
      <c r="AJ103" s="873"/>
      <c r="AK103" s="873"/>
      <c r="AL103" s="873"/>
      <c r="AM103" s="873"/>
      <c r="AN103" s="873"/>
      <c r="AO103" s="873"/>
    </row>
    <row r="104" spans="2:41" s="872" customFormat="1" ht="13.5">
      <c r="B104" s="932"/>
      <c r="C104" s="854"/>
      <c r="D104" s="870" t="s">
        <v>917</v>
      </c>
      <c r="F104" s="854"/>
      <c r="G104" s="936"/>
      <c r="H104" s="272">
        <f>MAX(J104:AE104)</f>
        <v>115410.93333333336</v>
      </c>
      <c r="J104" s="252">
        <f>(J103+I104)*(J$99&gt;0)</f>
        <v>0</v>
      </c>
      <c r="K104" s="252">
        <f t="shared" ref="K104:AE104" si="31">(K103+J104)*(K$99&gt;0)</f>
        <v>0</v>
      </c>
      <c r="L104" s="252">
        <f t="shared" si="31"/>
        <v>0</v>
      </c>
      <c r="M104" s="252">
        <f t="shared" si="31"/>
        <v>0</v>
      </c>
      <c r="N104" s="252">
        <f t="shared" si="31"/>
        <v>0</v>
      </c>
      <c r="O104" s="252">
        <f t="shared" si="31"/>
        <v>7526.8</v>
      </c>
      <c r="P104" s="252">
        <f t="shared" si="31"/>
        <v>15053.6</v>
      </c>
      <c r="Q104" s="252">
        <f t="shared" si="31"/>
        <v>22580.400000000001</v>
      </c>
      <c r="R104" s="252">
        <f t="shared" si="31"/>
        <v>30107.200000000001</v>
      </c>
      <c r="S104" s="252">
        <f t="shared" si="31"/>
        <v>37634</v>
      </c>
      <c r="T104" s="252">
        <f t="shared" si="31"/>
        <v>45160.800000000003</v>
      </c>
      <c r="U104" s="252">
        <f t="shared" si="31"/>
        <v>52687.600000000006</v>
      </c>
      <c r="V104" s="252">
        <f t="shared" si="31"/>
        <v>60214.400000000009</v>
      </c>
      <c r="W104" s="252">
        <f t="shared" si="31"/>
        <v>67741.200000000012</v>
      </c>
      <c r="X104" s="252">
        <f t="shared" si="31"/>
        <v>75268.000000000015</v>
      </c>
      <c r="Y104" s="252">
        <f t="shared" si="31"/>
        <v>82794.800000000017</v>
      </c>
      <c r="Z104" s="252">
        <f t="shared" si="31"/>
        <v>90321.60000000002</v>
      </c>
      <c r="AA104" s="252">
        <f t="shared" si="31"/>
        <v>97848.400000000023</v>
      </c>
      <c r="AB104" s="252">
        <f t="shared" si="31"/>
        <v>105375.20000000003</v>
      </c>
      <c r="AC104" s="252">
        <f t="shared" si="31"/>
        <v>112902.00000000003</v>
      </c>
      <c r="AD104" s="252">
        <f t="shared" si="31"/>
        <v>115410.93333333336</v>
      </c>
      <c r="AE104" s="252">
        <f t="shared" si="31"/>
        <v>0</v>
      </c>
      <c r="AF104" s="873"/>
      <c r="AG104" s="873"/>
      <c r="AH104" s="873"/>
      <c r="AI104" s="873"/>
      <c r="AJ104" s="873"/>
      <c r="AK104" s="873"/>
      <c r="AL104" s="873"/>
      <c r="AM104" s="873"/>
      <c r="AN104" s="873"/>
      <c r="AO104" s="873"/>
    </row>
    <row r="105" spans="2:41" s="894" customFormat="1" ht="13.5">
      <c r="B105" s="937"/>
      <c r="C105" s="938"/>
      <c r="D105" s="890" t="s">
        <v>2120</v>
      </c>
      <c r="F105" s="938"/>
      <c r="G105" s="939"/>
      <c r="H105" s="273">
        <f>SUM(J105:AE105)</f>
        <v>329293.10260730353</v>
      </c>
      <c r="J105" s="274">
        <f>(J104-SUM($I107:I107)-SUM($J93:J93))*(ABS(J104-SUM($I107:I107)-SUM($J93:J93))&gt;0.0001)*(J$99&gt;0)*(J101&gt;0)</f>
        <v>0</v>
      </c>
      <c r="K105" s="274">
        <f>(K104-SUM($I107:J107)-SUM($J93:K93))*(ABS(K104-SUM($I107:J107)-SUM($J93:K93))&gt;0.0001)*(K$99&gt;0)*(K101&gt;0)</f>
        <v>0</v>
      </c>
      <c r="L105" s="274">
        <f>(L104-SUM($I107:K107)-SUM($J93:L93))*(ABS(L104-SUM($I107:K107)-SUM($J93:L93))&gt;0.0001)*(L$99&gt;0)*(L101&gt;0)</f>
        <v>0</v>
      </c>
      <c r="M105" s="274">
        <f>(M104-SUM($I107:L107)-SUM($J93:M93))*(ABS(M104-SUM($I107:L107)-SUM($J93:M93))&gt;0.0001)*(M$99&gt;0)*(M101&gt;0)</f>
        <v>0</v>
      </c>
      <c r="N105" s="274">
        <f>(N104-SUM($I107:M107)-SUM($J93:N93))*(ABS(N104-SUM($I107:M107)-SUM($J93:N93))&gt;0.0001)*(N$99&gt;0)*(N101&gt;0)</f>
        <v>0</v>
      </c>
      <c r="O105" s="274">
        <f>(O104-SUM($I107:N107)-SUM($J93:O93))*(ABS(O104-SUM($I107:N107)-SUM($J93:O93))&gt;0.0001)*(O$99&gt;0)*(O101&gt;0)</f>
        <v>7526.8</v>
      </c>
      <c r="P105" s="274">
        <f>(P104-SUM($I107:O107)-SUM($J93:P93))*(ABS(P104-SUM($I107:O107)-SUM($J93:P93))&gt;0.0001)*(P$99&gt;0)*(P101&gt;0)</f>
        <v>10193.6</v>
      </c>
      <c r="Q105" s="274">
        <f>(Q104-SUM($I107:P107)-SUM($J93:Q93))*(ABS(Q104-SUM($I107:P107)-SUM($J93:Q93))&gt;0.0001)*(Q$99&gt;0)*(Q101&gt;0)</f>
        <v>12860.400000000001</v>
      </c>
      <c r="R105" s="274">
        <f>(R104-SUM($I107:Q107)-SUM($J93:R93))*(ABS(R104-SUM($I107:Q107)-SUM($J93:R93))&gt;0.0001)*(R$99&gt;0)*(R101&gt;0)</f>
        <v>15527.2</v>
      </c>
      <c r="S105" s="274">
        <f>(S104-SUM($I107:R107)-SUM($J93:S93))*(ABS(S104-SUM($I107:R107)-SUM($J93:S93))&gt;0.0001)*(S$99&gt;0)*(S101&gt;0)</f>
        <v>18194</v>
      </c>
      <c r="T105" s="274">
        <f>(T104-SUM($I107:S107)-SUM($J93:T93))*(ABS(T104-SUM($I107:S107)-SUM($J93:T93))&gt;0.0001)*(T$99&gt;0)*(T101&gt;0)</f>
        <v>20860.800000000003</v>
      </c>
      <c r="U105" s="274">
        <f>(U104-SUM($I107:T107)-SUM($J93:U93))*(ABS(U104-SUM($I107:T107)-SUM($J93:U93))&gt;0.0001)*(U$99&gt;0)*(U101&gt;0)</f>
        <v>22444.600000000006</v>
      </c>
      <c r="V105" s="274">
        <f>(V104-SUM($I107:U107)-SUM($J93:V93))*(ABS(V104-SUM($I107:U107)-SUM($J93:V93))&gt;0.0001)*(V$99&gt;0)*(V101&gt;0)</f>
        <v>24028.400000000009</v>
      </c>
      <c r="W105" s="274">
        <f>(W104-SUM($I107:V107)-SUM($J93:W93))*(ABS(W104-SUM($I107:V107)-SUM($J93:W93))&gt;0.0001)*(W$99&gt;0)*(W101&gt;0)</f>
        <v>25454.312782815781</v>
      </c>
      <c r="X105" s="274">
        <f>(X104-SUM($I107:W107)-SUM($J93:X93))*(ABS(X104-SUM($I107:W107)-SUM($J93:X93))&gt;0.0001)*(X$99&gt;0)*(X101&gt;0)</f>
        <v>27038.112782815784</v>
      </c>
      <c r="Y105" s="274">
        <f>(Y104-SUM($I107:X107)-SUM($J93:Y93))*(ABS(Y104-SUM($I107:X107)-SUM($J93:Y93))&gt;0.0001)*(Y$99&gt;0)*(Y101&gt;0)</f>
        <v>28621.912782815787</v>
      </c>
      <c r="Z105" s="274">
        <f>(Z104-SUM($I107:Y107)-SUM($J93:Z93))*(ABS(Z104-SUM($I107:Y107)-SUM($J93:Z93))&gt;0.0001)*(Z$99&gt;0)*(Z101&gt;0)</f>
        <v>28089.232571836947</v>
      </c>
      <c r="AA105" s="274">
        <f>(AA104-SUM($I107:Z107)-SUM($J93:AA93))*(ABS(AA104-SUM($I107:Z107)-SUM($J93:AA93))&gt;0.0001)*(AA$99&gt;0)*(AA101&gt;0)</f>
        <v>25871.222149460198</v>
      </c>
      <c r="AB105" s="274">
        <f>(AB104-SUM($I107:AA107)-SUM($J93:AB93))*(ABS(AB104-SUM($I107:AA107)-SUM($J93:AB93))&gt;0.0001)*(AB$99&gt;0)*(AB101&gt;0)</f>
        <v>24851.044495569062</v>
      </c>
      <c r="AC105" s="274">
        <f>(AC104-SUM($I107:AB107)-SUM($J93:AC93))*(ABS(AC104-SUM($I107:AB107)-SUM($J93:AC93))&gt;0.0001)*(AC$99&gt;0)*(AC101&gt;0)</f>
        <v>22119.491115308338</v>
      </c>
      <c r="AD105" s="274">
        <f>(AD104-SUM($I107:AC107)-SUM($J93:AD93))*(ABS(AD104-SUM($I107:AC107)-SUM($J93:AD93))&gt;0.0001)*(AD$99&gt;0)*(AD101&gt;0)</f>
        <v>15611.97392668153</v>
      </c>
      <c r="AE105" s="274">
        <f>(AE104-SUM($I107:AD107)-SUM($J93:AE93))*(ABS(AE104-SUM($I107:AD107)-SUM($J93:AE93))&gt;0.0001)*(AE$99&gt;0)*(AE101&gt;0)</f>
        <v>0</v>
      </c>
      <c r="AF105" s="839"/>
      <c r="AG105" s="839"/>
      <c r="AH105" s="839"/>
      <c r="AI105" s="839"/>
      <c r="AJ105" s="839"/>
      <c r="AK105" s="839"/>
      <c r="AL105" s="839"/>
      <c r="AM105" s="839"/>
      <c r="AN105" s="839"/>
      <c r="AO105" s="839"/>
    </row>
    <row r="106" spans="2:41" s="833" customFormat="1" ht="13.5">
      <c r="B106" s="845"/>
      <c r="C106" s="846"/>
      <c r="D106" s="846"/>
      <c r="E106" s="846"/>
      <c r="F106" s="275"/>
      <c r="G106" s="276"/>
      <c r="H106" s="848"/>
      <c r="J106" s="262"/>
      <c r="K106" s="262"/>
      <c r="L106" s="262"/>
      <c r="M106" s="262"/>
      <c r="N106" s="262"/>
      <c r="O106" s="262"/>
      <c r="P106" s="262"/>
      <c r="Q106" s="262"/>
      <c r="R106" s="262"/>
      <c r="S106" s="262"/>
      <c r="T106" s="262"/>
      <c r="U106" s="262"/>
      <c r="V106" s="262"/>
      <c r="W106" s="262"/>
      <c r="X106" s="262"/>
      <c r="Y106" s="262"/>
      <c r="Z106" s="262"/>
      <c r="AA106" s="262"/>
      <c r="AB106" s="262"/>
      <c r="AC106" s="262"/>
      <c r="AD106" s="262"/>
      <c r="AE106" s="262"/>
      <c r="AF106" s="839"/>
      <c r="AG106" s="839"/>
      <c r="AH106" s="839"/>
      <c r="AI106" s="839"/>
      <c r="AJ106" s="839"/>
      <c r="AK106" s="839"/>
      <c r="AL106" s="839"/>
      <c r="AM106" s="839"/>
      <c r="AN106" s="839"/>
      <c r="AO106" s="839"/>
    </row>
    <row r="107" spans="2:41" s="833" customFormat="1" ht="13.5">
      <c r="B107" s="845"/>
      <c r="C107" s="846"/>
      <c r="D107" s="846"/>
      <c r="E107" s="2351" t="s">
        <v>2121</v>
      </c>
      <c r="F107" s="2352"/>
      <c r="G107" s="2353"/>
      <c r="H107" s="2354">
        <f>SUM(J107:AE107)</f>
        <v>103340.58979366333</v>
      </c>
      <c r="I107" s="2355"/>
      <c r="J107" s="2354">
        <f>(J$4&gt;0)*MIN(J$96,J105)</f>
        <v>0</v>
      </c>
      <c r="K107" s="2354">
        <f t="shared" ref="K107:AE107" si="32">(K$4&gt;0)*MIN(K$96,K105)</f>
        <v>0</v>
      </c>
      <c r="L107" s="2354">
        <f t="shared" si="32"/>
        <v>0</v>
      </c>
      <c r="M107" s="2354">
        <f t="shared" si="32"/>
        <v>0</v>
      </c>
      <c r="N107" s="2354">
        <f t="shared" si="32"/>
        <v>0</v>
      </c>
      <c r="O107" s="2354">
        <f>(O$4&gt;0)*MIN(O$96,O105)</f>
        <v>4860</v>
      </c>
      <c r="P107" s="2354">
        <f>(P$4&gt;0)*MIN(P$96,P105)</f>
        <v>4860</v>
      </c>
      <c r="Q107" s="2354">
        <f t="shared" si="32"/>
        <v>4860.0000000000009</v>
      </c>
      <c r="R107" s="2354">
        <f t="shared" si="32"/>
        <v>4860.0000000000009</v>
      </c>
      <c r="S107" s="2354">
        <f t="shared" si="32"/>
        <v>4860.0000000000009</v>
      </c>
      <c r="T107" s="2354">
        <f t="shared" si="32"/>
        <v>5943</v>
      </c>
      <c r="U107" s="2354">
        <f t="shared" si="32"/>
        <v>5943</v>
      </c>
      <c r="V107" s="2354">
        <f t="shared" si="32"/>
        <v>6100.8872171842304</v>
      </c>
      <c r="W107" s="2354">
        <f t="shared" si="32"/>
        <v>5943</v>
      </c>
      <c r="X107" s="2354">
        <f t="shared" si="32"/>
        <v>5943.0000000000009</v>
      </c>
      <c r="Y107" s="2354">
        <f t="shared" si="32"/>
        <v>8059.4802109788416</v>
      </c>
      <c r="Z107" s="2354">
        <f t="shared" si="32"/>
        <v>9744.8104223767532</v>
      </c>
      <c r="AA107" s="2354">
        <f t="shared" si="32"/>
        <v>8546.9776538911428</v>
      </c>
      <c r="AB107" s="2354">
        <f t="shared" si="32"/>
        <v>10258.353380260729</v>
      </c>
      <c r="AC107" s="2354">
        <f t="shared" si="32"/>
        <v>9016.4505219601433</v>
      </c>
      <c r="AD107" s="2354">
        <f t="shared" si="32"/>
        <v>3541.6303870114962</v>
      </c>
      <c r="AE107" s="2354">
        <f t="shared" si="32"/>
        <v>0</v>
      </c>
      <c r="AF107" s="839"/>
      <c r="AG107" s="839"/>
      <c r="AH107" s="839"/>
      <c r="AI107" s="839"/>
      <c r="AJ107" s="839"/>
      <c r="AK107" s="839"/>
      <c r="AL107" s="839"/>
      <c r="AM107" s="839"/>
      <c r="AN107" s="839"/>
      <c r="AO107" s="839"/>
    </row>
    <row r="108" spans="2:41" s="833" customFormat="1" ht="13.5">
      <c r="B108" s="944"/>
      <c r="C108" s="945"/>
      <c r="D108" s="945"/>
      <c r="E108" s="946"/>
      <c r="F108" s="947"/>
      <c r="G108" s="278"/>
      <c r="H108" s="279">
        <f>IFERROR(H107/H$96,)</f>
        <v>1</v>
      </c>
      <c r="I108" s="945"/>
      <c r="J108" s="279">
        <f>IFERROR(J107/J$96,)</f>
        <v>0</v>
      </c>
      <c r="K108" s="279">
        <f t="shared" ref="K108:AE108" si="33">IFERROR(K107/K$96,)</f>
        <v>0</v>
      </c>
      <c r="L108" s="279">
        <f t="shared" si="33"/>
        <v>0</v>
      </c>
      <c r="M108" s="279">
        <f t="shared" si="33"/>
        <v>0</v>
      </c>
      <c r="N108" s="279">
        <f t="shared" si="33"/>
        <v>0</v>
      </c>
      <c r="O108" s="279">
        <f t="shared" si="33"/>
        <v>1</v>
      </c>
      <c r="P108" s="279">
        <f t="shared" si="33"/>
        <v>1</v>
      </c>
      <c r="Q108" s="279">
        <f t="shared" si="33"/>
        <v>1</v>
      </c>
      <c r="R108" s="279">
        <f t="shared" si="33"/>
        <v>1</v>
      </c>
      <c r="S108" s="279">
        <f t="shared" si="33"/>
        <v>1</v>
      </c>
      <c r="T108" s="279">
        <f t="shared" si="33"/>
        <v>1</v>
      </c>
      <c r="U108" s="279">
        <f t="shared" si="33"/>
        <v>1</v>
      </c>
      <c r="V108" s="279">
        <f t="shared" si="33"/>
        <v>1</v>
      </c>
      <c r="W108" s="279">
        <f t="shared" si="33"/>
        <v>1</v>
      </c>
      <c r="X108" s="279">
        <f t="shared" si="33"/>
        <v>1</v>
      </c>
      <c r="Y108" s="279">
        <f t="shared" si="33"/>
        <v>1</v>
      </c>
      <c r="Z108" s="279">
        <f t="shared" si="33"/>
        <v>1</v>
      </c>
      <c r="AA108" s="279">
        <f t="shared" si="33"/>
        <v>1</v>
      </c>
      <c r="AB108" s="279">
        <f t="shared" si="33"/>
        <v>1</v>
      </c>
      <c r="AC108" s="279">
        <f t="shared" si="33"/>
        <v>1</v>
      </c>
      <c r="AD108" s="279">
        <f t="shared" si="33"/>
        <v>1</v>
      </c>
      <c r="AE108" s="279">
        <f t="shared" si="33"/>
        <v>0</v>
      </c>
      <c r="AF108" s="839"/>
      <c r="AG108" s="839"/>
      <c r="AH108" s="839"/>
      <c r="AI108" s="839"/>
      <c r="AJ108" s="839"/>
      <c r="AK108" s="839"/>
      <c r="AL108" s="839"/>
      <c r="AM108" s="839"/>
      <c r="AN108" s="839"/>
      <c r="AO108" s="839"/>
    </row>
    <row r="109" spans="2:41" s="833" customFormat="1" ht="13.5" hidden="1" outlineLevel="1">
      <c r="B109" s="845"/>
      <c r="C109" s="846"/>
      <c r="D109" s="846"/>
      <c r="E109" s="923"/>
      <c r="F109" s="924"/>
      <c r="G109" s="280"/>
      <c r="H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94"/>
      <c r="AG109" s="894"/>
      <c r="AH109" s="894"/>
      <c r="AI109" s="894"/>
      <c r="AJ109" s="894"/>
      <c r="AK109" s="894"/>
      <c r="AL109" s="894"/>
      <c r="AM109" s="894"/>
      <c r="AN109" s="894"/>
      <c r="AO109" s="894"/>
    </row>
    <row r="110" spans="2:41" s="833" customFormat="1" ht="13.5" hidden="1" outlineLevel="1">
      <c r="B110" s="845"/>
      <c r="C110" s="846"/>
      <c r="D110" s="926" t="s">
        <v>2122</v>
      </c>
      <c r="E110" s="846"/>
      <c r="F110" s="846"/>
      <c r="G110" s="281"/>
      <c r="H110" s="880">
        <f>SUMPRODUCT($J$4:$AE$4,J110:AE110)/H$4</f>
        <v>0</v>
      </c>
      <c r="J110" s="880">
        <v>0</v>
      </c>
      <c r="K110" s="880">
        <v>0</v>
      </c>
      <c r="L110" s="880">
        <v>0</v>
      </c>
      <c r="M110" s="880">
        <v>0</v>
      </c>
      <c r="N110" s="880">
        <v>0</v>
      </c>
      <c r="O110" s="880">
        <v>0</v>
      </c>
      <c r="P110" s="880">
        <v>0</v>
      </c>
      <c r="Q110" s="880">
        <v>0</v>
      </c>
      <c r="R110" s="880">
        <v>0</v>
      </c>
      <c r="S110" s="880">
        <v>0</v>
      </c>
      <c r="T110" s="880">
        <v>0</v>
      </c>
      <c r="U110" s="880">
        <v>0</v>
      </c>
      <c r="V110" s="880">
        <v>0</v>
      </c>
      <c r="W110" s="880">
        <v>0</v>
      </c>
      <c r="X110" s="880">
        <v>0</v>
      </c>
      <c r="Y110" s="880">
        <v>0</v>
      </c>
      <c r="Z110" s="880">
        <v>0</v>
      </c>
      <c r="AA110" s="880">
        <v>0</v>
      </c>
      <c r="AB110" s="880">
        <v>0</v>
      </c>
      <c r="AC110" s="880">
        <v>0</v>
      </c>
      <c r="AD110" s="880">
        <v>0</v>
      </c>
      <c r="AE110" s="880">
        <v>0</v>
      </c>
      <c r="AF110" s="839"/>
      <c r="AG110" s="839"/>
      <c r="AH110" s="839"/>
      <c r="AI110" s="839"/>
      <c r="AJ110" s="839"/>
      <c r="AK110" s="839"/>
      <c r="AL110" s="839"/>
      <c r="AM110" s="839"/>
      <c r="AN110" s="839"/>
      <c r="AO110" s="839"/>
    </row>
    <row r="111" spans="2:41" s="833" customFormat="1" hidden="1" outlineLevel="1">
      <c r="B111" s="845"/>
      <c r="C111" s="846"/>
      <c r="D111" s="846"/>
      <c r="E111" s="846"/>
      <c r="F111" s="846"/>
      <c r="G111" s="948"/>
      <c r="H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39"/>
      <c r="AG111" s="839"/>
      <c r="AH111" s="839"/>
      <c r="AI111" s="839"/>
      <c r="AJ111" s="839"/>
      <c r="AK111" s="839"/>
      <c r="AL111" s="839"/>
      <c r="AM111" s="839"/>
      <c r="AN111" s="839"/>
      <c r="AO111" s="839"/>
    </row>
    <row r="112" spans="2:41" s="930" customFormat="1" ht="13.5" hidden="1" outlineLevel="1">
      <c r="B112" s="927"/>
      <c r="C112" s="928"/>
      <c r="D112" s="929" t="s">
        <v>2123</v>
      </c>
      <c r="F112" s="264"/>
      <c r="G112" s="265">
        <v>0</v>
      </c>
      <c r="H112" s="266">
        <f>IF(H$4*H110&gt;0,H114/H110/H$4*12,0)</f>
        <v>0</v>
      </c>
      <c r="J112" s="267">
        <f>(J110&gt;0)*$G112</f>
        <v>0</v>
      </c>
      <c r="K112" s="267">
        <f t="shared" ref="K112:AE112" si="34">(K110&gt;0)*$G112</f>
        <v>0</v>
      </c>
      <c r="L112" s="267">
        <f t="shared" si="34"/>
        <v>0</v>
      </c>
      <c r="M112" s="267">
        <f t="shared" si="34"/>
        <v>0</v>
      </c>
      <c r="N112" s="267">
        <f t="shared" si="34"/>
        <v>0</v>
      </c>
      <c r="O112" s="267">
        <f t="shared" si="34"/>
        <v>0</v>
      </c>
      <c r="P112" s="267">
        <f t="shared" si="34"/>
        <v>0</v>
      </c>
      <c r="Q112" s="267">
        <f t="shared" si="34"/>
        <v>0</v>
      </c>
      <c r="R112" s="267">
        <f t="shared" si="34"/>
        <v>0</v>
      </c>
      <c r="S112" s="267">
        <f t="shared" si="34"/>
        <v>0</v>
      </c>
      <c r="T112" s="267">
        <f t="shared" si="34"/>
        <v>0</v>
      </c>
      <c r="U112" s="267">
        <f t="shared" si="34"/>
        <v>0</v>
      </c>
      <c r="V112" s="267">
        <f t="shared" si="34"/>
        <v>0</v>
      </c>
      <c r="W112" s="267">
        <f t="shared" si="34"/>
        <v>0</v>
      </c>
      <c r="X112" s="267">
        <f t="shared" si="34"/>
        <v>0</v>
      </c>
      <c r="Y112" s="267">
        <f t="shared" si="34"/>
        <v>0</v>
      </c>
      <c r="Z112" s="267">
        <f t="shared" si="34"/>
        <v>0</v>
      </c>
      <c r="AA112" s="267">
        <f t="shared" si="34"/>
        <v>0</v>
      </c>
      <c r="AB112" s="267">
        <f t="shared" si="34"/>
        <v>0</v>
      </c>
      <c r="AC112" s="267">
        <f t="shared" si="34"/>
        <v>0</v>
      </c>
      <c r="AD112" s="267">
        <f t="shared" si="34"/>
        <v>0</v>
      </c>
      <c r="AE112" s="267">
        <f t="shared" si="34"/>
        <v>0</v>
      </c>
      <c r="AF112" s="931"/>
      <c r="AG112" s="931"/>
      <c r="AH112" s="931"/>
      <c r="AI112" s="931"/>
      <c r="AJ112" s="931"/>
      <c r="AK112" s="931"/>
      <c r="AL112" s="931"/>
      <c r="AM112" s="931"/>
      <c r="AN112" s="931"/>
      <c r="AO112" s="931"/>
    </row>
    <row r="113" spans="2:41" s="930" customFormat="1" ht="13.5" hidden="1" outlineLevel="1">
      <c r="B113" s="927"/>
      <c r="C113" s="928"/>
      <c r="D113" s="929"/>
      <c r="F113" s="268"/>
      <c r="G113" s="269"/>
      <c r="H113" s="266"/>
      <c r="J113" s="270"/>
      <c r="K113" s="270"/>
      <c r="L113" s="270"/>
      <c r="M113" s="270"/>
      <c r="N113" s="270"/>
      <c r="O113" s="270"/>
      <c r="P113" s="270"/>
      <c r="Q113" s="270"/>
      <c r="R113" s="270"/>
      <c r="S113" s="270"/>
      <c r="T113" s="270"/>
      <c r="U113" s="270"/>
      <c r="V113" s="270"/>
      <c r="W113" s="270"/>
      <c r="X113" s="270"/>
      <c r="Y113" s="270"/>
      <c r="Z113" s="270"/>
      <c r="AA113" s="270"/>
      <c r="AB113" s="270"/>
      <c r="AC113" s="270"/>
      <c r="AD113" s="270"/>
      <c r="AE113" s="270"/>
      <c r="AF113" s="931"/>
      <c r="AG113" s="931"/>
      <c r="AH113" s="931"/>
      <c r="AI113" s="931"/>
      <c r="AJ113" s="931"/>
      <c r="AK113" s="931"/>
      <c r="AL113" s="931"/>
      <c r="AM113" s="931"/>
      <c r="AN113" s="931"/>
      <c r="AO113" s="931"/>
    </row>
    <row r="114" spans="2:41" s="872" customFormat="1" ht="13.5" hidden="1" outlineLevel="1">
      <c r="B114" s="932"/>
      <c r="C114" s="854"/>
      <c r="D114" s="933" t="s">
        <v>918</v>
      </c>
      <c r="E114" s="934"/>
      <c r="G114" s="935"/>
      <c r="H114" s="271">
        <f>SUM(J114:AE114)</f>
        <v>0</v>
      </c>
      <c r="J114" s="880">
        <f>IFERROR(J110*J112*J$4/12,)</f>
        <v>0</v>
      </c>
      <c r="K114" s="880">
        <f t="shared" ref="K114:AE114" si="35">IFERROR(K110*K112*K$4/12,)</f>
        <v>0</v>
      </c>
      <c r="L114" s="880">
        <f t="shared" si="35"/>
        <v>0</v>
      </c>
      <c r="M114" s="880">
        <f t="shared" si="35"/>
        <v>0</v>
      </c>
      <c r="N114" s="880">
        <f t="shared" si="35"/>
        <v>0</v>
      </c>
      <c r="O114" s="880">
        <f t="shared" si="35"/>
        <v>0</v>
      </c>
      <c r="P114" s="880">
        <f t="shared" si="35"/>
        <v>0</v>
      </c>
      <c r="Q114" s="880">
        <f t="shared" si="35"/>
        <v>0</v>
      </c>
      <c r="R114" s="880">
        <f t="shared" si="35"/>
        <v>0</v>
      </c>
      <c r="S114" s="880">
        <f t="shared" si="35"/>
        <v>0</v>
      </c>
      <c r="T114" s="880">
        <f t="shared" si="35"/>
        <v>0</v>
      </c>
      <c r="U114" s="880">
        <f t="shared" si="35"/>
        <v>0</v>
      </c>
      <c r="V114" s="880">
        <f t="shared" si="35"/>
        <v>0</v>
      </c>
      <c r="W114" s="880">
        <f t="shared" si="35"/>
        <v>0</v>
      </c>
      <c r="X114" s="880">
        <f t="shared" si="35"/>
        <v>0</v>
      </c>
      <c r="Y114" s="880">
        <f t="shared" si="35"/>
        <v>0</v>
      </c>
      <c r="Z114" s="880">
        <f t="shared" si="35"/>
        <v>0</v>
      </c>
      <c r="AA114" s="880">
        <f t="shared" si="35"/>
        <v>0</v>
      </c>
      <c r="AB114" s="880">
        <f t="shared" si="35"/>
        <v>0</v>
      </c>
      <c r="AC114" s="880">
        <f t="shared" si="35"/>
        <v>0</v>
      </c>
      <c r="AD114" s="880">
        <f t="shared" si="35"/>
        <v>0</v>
      </c>
      <c r="AE114" s="880">
        <f t="shared" si="35"/>
        <v>0</v>
      </c>
      <c r="AF114" s="873"/>
      <c r="AG114" s="873"/>
      <c r="AH114" s="873"/>
      <c r="AI114" s="873"/>
      <c r="AJ114" s="873"/>
      <c r="AK114" s="873"/>
      <c r="AL114" s="873"/>
      <c r="AM114" s="873"/>
      <c r="AN114" s="873"/>
      <c r="AO114" s="873"/>
    </row>
    <row r="115" spans="2:41" s="872" customFormat="1" ht="13.5" hidden="1" outlineLevel="1">
      <c r="B115" s="932"/>
      <c r="C115" s="854"/>
      <c r="D115" s="870" t="s">
        <v>2124</v>
      </c>
      <c r="F115" s="854"/>
      <c r="G115" s="936"/>
      <c r="H115" s="272">
        <f>MAX(J115:AE115)</f>
        <v>0</v>
      </c>
      <c r="J115" s="252">
        <f t="shared" ref="J115:AE115" si="36">(J$4&gt;0)*(J114+I115)</f>
        <v>0</v>
      </c>
      <c r="K115" s="252">
        <f t="shared" si="36"/>
        <v>0</v>
      </c>
      <c r="L115" s="252">
        <f t="shared" si="36"/>
        <v>0</v>
      </c>
      <c r="M115" s="252">
        <f t="shared" si="36"/>
        <v>0</v>
      </c>
      <c r="N115" s="252">
        <f t="shared" si="36"/>
        <v>0</v>
      </c>
      <c r="O115" s="252">
        <f t="shared" si="36"/>
        <v>0</v>
      </c>
      <c r="P115" s="252">
        <f t="shared" si="36"/>
        <v>0</v>
      </c>
      <c r="Q115" s="252">
        <f t="shared" si="36"/>
        <v>0</v>
      </c>
      <c r="R115" s="252">
        <f t="shared" si="36"/>
        <v>0</v>
      </c>
      <c r="S115" s="252">
        <f t="shared" si="36"/>
        <v>0</v>
      </c>
      <c r="T115" s="252">
        <f t="shared" si="36"/>
        <v>0</v>
      </c>
      <c r="U115" s="252">
        <f t="shared" si="36"/>
        <v>0</v>
      </c>
      <c r="V115" s="252">
        <f t="shared" si="36"/>
        <v>0</v>
      </c>
      <c r="W115" s="252">
        <f t="shared" si="36"/>
        <v>0</v>
      </c>
      <c r="X115" s="252">
        <f t="shared" si="36"/>
        <v>0</v>
      </c>
      <c r="Y115" s="252">
        <f t="shared" si="36"/>
        <v>0</v>
      </c>
      <c r="Z115" s="252">
        <f t="shared" si="36"/>
        <v>0</v>
      </c>
      <c r="AA115" s="252">
        <f t="shared" si="36"/>
        <v>0</v>
      </c>
      <c r="AB115" s="252">
        <f t="shared" si="36"/>
        <v>0</v>
      </c>
      <c r="AC115" s="252">
        <f t="shared" si="36"/>
        <v>0</v>
      </c>
      <c r="AD115" s="252">
        <f t="shared" si="36"/>
        <v>0</v>
      </c>
      <c r="AE115" s="252">
        <f t="shared" si="36"/>
        <v>0</v>
      </c>
      <c r="AF115" s="873"/>
      <c r="AG115" s="873"/>
      <c r="AH115" s="873"/>
      <c r="AI115" s="873"/>
      <c r="AJ115" s="873"/>
      <c r="AK115" s="873"/>
      <c r="AL115" s="873"/>
      <c r="AM115" s="873"/>
      <c r="AN115" s="873"/>
      <c r="AO115" s="873"/>
    </row>
    <row r="116" spans="2:41" s="894" customFormat="1" ht="13.5" hidden="1" outlineLevel="1">
      <c r="B116" s="937"/>
      <c r="C116" s="938"/>
      <c r="D116" s="890" t="s">
        <v>2125</v>
      </c>
      <c r="F116" s="938"/>
      <c r="G116" s="939"/>
      <c r="H116" s="273">
        <f>SUM(J116:AE116)</f>
        <v>0</v>
      </c>
      <c r="J116" s="274">
        <f>(J115-SUM($I118:I118)-SUM($I94:J94))*(J$4&gt;0)*(J112&gt;0)</f>
        <v>0</v>
      </c>
      <c r="K116" s="274">
        <f>(K115-SUM($I118:J118)-SUM($I94:K94))*(K$4&gt;0)*(K112&gt;0)</f>
        <v>0</v>
      </c>
      <c r="L116" s="274">
        <f>(L115-SUM($I118:K118)-SUM($I94:L94))*(L$4&gt;0)*(L112&gt;0)</f>
        <v>0</v>
      </c>
      <c r="M116" s="274">
        <f>(M115-SUM($I118:L118)-SUM($I94:M94))*(M$4&gt;0)*(M112&gt;0)</f>
        <v>0</v>
      </c>
      <c r="N116" s="274">
        <f>(N115-SUM($I118:M118)-SUM($I94:N94))*(N$4&gt;0)*(N112&gt;0)</f>
        <v>0</v>
      </c>
      <c r="O116" s="274">
        <f>(O115-SUM($I118:N118)-SUM($I94:O94))*(O$4&gt;0)*(O112&gt;0)</f>
        <v>0</v>
      </c>
      <c r="P116" s="274">
        <f>(P115-SUM($I118:O118)-SUM($I94:P94))*(P$4&gt;0)*(P112&gt;0)</f>
        <v>0</v>
      </c>
      <c r="Q116" s="274">
        <f>(Q115-SUM($I118:P118)-SUM($I94:Q94))*(Q$4&gt;0)*(Q112&gt;0)</f>
        <v>0</v>
      </c>
      <c r="R116" s="274">
        <f>(R115-SUM($I118:Q118)-SUM($I94:R94))*(R$4&gt;0)*(R112&gt;0)</f>
        <v>0</v>
      </c>
      <c r="S116" s="274">
        <f>(S115-SUM($I118:R118)-SUM($I94:S94))*(S$4&gt;0)*(S112&gt;0)</f>
        <v>0</v>
      </c>
      <c r="T116" s="274">
        <f>(T115-SUM($I118:S118)-SUM($I94:T94))*(T$4&gt;0)*(T112&gt;0)</f>
        <v>0</v>
      </c>
      <c r="U116" s="274">
        <f>(U115-SUM($I118:T118)-SUM($I94:U94))*(U$4&gt;0)*(U112&gt;0)</f>
        <v>0</v>
      </c>
      <c r="V116" s="274">
        <f>(V115-SUM($I118:U118)-SUM($I94:V94))*(V$4&gt;0)*(V112&gt;0)</f>
        <v>0</v>
      </c>
      <c r="W116" s="274">
        <f>(W115-SUM($I118:V118)-SUM($I94:W94))*(W$4&gt;0)*(W112&gt;0)</f>
        <v>0</v>
      </c>
      <c r="X116" s="274">
        <f>(X115-SUM($I118:W118)-SUM($I94:X94))*(X$4&gt;0)*(X112&gt;0)</f>
        <v>0</v>
      </c>
      <c r="Y116" s="274">
        <f>(Y115-SUM($I118:X118)-SUM($I94:Y94))*(Y$4&gt;0)*(Y112&gt;0)</f>
        <v>0</v>
      </c>
      <c r="Z116" s="274">
        <f>(Z115-SUM($I118:Y118)-SUM($I94:Z94))*(Z$4&gt;0)*(Z112&gt;0)</f>
        <v>0</v>
      </c>
      <c r="AA116" s="274">
        <f>(AA115-SUM($I118:Z118)-SUM($I94:AA94))*(AA$4&gt;0)*(AA112&gt;0)</f>
        <v>0</v>
      </c>
      <c r="AB116" s="274">
        <f>(AB115-SUM($I118:AA118)-SUM($I94:AB94))*(AB$4&gt;0)*(AB112&gt;0)</f>
        <v>0</v>
      </c>
      <c r="AC116" s="274">
        <f>(AC115-SUM($I118:AB118)-SUM($I94:AC94))*(AC$4&gt;0)*(AC112&gt;0)</f>
        <v>0</v>
      </c>
      <c r="AD116" s="274">
        <f>(AD115-SUM($I118:AC118)-SUM($I94:AD94))*(AD$4&gt;0)*(AD112&gt;0)</f>
        <v>0</v>
      </c>
      <c r="AE116" s="274">
        <f>(AE115-SUM($I118:AD118)-SUM($I94:AE94))*(AE$4&gt;0)*(AE112&gt;0)</f>
        <v>0</v>
      </c>
      <c r="AF116" s="839"/>
      <c r="AG116" s="839"/>
      <c r="AH116" s="839"/>
      <c r="AI116" s="839"/>
      <c r="AJ116" s="839"/>
      <c r="AK116" s="839"/>
      <c r="AL116" s="839"/>
      <c r="AM116" s="839"/>
      <c r="AN116" s="839"/>
      <c r="AO116" s="839"/>
    </row>
    <row r="117" spans="2:41" s="833" customFormat="1" ht="13.5" hidden="1" outlineLevel="1">
      <c r="B117" s="845"/>
      <c r="C117" s="846"/>
      <c r="D117" s="846"/>
      <c r="E117" s="846"/>
      <c r="F117" s="275"/>
      <c r="G117" s="276"/>
      <c r="H117" s="848"/>
      <c r="J117" s="262"/>
      <c r="K117" s="262"/>
      <c r="L117" s="262"/>
      <c r="M117" s="262"/>
      <c r="N117" s="262"/>
      <c r="O117" s="262"/>
      <c r="P117" s="262"/>
      <c r="Q117" s="262"/>
      <c r="R117" s="262"/>
      <c r="S117" s="262"/>
      <c r="T117" s="262"/>
      <c r="U117" s="262"/>
      <c r="V117" s="262"/>
      <c r="W117" s="262"/>
      <c r="X117" s="262"/>
      <c r="Y117" s="262"/>
      <c r="Z117" s="262"/>
      <c r="AA117" s="262"/>
      <c r="AB117" s="262"/>
      <c r="AC117" s="262"/>
      <c r="AD117" s="262"/>
      <c r="AE117" s="262"/>
      <c r="AF117" s="839"/>
      <c r="AG117" s="839"/>
      <c r="AH117" s="839"/>
      <c r="AI117" s="839"/>
      <c r="AJ117" s="839"/>
      <c r="AK117" s="839"/>
      <c r="AL117" s="839"/>
      <c r="AM117" s="839"/>
      <c r="AN117" s="839"/>
      <c r="AO117" s="839"/>
    </row>
    <row r="118" spans="2:41" s="833" customFormat="1" ht="13.5" hidden="1" outlineLevel="1">
      <c r="B118" s="845"/>
      <c r="C118" s="846"/>
      <c r="D118" s="846"/>
      <c r="E118" s="940" t="s">
        <v>2126</v>
      </c>
      <c r="F118" s="941"/>
      <c r="G118" s="277"/>
      <c r="H118" s="942">
        <f>SUM(J118:AE118)</f>
        <v>0</v>
      </c>
      <c r="I118" s="943"/>
      <c r="J118" s="942">
        <f>(J$4&gt;0)*MIN(J$96-J107,J116)*(J$96-J107&gt;0)</f>
        <v>0</v>
      </c>
      <c r="K118" s="942">
        <f t="shared" ref="K118:AE118" si="37">(K$4&gt;0)*MIN(K$96-K107,K116)*(K$96-K107&gt;0)</f>
        <v>0</v>
      </c>
      <c r="L118" s="942">
        <f t="shared" si="37"/>
        <v>0</v>
      </c>
      <c r="M118" s="942">
        <f t="shared" si="37"/>
        <v>0</v>
      </c>
      <c r="N118" s="942">
        <f t="shared" si="37"/>
        <v>0</v>
      </c>
      <c r="O118" s="942">
        <f t="shared" si="37"/>
        <v>0</v>
      </c>
      <c r="P118" s="942">
        <f t="shared" si="37"/>
        <v>0</v>
      </c>
      <c r="Q118" s="942">
        <f t="shared" si="37"/>
        <v>0</v>
      </c>
      <c r="R118" s="942">
        <f t="shared" si="37"/>
        <v>0</v>
      </c>
      <c r="S118" s="942">
        <f t="shared" si="37"/>
        <v>0</v>
      </c>
      <c r="T118" s="942">
        <f t="shared" si="37"/>
        <v>0</v>
      </c>
      <c r="U118" s="942">
        <f t="shared" si="37"/>
        <v>0</v>
      </c>
      <c r="V118" s="942">
        <f t="shared" si="37"/>
        <v>0</v>
      </c>
      <c r="W118" s="942">
        <f t="shared" si="37"/>
        <v>0</v>
      </c>
      <c r="X118" s="942">
        <f t="shared" si="37"/>
        <v>0</v>
      </c>
      <c r="Y118" s="942">
        <f t="shared" si="37"/>
        <v>0</v>
      </c>
      <c r="Z118" s="942">
        <f t="shared" si="37"/>
        <v>0</v>
      </c>
      <c r="AA118" s="942">
        <f t="shared" si="37"/>
        <v>0</v>
      </c>
      <c r="AB118" s="942">
        <f t="shared" si="37"/>
        <v>0</v>
      </c>
      <c r="AC118" s="942">
        <f t="shared" si="37"/>
        <v>0</v>
      </c>
      <c r="AD118" s="942">
        <f t="shared" si="37"/>
        <v>0</v>
      </c>
      <c r="AE118" s="942">
        <f t="shared" si="37"/>
        <v>0</v>
      </c>
      <c r="AF118" s="839"/>
      <c r="AG118" s="839"/>
      <c r="AH118" s="839"/>
      <c r="AI118" s="839"/>
      <c r="AJ118" s="839"/>
      <c r="AK118" s="839"/>
      <c r="AL118" s="839"/>
      <c r="AM118" s="839"/>
      <c r="AN118" s="839"/>
      <c r="AO118" s="839"/>
    </row>
    <row r="119" spans="2:41" s="833" customFormat="1" ht="13.5" hidden="1" outlineLevel="1">
      <c r="B119" s="944"/>
      <c r="C119" s="945"/>
      <c r="D119" s="945"/>
      <c r="E119" s="946"/>
      <c r="F119" s="947"/>
      <c r="G119" s="278"/>
      <c r="H119" s="279">
        <f>IFERROR(H118/H$96,)</f>
        <v>0</v>
      </c>
      <c r="I119" s="945"/>
      <c r="J119" s="279">
        <f>IFERROR(J118/J$96,)</f>
        <v>0</v>
      </c>
      <c r="K119" s="279">
        <f t="shared" ref="K119:AE119" si="38">IFERROR(K118/K$96,)</f>
        <v>0</v>
      </c>
      <c r="L119" s="279">
        <f t="shared" si="38"/>
        <v>0</v>
      </c>
      <c r="M119" s="279">
        <f t="shared" si="38"/>
        <v>0</v>
      </c>
      <c r="N119" s="279">
        <f t="shared" si="38"/>
        <v>0</v>
      </c>
      <c r="O119" s="279">
        <f t="shared" si="38"/>
        <v>0</v>
      </c>
      <c r="P119" s="279">
        <f t="shared" si="38"/>
        <v>0</v>
      </c>
      <c r="Q119" s="279">
        <f t="shared" si="38"/>
        <v>0</v>
      </c>
      <c r="R119" s="279">
        <f t="shared" si="38"/>
        <v>0</v>
      </c>
      <c r="S119" s="279">
        <f t="shared" si="38"/>
        <v>0</v>
      </c>
      <c r="T119" s="279">
        <f t="shared" si="38"/>
        <v>0</v>
      </c>
      <c r="U119" s="279">
        <f t="shared" si="38"/>
        <v>0</v>
      </c>
      <c r="V119" s="279">
        <f t="shared" si="38"/>
        <v>0</v>
      </c>
      <c r="W119" s="279">
        <f t="shared" si="38"/>
        <v>0</v>
      </c>
      <c r="X119" s="279">
        <f t="shared" si="38"/>
        <v>0</v>
      </c>
      <c r="Y119" s="279">
        <f t="shared" si="38"/>
        <v>0</v>
      </c>
      <c r="Z119" s="279">
        <f t="shared" si="38"/>
        <v>0</v>
      </c>
      <c r="AA119" s="279">
        <f t="shared" si="38"/>
        <v>0</v>
      </c>
      <c r="AB119" s="279">
        <f t="shared" si="38"/>
        <v>0</v>
      </c>
      <c r="AC119" s="279">
        <f t="shared" si="38"/>
        <v>0</v>
      </c>
      <c r="AD119" s="279">
        <f t="shared" si="38"/>
        <v>0</v>
      </c>
      <c r="AE119" s="279">
        <f t="shared" si="38"/>
        <v>0</v>
      </c>
      <c r="AF119" s="839"/>
      <c r="AG119" s="839"/>
      <c r="AH119" s="839"/>
      <c r="AI119" s="839"/>
      <c r="AJ119" s="839"/>
      <c r="AK119" s="839"/>
      <c r="AL119" s="839"/>
      <c r="AM119" s="839"/>
      <c r="AN119" s="839"/>
      <c r="AO119" s="839"/>
    </row>
    <row r="120" spans="2:41" s="833" customFormat="1" ht="13.5" collapsed="1">
      <c r="B120" s="845"/>
      <c r="C120" s="846"/>
      <c r="D120" s="846"/>
      <c r="E120" s="949"/>
      <c r="F120" s="924"/>
      <c r="G120" s="280"/>
      <c r="H120" s="848"/>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c r="AF120" s="839"/>
      <c r="AG120" s="839"/>
      <c r="AH120" s="839"/>
      <c r="AI120" s="839"/>
      <c r="AJ120" s="839"/>
      <c r="AK120" s="839"/>
      <c r="AL120" s="839"/>
      <c r="AM120" s="839"/>
      <c r="AN120" s="839"/>
      <c r="AO120" s="839"/>
    </row>
    <row r="121" spans="2:41" s="833" customFormat="1" ht="13.5">
      <c r="B121" s="845"/>
      <c r="C121" s="846"/>
      <c r="D121" s="926" t="s">
        <v>919</v>
      </c>
      <c r="E121" s="846"/>
      <c r="F121" s="846"/>
      <c r="G121" s="281"/>
      <c r="H121" s="880">
        <f>SUMPRODUCT($J$4:$AE$4,J121:AE121)/H$4</f>
        <v>26541.666666666668</v>
      </c>
      <c r="J121" s="880">
        <v>0</v>
      </c>
      <c r="K121" s="880">
        <v>0</v>
      </c>
      <c r="L121" s="880">
        <v>0</v>
      </c>
      <c r="M121" s="880">
        <v>0</v>
      </c>
      <c r="N121" s="880">
        <v>0</v>
      </c>
      <c r="O121" s="880">
        <v>35000</v>
      </c>
      <c r="P121" s="880">
        <v>35000</v>
      </c>
      <c r="Q121" s="880">
        <v>35000</v>
      </c>
      <c r="R121" s="880">
        <v>35000</v>
      </c>
      <c r="S121" s="880">
        <v>35000</v>
      </c>
      <c r="T121" s="880">
        <v>35000</v>
      </c>
      <c r="U121" s="880">
        <v>35000</v>
      </c>
      <c r="V121" s="880">
        <v>35000</v>
      </c>
      <c r="W121" s="880">
        <v>35000</v>
      </c>
      <c r="X121" s="880">
        <v>35000</v>
      </c>
      <c r="Y121" s="880">
        <v>35000</v>
      </c>
      <c r="Z121" s="880">
        <v>35000</v>
      </c>
      <c r="AA121" s="880">
        <v>35000</v>
      </c>
      <c r="AB121" s="880">
        <v>35000</v>
      </c>
      <c r="AC121" s="880">
        <v>35000</v>
      </c>
      <c r="AD121" s="880">
        <v>17500</v>
      </c>
      <c r="AE121" s="880">
        <v>0</v>
      </c>
      <c r="AF121" s="839"/>
      <c r="AG121" s="839"/>
      <c r="AH121" s="839"/>
      <c r="AI121" s="839"/>
      <c r="AJ121" s="839"/>
      <c r="AK121" s="839"/>
      <c r="AL121" s="839"/>
      <c r="AM121" s="839"/>
      <c r="AN121" s="839"/>
      <c r="AO121" s="839"/>
    </row>
    <row r="122" spans="2:41" s="833" customFormat="1">
      <c r="B122" s="845"/>
      <c r="C122" s="846"/>
      <c r="D122" s="846"/>
      <c r="E122" s="846"/>
      <c r="F122" s="846"/>
      <c r="G122" s="948"/>
      <c r="H122" s="848"/>
      <c r="J122" s="848"/>
      <c r="K122" s="848"/>
      <c r="L122" s="848"/>
      <c r="M122" s="848"/>
      <c r="N122" s="848"/>
      <c r="O122" s="848"/>
      <c r="P122" s="848"/>
      <c r="Q122" s="848"/>
      <c r="R122" s="848"/>
      <c r="S122" s="848"/>
      <c r="T122" s="848"/>
      <c r="U122" s="848"/>
      <c r="V122" s="848"/>
      <c r="W122" s="848"/>
      <c r="X122" s="848"/>
      <c r="Y122" s="848"/>
      <c r="Z122" s="848"/>
      <c r="AA122" s="848"/>
      <c r="AB122" s="848"/>
      <c r="AC122" s="848"/>
      <c r="AD122" s="848"/>
      <c r="AE122" s="848"/>
      <c r="AF122" s="839"/>
      <c r="AG122" s="839"/>
      <c r="AH122" s="839"/>
      <c r="AI122" s="839"/>
      <c r="AJ122" s="839"/>
      <c r="AK122" s="839"/>
      <c r="AL122" s="839"/>
      <c r="AM122" s="839"/>
      <c r="AN122" s="839"/>
      <c r="AO122" s="839"/>
    </row>
    <row r="123" spans="2:41" s="930" customFormat="1" ht="13.5">
      <c r="B123" s="927"/>
      <c r="C123" s="928"/>
      <c r="D123" s="929" t="s">
        <v>2127</v>
      </c>
      <c r="F123" s="282" t="s">
        <v>773</v>
      </c>
      <c r="G123" s="283">
        <v>0</v>
      </c>
      <c r="H123" s="266">
        <f>IF(H$4*H121&gt;0,H125/H121/H$4*12,0)</f>
        <v>0</v>
      </c>
      <c r="J123" s="267">
        <f>(J121&gt;0)*$G123</f>
        <v>0</v>
      </c>
      <c r="K123" s="267">
        <f t="shared" ref="K123:AE123" si="39">(K121&gt;0)*$G123</f>
        <v>0</v>
      </c>
      <c r="L123" s="267">
        <f t="shared" si="39"/>
        <v>0</v>
      </c>
      <c r="M123" s="267">
        <f t="shared" si="39"/>
        <v>0</v>
      </c>
      <c r="N123" s="267">
        <f t="shared" si="39"/>
        <v>0</v>
      </c>
      <c r="O123" s="267">
        <f t="shared" si="39"/>
        <v>0</v>
      </c>
      <c r="P123" s="267">
        <f t="shared" si="39"/>
        <v>0</v>
      </c>
      <c r="Q123" s="267">
        <f t="shared" si="39"/>
        <v>0</v>
      </c>
      <c r="R123" s="267">
        <f t="shared" si="39"/>
        <v>0</v>
      </c>
      <c r="S123" s="267">
        <f t="shared" si="39"/>
        <v>0</v>
      </c>
      <c r="T123" s="267">
        <f t="shared" si="39"/>
        <v>0</v>
      </c>
      <c r="U123" s="267">
        <f t="shared" si="39"/>
        <v>0</v>
      </c>
      <c r="V123" s="267">
        <f t="shared" si="39"/>
        <v>0</v>
      </c>
      <c r="W123" s="267">
        <f t="shared" si="39"/>
        <v>0</v>
      </c>
      <c r="X123" s="267">
        <f t="shared" si="39"/>
        <v>0</v>
      </c>
      <c r="Y123" s="267">
        <f t="shared" si="39"/>
        <v>0</v>
      </c>
      <c r="Z123" s="267">
        <f t="shared" si="39"/>
        <v>0</v>
      </c>
      <c r="AA123" s="267">
        <f t="shared" si="39"/>
        <v>0</v>
      </c>
      <c r="AB123" s="267">
        <f t="shared" si="39"/>
        <v>0</v>
      </c>
      <c r="AC123" s="267">
        <f t="shared" si="39"/>
        <v>0</v>
      </c>
      <c r="AD123" s="267">
        <f t="shared" si="39"/>
        <v>0</v>
      </c>
      <c r="AE123" s="267">
        <f t="shared" si="39"/>
        <v>0</v>
      </c>
      <c r="AF123" s="931"/>
      <c r="AG123" s="931"/>
      <c r="AH123" s="931"/>
      <c r="AI123" s="931"/>
      <c r="AJ123" s="931"/>
      <c r="AK123" s="931"/>
      <c r="AL123" s="931"/>
      <c r="AM123" s="931"/>
      <c r="AN123" s="931"/>
      <c r="AO123" s="931"/>
    </row>
    <row r="124" spans="2:41" s="930" customFormat="1" ht="13.5">
      <c r="B124" s="927"/>
      <c r="C124" s="928"/>
      <c r="D124" s="929"/>
      <c r="F124" s="284" t="s">
        <v>774</v>
      </c>
      <c r="G124" s="285">
        <v>1</v>
      </c>
      <c r="H124" s="266"/>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0"/>
      <c r="AF124" s="931"/>
      <c r="AG124" s="931"/>
      <c r="AH124" s="931"/>
      <c r="AI124" s="931"/>
      <c r="AJ124" s="931"/>
      <c r="AK124" s="931"/>
      <c r="AL124" s="931"/>
      <c r="AM124" s="931"/>
      <c r="AN124" s="931"/>
      <c r="AO124" s="931"/>
    </row>
    <row r="125" spans="2:41" s="872" customFormat="1" ht="13.5">
      <c r="B125" s="932"/>
      <c r="C125" s="854"/>
      <c r="D125" s="933" t="s">
        <v>2128</v>
      </c>
      <c r="E125" s="934"/>
      <c r="G125" s="935"/>
      <c r="H125" s="271">
        <f>SUM(J125:AE125)</f>
        <v>0</v>
      </c>
      <c r="J125" s="880">
        <f>IFERROR(J121*J123*J$4/12,)</f>
        <v>0</v>
      </c>
      <c r="K125" s="880">
        <f t="shared" ref="K125:AE125" si="40">IFERROR(K121*K123*K$4/12,)</f>
        <v>0</v>
      </c>
      <c r="L125" s="880">
        <f t="shared" si="40"/>
        <v>0</v>
      </c>
      <c r="M125" s="880">
        <f t="shared" si="40"/>
        <v>0</v>
      </c>
      <c r="N125" s="880">
        <f t="shared" si="40"/>
        <v>0</v>
      </c>
      <c r="O125" s="880">
        <f t="shared" si="40"/>
        <v>0</v>
      </c>
      <c r="P125" s="880">
        <f t="shared" si="40"/>
        <v>0</v>
      </c>
      <c r="Q125" s="880">
        <f t="shared" si="40"/>
        <v>0</v>
      </c>
      <c r="R125" s="880">
        <f t="shared" si="40"/>
        <v>0</v>
      </c>
      <c r="S125" s="880">
        <f t="shared" si="40"/>
        <v>0</v>
      </c>
      <c r="T125" s="880">
        <f t="shared" si="40"/>
        <v>0</v>
      </c>
      <c r="U125" s="880">
        <f t="shared" si="40"/>
        <v>0</v>
      </c>
      <c r="V125" s="880">
        <f t="shared" si="40"/>
        <v>0</v>
      </c>
      <c r="W125" s="880">
        <f t="shared" si="40"/>
        <v>0</v>
      </c>
      <c r="X125" s="880">
        <f t="shared" si="40"/>
        <v>0</v>
      </c>
      <c r="Y125" s="880">
        <f t="shared" si="40"/>
        <v>0</v>
      </c>
      <c r="Z125" s="880">
        <f t="shared" si="40"/>
        <v>0</v>
      </c>
      <c r="AA125" s="880">
        <f t="shared" si="40"/>
        <v>0</v>
      </c>
      <c r="AB125" s="880">
        <f t="shared" si="40"/>
        <v>0</v>
      </c>
      <c r="AC125" s="880">
        <f t="shared" si="40"/>
        <v>0</v>
      </c>
      <c r="AD125" s="880">
        <f t="shared" si="40"/>
        <v>0</v>
      </c>
      <c r="AE125" s="880">
        <f t="shared" si="40"/>
        <v>0</v>
      </c>
      <c r="AF125" s="873"/>
      <c r="AG125" s="873"/>
      <c r="AH125" s="873"/>
      <c r="AI125" s="873"/>
      <c r="AJ125" s="873"/>
      <c r="AK125" s="873"/>
      <c r="AL125" s="873"/>
      <c r="AM125" s="873"/>
      <c r="AN125" s="873"/>
      <c r="AO125" s="873"/>
    </row>
    <row r="126" spans="2:41" s="872" customFormat="1" ht="13.5">
      <c r="B126" s="932"/>
      <c r="C126" s="854"/>
      <c r="D126" s="870" t="s">
        <v>2129</v>
      </c>
      <c r="F126" s="854"/>
      <c r="G126" s="936"/>
      <c r="H126" s="272">
        <f>MAX(J126:AE126)</f>
        <v>0</v>
      </c>
      <c r="J126" s="252">
        <f t="shared" ref="J126:AE126" si="41">(J$4&gt;0)*(J125+I126)</f>
        <v>0</v>
      </c>
      <c r="K126" s="252">
        <f t="shared" si="41"/>
        <v>0</v>
      </c>
      <c r="L126" s="252">
        <f t="shared" si="41"/>
        <v>0</v>
      </c>
      <c r="M126" s="252">
        <f t="shared" si="41"/>
        <v>0</v>
      </c>
      <c r="N126" s="252">
        <f t="shared" si="41"/>
        <v>0</v>
      </c>
      <c r="O126" s="252">
        <f t="shared" si="41"/>
        <v>0</v>
      </c>
      <c r="P126" s="252">
        <f t="shared" si="41"/>
        <v>0</v>
      </c>
      <c r="Q126" s="252">
        <f t="shared" si="41"/>
        <v>0</v>
      </c>
      <c r="R126" s="252">
        <f t="shared" si="41"/>
        <v>0</v>
      </c>
      <c r="S126" s="252">
        <f t="shared" si="41"/>
        <v>0</v>
      </c>
      <c r="T126" s="252">
        <f t="shared" si="41"/>
        <v>0</v>
      </c>
      <c r="U126" s="252">
        <f t="shared" si="41"/>
        <v>0</v>
      </c>
      <c r="V126" s="252">
        <f t="shared" si="41"/>
        <v>0</v>
      </c>
      <c r="W126" s="252">
        <f t="shared" si="41"/>
        <v>0</v>
      </c>
      <c r="X126" s="252">
        <f t="shared" si="41"/>
        <v>0</v>
      </c>
      <c r="Y126" s="252">
        <f t="shared" si="41"/>
        <v>0</v>
      </c>
      <c r="Z126" s="252">
        <f t="shared" si="41"/>
        <v>0</v>
      </c>
      <c r="AA126" s="252">
        <f t="shared" si="41"/>
        <v>0</v>
      </c>
      <c r="AB126" s="252">
        <f t="shared" si="41"/>
        <v>0</v>
      </c>
      <c r="AC126" s="252">
        <f t="shared" si="41"/>
        <v>0</v>
      </c>
      <c r="AD126" s="252">
        <f t="shared" si="41"/>
        <v>0</v>
      </c>
      <c r="AE126" s="252">
        <f t="shared" si="41"/>
        <v>0</v>
      </c>
      <c r="AF126" s="873"/>
      <c r="AG126" s="873"/>
      <c r="AH126" s="873"/>
      <c r="AI126" s="873"/>
      <c r="AJ126" s="873"/>
      <c r="AK126" s="873"/>
      <c r="AL126" s="873"/>
      <c r="AM126" s="873"/>
      <c r="AN126" s="873"/>
      <c r="AO126" s="873"/>
    </row>
    <row r="127" spans="2:41" s="894" customFormat="1" ht="13.5">
      <c r="B127" s="937"/>
      <c r="C127" s="938"/>
      <c r="D127" s="890" t="s">
        <v>2130</v>
      </c>
      <c r="F127" s="938"/>
      <c r="G127" s="939"/>
      <c r="H127" s="273">
        <f>SUM(J127:AE127)</f>
        <v>0</v>
      </c>
      <c r="J127" s="274">
        <f>MAX(J126-SUM($I129:I129),J125)*(J$4&gt;0)*(J123&gt;0)</f>
        <v>0</v>
      </c>
      <c r="K127" s="274">
        <f>MAX(K126-SUM($I129:J129),K125)*(K$4&gt;0)*(K123&gt;0)</f>
        <v>0</v>
      </c>
      <c r="L127" s="274">
        <f>MAX(L126-SUM($I129:K129),L125)*(L$4&gt;0)*(L123&gt;0)</f>
        <v>0</v>
      </c>
      <c r="M127" s="274">
        <f>MAX(M126-SUM($I129:L129),M125)*(M$4&gt;0)*(M123&gt;0)</f>
        <v>0</v>
      </c>
      <c r="N127" s="274">
        <f>MAX(N126-SUM($I129:M129),N125)*(N$4&gt;0)*(N123&gt;0)</f>
        <v>0</v>
      </c>
      <c r="O127" s="274">
        <f>MAX(O126-SUM($I129:N129),O125)*(O$4&gt;0)*(O123&gt;0)</f>
        <v>0</v>
      </c>
      <c r="P127" s="274">
        <f>MAX(P126-SUM($I129:O129),P125)*(P$4&gt;0)*(P123&gt;0)</f>
        <v>0</v>
      </c>
      <c r="Q127" s="274">
        <f>MAX(Q126-SUM($I129:P129),Q125)*(Q$4&gt;0)*(Q123&gt;0)</f>
        <v>0</v>
      </c>
      <c r="R127" s="274">
        <f>MAX(R126-SUM($I129:Q129),R125)*(R$4&gt;0)*(R123&gt;0)</f>
        <v>0</v>
      </c>
      <c r="S127" s="274">
        <f>MAX(S126-SUM($I129:R129),S125)*(S$4&gt;0)*(S123&gt;0)</f>
        <v>0</v>
      </c>
      <c r="T127" s="274">
        <f>MAX(T126-SUM($I129:S129),T125)*(T$4&gt;0)*(T123&gt;0)</f>
        <v>0</v>
      </c>
      <c r="U127" s="274">
        <f>MAX(U126-SUM($I129:T129),U125)*(U$4&gt;0)*(U123&gt;0)</f>
        <v>0</v>
      </c>
      <c r="V127" s="274">
        <f>MAX(V126-SUM($I129:U129),V125)*(V$4&gt;0)*(V123&gt;0)</f>
        <v>0</v>
      </c>
      <c r="W127" s="274">
        <f>MAX(W126-SUM($I129:V129),W125)*(W$4&gt;0)*(W123&gt;0)</f>
        <v>0</v>
      </c>
      <c r="X127" s="274">
        <f>MAX(X126-SUM($I129:W129),X125)*(X$4&gt;0)*(X123&gt;0)</f>
        <v>0</v>
      </c>
      <c r="Y127" s="274">
        <f>MAX(Y126-SUM($I129:X129),Y125)*(Y$4&gt;0)*(Y123&gt;0)</f>
        <v>0</v>
      </c>
      <c r="Z127" s="274">
        <f>MAX(Z126-SUM($I129:Y129),Z125)*(Z$4&gt;0)*(Z123&gt;0)</f>
        <v>0</v>
      </c>
      <c r="AA127" s="274">
        <f>MAX(AA126-SUM($I129:Z129),AA125)*(AA$4&gt;0)*(AA123&gt;0)</f>
        <v>0</v>
      </c>
      <c r="AB127" s="274">
        <f>MAX(AB126-SUM($I129:AA129),AB125)*(AB$4&gt;0)*(AB123&gt;0)</f>
        <v>0</v>
      </c>
      <c r="AC127" s="274">
        <f>MAX(AC126-SUM($I129:AB129),AC125)*(AC$4&gt;0)*(AC123&gt;0)</f>
        <v>0</v>
      </c>
      <c r="AD127" s="274">
        <f>MAX(AD126-SUM($I129:AC129),AD125)*(AD$4&gt;0)*(AD123&gt;0)</f>
        <v>0</v>
      </c>
      <c r="AE127" s="274">
        <f>MAX(AE126-SUM($I129:AD129),AE125)*(AE$4&gt;0)*(AE123&gt;0)</f>
        <v>0</v>
      </c>
      <c r="AF127" s="839"/>
      <c r="AG127" s="839"/>
      <c r="AH127" s="839"/>
      <c r="AI127" s="839"/>
      <c r="AJ127" s="839"/>
      <c r="AK127" s="839"/>
      <c r="AL127" s="839"/>
      <c r="AM127" s="839"/>
      <c r="AN127" s="839"/>
      <c r="AO127" s="839"/>
    </row>
    <row r="128" spans="2:41" s="833" customFormat="1" ht="13.5">
      <c r="B128" s="845"/>
      <c r="C128" s="846"/>
      <c r="D128" s="846"/>
      <c r="E128" s="846"/>
      <c r="F128" s="275"/>
      <c r="G128" s="286"/>
      <c r="H128" s="848"/>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839"/>
      <c r="AG128" s="839"/>
      <c r="AH128" s="839"/>
      <c r="AI128" s="839"/>
      <c r="AJ128" s="839"/>
      <c r="AK128" s="839"/>
      <c r="AL128" s="839"/>
      <c r="AM128" s="839"/>
      <c r="AN128" s="839"/>
      <c r="AO128" s="839"/>
    </row>
    <row r="129" spans="2:41" s="833" customFormat="1" ht="13.5">
      <c r="B129" s="845"/>
      <c r="C129" s="846"/>
      <c r="D129" s="846"/>
      <c r="E129" s="950" t="s">
        <v>2131</v>
      </c>
      <c r="F129" s="951"/>
      <c r="G129" s="952"/>
      <c r="H129" s="942">
        <f>SUM(J129:AE129)</f>
        <v>0</v>
      </c>
      <c r="I129" s="943"/>
      <c r="J129" s="287">
        <f t="shared" ref="J129:AE129" si="42">(J96-J107-J118)*(ABS(J96-J107-J118)&gt;0.001)</f>
        <v>0</v>
      </c>
      <c r="K129" s="287">
        <f t="shared" si="42"/>
        <v>0</v>
      </c>
      <c r="L129" s="287">
        <f t="shared" si="42"/>
        <v>0</v>
      </c>
      <c r="M129" s="287">
        <f t="shared" si="42"/>
        <v>0</v>
      </c>
      <c r="N129" s="287">
        <f t="shared" si="42"/>
        <v>0</v>
      </c>
      <c r="O129" s="287">
        <f t="shared" si="42"/>
        <v>0</v>
      </c>
      <c r="P129" s="287">
        <f t="shared" si="42"/>
        <v>0</v>
      </c>
      <c r="Q129" s="287">
        <f t="shared" si="42"/>
        <v>0</v>
      </c>
      <c r="R129" s="287">
        <f t="shared" si="42"/>
        <v>0</v>
      </c>
      <c r="S129" s="287">
        <f t="shared" si="42"/>
        <v>0</v>
      </c>
      <c r="T129" s="287">
        <f>(T96-T107-T118)*(ABS(T96-T107-T118)&gt;0.001)</f>
        <v>0</v>
      </c>
      <c r="U129" s="287">
        <f t="shared" si="42"/>
        <v>0</v>
      </c>
      <c r="V129" s="287">
        <f t="shared" si="42"/>
        <v>0</v>
      </c>
      <c r="W129" s="287">
        <f t="shared" si="42"/>
        <v>0</v>
      </c>
      <c r="X129" s="287">
        <f t="shared" si="42"/>
        <v>0</v>
      </c>
      <c r="Y129" s="287">
        <f t="shared" si="42"/>
        <v>0</v>
      </c>
      <c r="Z129" s="287">
        <f t="shared" si="42"/>
        <v>0</v>
      </c>
      <c r="AA129" s="287">
        <f t="shared" si="42"/>
        <v>0</v>
      </c>
      <c r="AB129" s="287">
        <f t="shared" si="42"/>
        <v>0</v>
      </c>
      <c r="AC129" s="287">
        <f t="shared" si="42"/>
        <v>0</v>
      </c>
      <c r="AD129" s="287">
        <f t="shared" si="42"/>
        <v>0</v>
      </c>
      <c r="AE129" s="287">
        <f t="shared" si="42"/>
        <v>0</v>
      </c>
      <c r="AF129" s="839"/>
      <c r="AG129" s="839"/>
      <c r="AH129" s="839"/>
      <c r="AI129" s="839"/>
      <c r="AJ129" s="839"/>
      <c r="AK129" s="839"/>
      <c r="AL129" s="839"/>
      <c r="AM129" s="839"/>
      <c r="AN129" s="839"/>
      <c r="AO129" s="839"/>
    </row>
    <row r="130" spans="2:41" s="846" customFormat="1" ht="13.5">
      <c r="B130" s="845"/>
      <c r="E130" s="949"/>
      <c r="F130" s="924"/>
      <c r="G130" s="261"/>
      <c r="H130" s="288">
        <f>IFERROR(H129/H$96,)</f>
        <v>0</v>
      </c>
      <c r="J130" s="288">
        <f>IFERROR(J129/J$96,)</f>
        <v>0</v>
      </c>
      <c r="K130" s="288">
        <f t="shared" ref="K130:AE130" si="43">IFERROR(K129/K$96,)</f>
        <v>0</v>
      </c>
      <c r="L130" s="288">
        <f t="shared" si="43"/>
        <v>0</v>
      </c>
      <c r="M130" s="288">
        <f t="shared" si="43"/>
        <v>0</v>
      </c>
      <c r="N130" s="288">
        <f t="shared" si="43"/>
        <v>0</v>
      </c>
      <c r="O130" s="288">
        <f t="shared" si="43"/>
        <v>0</v>
      </c>
      <c r="P130" s="288">
        <f t="shared" si="43"/>
        <v>0</v>
      </c>
      <c r="Q130" s="288">
        <f t="shared" si="43"/>
        <v>0</v>
      </c>
      <c r="R130" s="288">
        <f t="shared" si="43"/>
        <v>0</v>
      </c>
      <c r="S130" s="288">
        <f t="shared" si="43"/>
        <v>0</v>
      </c>
      <c r="T130" s="288">
        <f t="shared" si="43"/>
        <v>0</v>
      </c>
      <c r="U130" s="288">
        <f t="shared" si="43"/>
        <v>0</v>
      </c>
      <c r="V130" s="288">
        <f t="shared" si="43"/>
        <v>0</v>
      </c>
      <c r="W130" s="288">
        <f t="shared" si="43"/>
        <v>0</v>
      </c>
      <c r="X130" s="288">
        <f t="shared" si="43"/>
        <v>0</v>
      </c>
      <c r="Y130" s="288">
        <f t="shared" si="43"/>
        <v>0</v>
      </c>
      <c r="Z130" s="288">
        <f t="shared" si="43"/>
        <v>0</v>
      </c>
      <c r="AA130" s="288">
        <f t="shared" si="43"/>
        <v>0</v>
      </c>
      <c r="AB130" s="288">
        <f t="shared" si="43"/>
        <v>0</v>
      </c>
      <c r="AC130" s="288">
        <f t="shared" si="43"/>
        <v>0</v>
      </c>
      <c r="AD130" s="288">
        <f t="shared" si="43"/>
        <v>0</v>
      </c>
      <c r="AE130" s="288">
        <f t="shared" si="43"/>
        <v>0</v>
      </c>
      <c r="AF130" s="925"/>
      <c r="AG130" s="925"/>
      <c r="AH130" s="925"/>
      <c r="AI130" s="925"/>
      <c r="AJ130" s="925"/>
      <c r="AK130" s="925"/>
      <c r="AL130" s="925"/>
      <c r="AM130" s="925"/>
      <c r="AN130" s="925"/>
      <c r="AO130" s="925"/>
    </row>
    <row r="131" spans="2:41" s="833" customFormat="1">
      <c r="B131" s="845"/>
      <c r="C131" s="846"/>
      <c r="D131" s="846"/>
      <c r="E131" s="846"/>
      <c r="F131" s="846"/>
      <c r="G131" s="953">
        <f>SUM(H107,H118,H129,-H96)*(ABS(SUM(H107,H118,H129,-H96))&gt;0.0001)</f>
        <v>0</v>
      </c>
      <c r="H131" s="848">
        <f>SUM(J131:AE131)</f>
        <v>0</v>
      </c>
      <c r="J131" s="848">
        <f t="shared" ref="J131:AE131" si="44">SUM(J107,J118,J129,-J96)*(ABS(SUM(J107,J118,J129,-J96))&gt;0.0001)</f>
        <v>0</v>
      </c>
      <c r="K131" s="848">
        <f t="shared" si="44"/>
        <v>0</v>
      </c>
      <c r="L131" s="848">
        <f t="shared" si="44"/>
        <v>0</v>
      </c>
      <c r="M131" s="848">
        <f t="shared" si="44"/>
        <v>0</v>
      </c>
      <c r="N131" s="848">
        <f t="shared" si="44"/>
        <v>0</v>
      </c>
      <c r="O131" s="848">
        <f t="shared" si="44"/>
        <v>0</v>
      </c>
      <c r="P131" s="848">
        <f t="shared" si="44"/>
        <v>0</v>
      </c>
      <c r="Q131" s="848">
        <f t="shared" si="44"/>
        <v>0</v>
      </c>
      <c r="R131" s="848">
        <f t="shared" si="44"/>
        <v>0</v>
      </c>
      <c r="S131" s="848">
        <f t="shared" si="44"/>
        <v>0</v>
      </c>
      <c r="T131" s="848">
        <f t="shared" si="44"/>
        <v>0</v>
      </c>
      <c r="U131" s="848">
        <f t="shared" si="44"/>
        <v>0</v>
      </c>
      <c r="V131" s="848">
        <f t="shared" si="44"/>
        <v>0</v>
      </c>
      <c r="W131" s="848">
        <f t="shared" si="44"/>
        <v>0</v>
      </c>
      <c r="X131" s="848">
        <f t="shared" si="44"/>
        <v>0</v>
      </c>
      <c r="Y131" s="848">
        <f t="shared" si="44"/>
        <v>0</v>
      </c>
      <c r="Z131" s="848">
        <f t="shared" si="44"/>
        <v>0</v>
      </c>
      <c r="AA131" s="848">
        <f t="shared" si="44"/>
        <v>0</v>
      </c>
      <c r="AB131" s="848">
        <f t="shared" si="44"/>
        <v>0</v>
      </c>
      <c r="AC131" s="848">
        <f t="shared" si="44"/>
        <v>0</v>
      </c>
      <c r="AD131" s="848">
        <f t="shared" si="44"/>
        <v>0</v>
      </c>
      <c r="AE131" s="848">
        <f t="shared" si="44"/>
        <v>0</v>
      </c>
      <c r="AF131" s="839"/>
      <c r="AG131" s="839"/>
      <c r="AH131" s="839"/>
      <c r="AI131" s="839"/>
      <c r="AJ131" s="839"/>
      <c r="AK131" s="839"/>
      <c r="AL131" s="839"/>
      <c r="AM131" s="839"/>
      <c r="AN131" s="839"/>
      <c r="AO131" s="839"/>
    </row>
    <row r="132" spans="2:41" s="833" customFormat="1" ht="13.5">
      <c r="B132" s="845"/>
      <c r="C132" s="846"/>
      <c r="D132" s="846"/>
      <c r="E132" s="846" t="s">
        <v>920</v>
      </c>
      <c r="F132" s="846"/>
      <c r="H132" s="848"/>
      <c r="J132" s="912">
        <v>44500</v>
      </c>
      <c r="K132" s="912">
        <v>44681</v>
      </c>
      <c r="L132" s="912">
        <v>44865</v>
      </c>
      <c r="M132" s="912">
        <v>45046</v>
      </c>
      <c r="N132" s="912">
        <v>45230</v>
      </c>
      <c r="O132" s="912">
        <v>45412</v>
      </c>
      <c r="P132" s="912">
        <v>45596</v>
      </c>
      <c r="Q132" s="912">
        <v>45777</v>
      </c>
      <c r="R132" s="912">
        <v>45961</v>
      </c>
      <c r="S132" s="912">
        <v>46142</v>
      </c>
      <c r="T132" s="912">
        <v>46326</v>
      </c>
      <c r="U132" s="912">
        <v>46507</v>
      </c>
      <c r="V132" s="912">
        <v>46691</v>
      </c>
      <c r="W132" s="912">
        <v>46873</v>
      </c>
      <c r="X132" s="912">
        <v>47057</v>
      </c>
      <c r="Y132" s="912">
        <v>47238</v>
      </c>
      <c r="Z132" s="912">
        <v>47422</v>
      </c>
      <c r="AA132" s="912">
        <v>47603</v>
      </c>
      <c r="AB132" s="912">
        <v>47787</v>
      </c>
      <c r="AC132" s="912">
        <v>47968</v>
      </c>
      <c r="AD132" s="912">
        <v>48029</v>
      </c>
      <c r="AE132" s="912">
        <v>0</v>
      </c>
      <c r="AF132" s="839"/>
      <c r="AG132" s="839"/>
      <c r="AH132" s="839"/>
      <c r="AI132" s="839"/>
      <c r="AJ132" s="839"/>
      <c r="AK132" s="839"/>
      <c r="AL132" s="839"/>
      <c r="AM132" s="839"/>
      <c r="AN132" s="839"/>
      <c r="AO132" s="839"/>
    </row>
    <row r="133" spans="2:41" s="833" customFormat="1" ht="13.5">
      <c r="B133" s="845"/>
      <c r="C133" s="846"/>
      <c r="D133" s="846"/>
      <c r="E133" s="846" t="s">
        <v>2132</v>
      </c>
      <c r="F133" s="846"/>
      <c r="G133" s="289">
        <v>3</v>
      </c>
      <c r="H133" s="244"/>
      <c r="J133" s="912">
        <v>44592</v>
      </c>
      <c r="K133" s="912">
        <v>44773</v>
      </c>
      <c r="L133" s="912">
        <v>44957</v>
      </c>
      <c r="M133" s="912">
        <v>45138</v>
      </c>
      <c r="N133" s="912">
        <v>45322</v>
      </c>
      <c r="O133" s="912">
        <v>45504</v>
      </c>
      <c r="P133" s="912">
        <v>45688</v>
      </c>
      <c r="Q133" s="912">
        <v>45869</v>
      </c>
      <c r="R133" s="912">
        <v>46053</v>
      </c>
      <c r="S133" s="912">
        <v>46234</v>
      </c>
      <c r="T133" s="912">
        <v>46418</v>
      </c>
      <c r="U133" s="912">
        <v>46599</v>
      </c>
      <c r="V133" s="912">
        <v>46783</v>
      </c>
      <c r="W133" s="912">
        <v>46965</v>
      </c>
      <c r="X133" s="912">
        <v>47149</v>
      </c>
      <c r="Y133" s="912">
        <v>47330</v>
      </c>
      <c r="Z133" s="912">
        <v>47514</v>
      </c>
      <c r="AA133" s="912">
        <v>47695</v>
      </c>
      <c r="AB133" s="912">
        <v>47879</v>
      </c>
      <c r="AC133" s="912">
        <v>48029</v>
      </c>
      <c r="AD133" s="912">
        <v>48029</v>
      </c>
      <c r="AE133" s="912">
        <v>0</v>
      </c>
      <c r="AF133" s="839"/>
      <c r="AG133" s="839"/>
      <c r="AH133" s="839"/>
      <c r="AI133" s="839"/>
      <c r="AJ133" s="839"/>
      <c r="AK133" s="839"/>
      <c r="AL133" s="839"/>
      <c r="AM133" s="839"/>
      <c r="AN133" s="839"/>
      <c r="AO133" s="839"/>
    </row>
    <row r="134" spans="2:41" s="833" customFormat="1">
      <c r="B134" s="860"/>
      <c r="C134" s="861"/>
      <c r="D134" s="861"/>
      <c r="E134" s="861"/>
      <c r="F134" s="861"/>
      <c r="G134" s="861"/>
      <c r="H134" s="909"/>
      <c r="J134" s="255"/>
      <c r="K134" s="255"/>
      <c r="L134" s="255"/>
      <c r="M134" s="255"/>
      <c r="N134" s="255"/>
      <c r="O134" s="255"/>
      <c r="P134" s="255"/>
      <c r="Q134" s="255"/>
      <c r="R134" s="255"/>
      <c r="S134" s="255"/>
      <c r="T134" s="255"/>
      <c r="U134" s="255"/>
      <c r="V134" s="255"/>
      <c r="W134" s="255"/>
      <c r="X134" s="255"/>
      <c r="Y134" s="255"/>
      <c r="Z134" s="255"/>
      <c r="AA134" s="255"/>
      <c r="AB134" s="255"/>
      <c r="AC134" s="255"/>
      <c r="AD134" s="255"/>
      <c r="AE134" s="255"/>
      <c r="AF134" s="839"/>
      <c r="AG134" s="839"/>
      <c r="AH134" s="839"/>
      <c r="AI134" s="839"/>
      <c r="AJ134" s="839"/>
      <c r="AK134" s="839"/>
      <c r="AL134" s="839"/>
      <c r="AM134" s="839"/>
      <c r="AN134" s="839"/>
      <c r="AO134" s="839"/>
    </row>
    <row r="135" spans="2:41" s="833" customFormat="1">
      <c r="B135" s="907"/>
      <c r="C135" s="908"/>
      <c r="D135" s="908"/>
      <c r="E135" s="908"/>
      <c r="F135" s="908"/>
      <c r="G135" s="908"/>
      <c r="H135" s="864"/>
      <c r="J135" s="865"/>
      <c r="K135" s="865"/>
      <c r="L135" s="865"/>
      <c r="M135" s="865"/>
      <c r="N135" s="865"/>
      <c r="O135" s="865"/>
      <c r="P135" s="865"/>
      <c r="Q135" s="865"/>
      <c r="R135" s="865"/>
      <c r="S135" s="865"/>
      <c r="T135" s="865"/>
      <c r="U135" s="865"/>
      <c r="V135" s="865"/>
      <c r="W135" s="865"/>
      <c r="X135" s="865"/>
      <c r="Y135" s="865"/>
      <c r="Z135" s="865"/>
      <c r="AA135" s="865"/>
      <c r="AB135" s="865"/>
      <c r="AC135" s="865"/>
      <c r="AD135" s="865"/>
      <c r="AE135" s="865"/>
      <c r="AF135" s="839"/>
      <c r="AG135" s="839"/>
      <c r="AH135" s="839"/>
      <c r="AI135" s="839"/>
      <c r="AJ135" s="839"/>
      <c r="AK135" s="839"/>
      <c r="AL135" s="839"/>
      <c r="AM135" s="839"/>
      <c r="AN135" s="839"/>
      <c r="AO135" s="839"/>
    </row>
    <row r="136" spans="2:41" s="833" customFormat="1" ht="13.5">
      <c r="B136" s="845"/>
      <c r="C136" s="857" t="s">
        <v>2133</v>
      </c>
      <c r="D136" s="852" t="s">
        <v>921</v>
      </c>
      <c r="F136" s="954"/>
      <c r="G136" s="815">
        <v>0</v>
      </c>
      <c r="H136" s="848">
        <f>SUM(J136:AE136)</f>
        <v>280486.24494013569</v>
      </c>
      <c r="J136" s="848">
        <v>0</v>
      </c>
      <c r="K136" s="848">
        <v>0</v>
      </c>
      <c r="L136" s="848">
        <v>0</v>
      </c>
      <c r="M136" s="848">
        <v>0</v>
      </c>
      <c r="N136" s="848">
        <v>0</v>
      </c>
      <c r="O136" s="848">
        <v>0</v>
      </c>
      <c r="P136" s="848">
        <v>0</v>
      </c>
      <c r="Q136" s="848">
        <v>0</v>
      </c>
      <c r="R136" s="848">
        <v>0</v>
      </c>
      <c r="S136" s="848">
        <v>0</v>
      </c>
      <c r="T136" s="848">
        <v>0</v>
      </c>
      <c r="U136" s="848">
        <v>0</v>
      </c>
      <c r="V136" s="848">
        <v>0</v>
      </c>
      <c r="W136" s="848">
        <v>0</v>
      </c>
      <c r="X136" s="848">
        <v>0</v>
      </c>
      <c r="Y136" s="848">
        <v>0</v>
      </c>
      <c r="Z136" s="848">
        <v>0</v>
      </c>
      <c r="AA136" s="848">
        <v>0</v>
      </c>
      <c r="AB136" s="848">
        <v>0</v>
      </c>
      <c r="AC136" s="848">
        <v>0</v>
      </c>
      <c r="AD136" s="2369">
        <v>280486.24494013569</v>
      </c>
      <c r="AE136" s="848">
        <v>0</v>
      </c>
      <c r="AF136" s="839"/>
      <c r="AG136" s="839"/>
      <c r="AH136" s="839"/>
      <c r="AI136" s="839"/>
      <c r="AJ136" s="839"/>
      <c r="AK136" s="839"/>
      <c r="AL136" s="839"/>
      <c r="AM136" s="839"/>
      <c r="AN136" s="839"/>
      <c r="AO136" s="839"/>
    </row>
    <row r="137" spans="2:41" s="833" customFormat="1" ht="13.5">
      <c r="B137" s="845"/>
      <c r="C137" s="846"/>
      <c r="D137" s="868"/>
      <c r="E137" s="846"/>
      <c r="F137" s="846"/>
      <c r="G137" s="846"/>
      <c r="H137" s="848"/>
      <c r="J137" s="848"/>
      <c r="K137" s="848"/>
      <c r="L137" s="848"/>
      <c r="M137" s="848"/>
      <c r="N137" s="848"/>
      <c r="O137" s="848"/>
      <c r="P137" s="848"/>
      <c r="Q137" s="848"/>
      <c r="R137" s="848"/>
      <c r="S137" s="848"/>
      <c r="T137" s="848"/>
      <c r="U137" s="848"/>
      <c r="V137" s="848"/>
      <c r="W137" s="848"/>
      <c r="X137" s="848"/>
      <c r="Y137" s="848"/>
      <c r="Z137" s="848"/>
      <c r="AA137" s="848"/>
      <c r="AB137" s="848"/>
      <c r="AC137" s="848"/>
      <c r="AD137" s="848"/>
      <c r="AE137" s="848"/>
      <c r="AF137" s="839"/>
      <c r="AG137" s="839"/>
      <c r="AH137" s="839"/>
      <c r="AI137" s="839"/>
      <c r="AJ137" s="839"/>
      <c r="AK137" s="839"/>
      <c r="AL137" s="839"/>
      <c r="AM137" s="839"/>
      <c r="AN137" s="839"/>
      <c r="AO137" s="839"/>
    </row>
    <row r="138" spans="2:41" s="833" customFormat="1">
      <c r="B138" s="845"/>
      <c r="C138" s="846"/>
      <c r="D138" s="2350" t="s">
        <v>2134</v>
      </c>
      <c r="E138" s="846"/>
      <c r="F138" s="846"/>
      <c r="G138" s="846"/>
      <c r="H138" s="848"/>
      <c r="J138" s="848"/>
      <c r="K138" s="848"/>
      <c r="L138" s="848"/>
      <c r="M138" s="848"/>
      <c r="N138" s="848"/>
      <c r="O138" s="848"/>
      <c r="P138" s="848"/>
      <c r="Q138" s="848"/>
      <c r="R138" s="848"/>
      <c r="S138" s="848"/>
      <c r="T138" s="848"/>
      <c r="U138" s="848"/>
      <c r="V138" s="848"/>
      <c r="W138" s="848"/>
      <c r="X138" s="848"/>
      <c r="Y138" s="848"/>
      <c r="Z138" s="848"/>
      <c r="AA138" s="848"/>
      <c r="AB138" s="848"/>
      <c r="AC138" s="848"/>
      <c r="AD138" s="848"/>
      <c r="AE138" s="848"/>
      <c r="AF138" s="839"/>
      <c r="AG138" s="839"/>
      <c r="AH138" s="839"/>
      <c r="AI138" s="839"/>
      <c r="AJ138" s="839"/>
      <c r="AK138" s="839"/>
      <c r="AL138" s="839"/>
      <c r="AM138" s="839"/>
      <c r="AN138" s="839"/>
      <c r="AO138" s="839"/>
    </row>
    <row r="139" spans="2:41" s="833" customFormat="1" ht="13.5">
      <c r="B139" s="845"/>
      <c r="C139" s="846"/>
      <c r="D139" s="846"/>
      <c r="E139" s="955" t="s">
        <v>2135</v>
      </c>
      <c r="F139" s="849"/>
      <c r="G139" s="956">
        <f>MAX(H104-H107-H93,0)*(ABS(H104-H107-H93)&gt;0.0001)</f>
        <v>12070.343539670037</v>
      </c>
      <c r="H139" s="850">
        <f>SUM(J139:AK139)</f>
        <v>12070.343539670037</v>
      </c>
      <c r="I139" s="851"/>
      <c r="J139" s="850">
        <f t="shared" ref="J139:AE139" si="45">MIN(J$136+$G142+$G143,$G139)*(J$136+$G142+$G143&gt;0)*(J$7=$G$7)</f>
        <v>0</v>
      </c>
      <c r="K139" s="850">
        <f t="shared" si="45"/>
        <v>0</v>
      </c>
      <c r="L139" s="850">
        <f t="shared" si="45"/>
        <v>0</v>
      </c>
      <c r="M139" s="850">
        <f t="shared" si="45"/>
        <v>0</v>
      </c>
      <c r="N139" s="850">
        <f t="shared" si="45"/>
        <v>0</v>
      </c>
      <c r="O139" s="850">
        <f t="shared" si="45"/>
        <v>0</v>
      </c>
      <c r="P139" s="850">
        <f t="shared" si="45"/>
        <v>0</v>
      </c>
      <c r="Q139" s="850">
        <f t="shared" si="45"/>
        <v>0</v>
      </c>
      <c r="R139" s="850">
        <f t="shared" si="45"/>
        <v>0</v>
      </c>
      <c r="S139" s="850">
        <f t="shared" si="45"/>
        <v>0</v>
      </c>
      <c r="T139" s="850">
        <f t="shared" si="45"/>
        <v>0</v>
      </c>
      <c r="U139" s="850">
        <f t="shared" si="45"/>
        <v>0</v>
      </c>
      <c r="V139" s="850">
        <f t="shared" si="45"/>
        <v>0</v>
      </c>
      <c r="W139" s="850">
        <f t="shared" si="45"/>
        <v>0</v>
      </c>
      <c r="X139" s="850">
        <f t="shared" si="45"/>
        <v>0</v>
      </c>
      <c r="Y139" s="850">
        <f t="shared" si="45"/>
        <v>0</v>
      </c>
      <c r="Z139" s="850">
        <f t="shared" si="45"/>
        <v>0</v>
      </c>
      <c r="AA139" s="850">
        <f t="shared" si="45"/>
        <v>0</v>
      </c>
      <c r="AB139" s="850">
        <f t="shared" si="45"/>
        <v>0</v>
      </c>
      <c r="AC139" s="850">
        <f t="shared" si="45"/>
        <v>0</v>
      </c>
      <c r="AD139" s="850">
        <f>MIN(AD$136+$G142+$G143,$G139)*(AD$136+$G142+$G143&gt;0)*(AD$7=$G$7)</f>
        <v>12070.343539670037</v>
      </c>
      <c r="AE139" s="850">
        <f t="shared" si="45"/>
        <v>0</v>
      </c>
      <c r="AF139" s="839"/>
      <c r="AG139" s="839"/>
      <c r="AH139" s="839"/>
      <c r="AI139" s="839"/>
      <c r="AJ139" s="839"/>
      <c r="AK139" s="839"/>
      <c r="AL139" s="839"/>
      <c r="AM139" s="839"/>
      <c r="AN139" s="839"/>
      <c r="AO139" s="839"/>
    </row>
    <row r="140" spans="2:41" s="888" customFormat="1" ht="13.5" outlineLevel="1">
      <c r="B140" s="957"/>
      <c r="C140" s="958"/>
      <c r="D140" s="959" t="s">
        <v>2136</v>
      </c>
      <c r="E140" s="854"/>
      <c r="F140" s="958"/>
      <c r="G140" s="958"/>
      <c r="H140" s="960"/>
      <c r="J140" s="960"/>
      <c r="K140" s="960"/>
      <c r="L140" s="960"/>
      <c r="M140" s="960"/>
      <c r="N140" s="960"/>
      <c r="O140" s="960"/>
      <c r="P140" s="960"/>
      <c r="Q140" s="960"/>
      <c r="R140" s="960"/>
      <c r="S140" s="960"/>
      <c r="T140" s="960"/>
      <c r="U140" s="960"/>
      <c r="V140" s="960"/>
      <c r="W140" s="960"/>
      <c r="X140" s="960"/>
      <c r="Y140" s="960"/>
      <c r="Z140" s="960"/>
      <c r="AA140" s="960"/>
      <c r="AB140" s="960"/>
      <c r="AC140" s="960"/>
      <c r="AD140" s="960"/>
      <c r="AE140" s="960"/>
      <c r="AF140" s="887"/>
      <c r="AG140" s="887"/>
      <c r="AH140" s="887"/>
      <c r="AI140" s="887"/>
      <c r="AJ140" s="887"/>
      <c r="AK140" s="887"/>
      <c r="AL140" s="887"/>
      <c r="AM140" s="887"/>
      <c r="AN140" s="887"/>
      <c r="AO140" s="887"/>
    </row>
    <row r="141" spans="2:41" s="833" customFormat="1" ht="13.5" outlineLevel="1">
      <c r="B141" s="845"/>
      <c r="C141" s="846"/>
      <c r="D141" s="854"/>
      <c r="E141" s="961" t="s">
        <v>2137</v>
      </c>
      <c r="F141" s="849"/>
      <c r="G141" s="962">
        <f>MAX(H115-H118-H94,0)</f>
        <v>0</v>
      </c>
      <c r="H141" s="850">
        <f>SUM(J141:AK141)</f>
        <v>0</v>
      </c>
      <c r="I141" s="851"/>
      <c r="J141" s="850">
        <f t="shared" ref="J141:AE141" si="46">MIN(J$136-J$139+$G143,$G141)*(J$136-J$139+$G143&gt;0)*(J$7=$G$7)</f>
        <v>0</v>
      </c>
      <c r="K141" s="850">
        <f t="shared" si="46"/>
        <v>0</v>
      </c>
      <c r="L141" s="850">
        <f t="shared" si="46"/>
        <v>0</v>
      </c>
      <c r="M141" s="850">
        <f t="shared" si="46"/>
        <v>0</v>
      </c>
      <c r="N141" s="850">
        <f t="shared" si="46"/>
        <v>0</v>
      </c>
      <c r="O141" s="850">
        <f t="shared" si="46"/>
        <v>0</v>
      </c>
      <c r="P141" s="850">
        <f t="shared" si="46"/>
        <v>0</v>
      </c>
      <c r="Q141" s="850">
        <f t="shared" si="46"/>
        <v>0</v>
      </c>
      <c r="R141" s="850">
        <f t="shared" si="46"/>
        <v>0</v>
      </c>
      <c r="S141" s="850">
        <f t="shared" si="46"/>
        <v>0</v>
      </c>
      <c r="T141" s="850">
        <f t="shared" si="46"/>
        <v>0</v>
      </c>
      <c r="U141" s="850">
        <f t="shared" si="46"/>
        <v>0</v>
      </c>
      <c r="V141" s="850">
        <f t="shared" si="46"/>
        <v>0</v>
      </c>
      <c r="W141" s="850">
        <f t="shared" si="46"/>
        <v>0</v>
      </c>
      <c r="X141" s="850">
        <f t="shared" si="46"/>
        <v>0</v>
      </c>
      <c r="Y141" s="850">
        <f t="shared" si="46"/>
        <v>0</v>
      </c>
      <c r="Z141" s="850">
        <f t="shared" si="46"/>
        <v>0</v>
      </c>
      <c r="AA141" s="850">
        <f t="shared" si="46"/>
        <v>0</v>
      </c>
      <c r="AB141" s="850">
        <f t="shared" si="46"/>
        <v>0</v>
      </c>
      <c r="AC141" s="850">
        <f t="shared" si="46"/>
        <v>0</v>
      </c>
      <c r="AD141" s="850">
        <f t="shared" si="46"/>
        <v>0</v>
      </c>
      <c r="AE141" s="850">
        <f t="shared" si="46"/>
        <v>0</v>
      </c>
      <c r="AF141" s="839"/>
      <c r="AG141" s="839"/>
      <c r="AH141" s="839"/>
      <c r="AI141" s="839"/>
      <c r="AJ141" s="839"/>
      <c r="AK141" s="839"/>
      <c r="AL141" s="839"/>
      <c r="AM141" s="839"/>
      <c r="AN141" s="839"/>
      <c r="AO141" s="839"/>
    </row>
    <row r="142" spans="2:41" s="888" customFormat="1" ht="13.5" outlineLevel="1">
      <c r="B142" s="957"/>
      <c r="C142" s="958"/>
      <c r="D142" s="854"/>
      <c r="E142" s="963" t="s">
        <v>2138</v>
      </c>
      <c r="F142" s="964"/>
      <c r="G142" s="965">
        <v>0</v>
      </c>
      <c r="H142" s="960"/>
      <c r="J142" s="960"/>
      <c r="K142" s="960"/>
      <c r="L142" s="960"/>
      <c r="M142" s="960"/>
      <c r="N142" s="960"/>
      <c r="O142" s="960"/>
      <c r="P142" s="960"/>
      <c r="Q142" s="960"/>
      <c r="R142" s="960"/>
      <c r="S142" s="960"/>
      <c r="T142" s="960"/>
      <c r="U142" s="960"/>
      <c r="V142" s="960"/>
      <c r="W142" s="960"/>
      <c r="X142" s="960"/>
      <c r="Y142" s="960"/>
      <c r="Z142" s="960"/>
      <c r="AA142" s="960"/>
      <c r="AB142" s="960"/>
      <c r="AC142" s="960"/>
      <c r="AD142" s="960"/>
      <c r="AE142" s="960"/>
      <c r="AF142" s="887"/>
      <c r="AG142" s="887"/>
      <c r="AH142" s="887"/>
      <c r="AI142" s="887"/>
      <c r="AJ142" s="887"/>
      <c r="AK142" s="887"/>
      <c r="AL142" s="887"/>
      <c r="AM142" s="887"/>
      <c r="AN142" s="887"/>
      <c r="AO142" s="887"/>
    </row>
    <row r="143" spans="2:41" s="833" customFormat="1" ht="13.5">
      <c r="B143" s="845"/>
      <c r="C143" s="846"/>
      <c r="D143" s="846"/>
      <c r="E143" s="966" t="s">
        <v>2139</v>
      </c>
      <c r="F143" s="967"/>
      <c r="G143" s="965">
        <v>35000</v>
      </c>
      <c r="H143" s="848"/>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c r="AF143" s="839"/>
      <c r="AG143" s="839"/>
      <c r="AH143" s="839"/>
      <c r="AI143" s="839"/>
      <c r="AJ143" s="839"/>
      <c r="AK143" s="839"/>
      <c r="AL143" s="839"/>
      <c r="AM143" s="839"/>
      <c r="AN143" s="839"/>
      <c r="AO143" s="839"/>
    </row>
    <row r="144" spans="2:41" s="833" customFormat="1">
      <c r="B144" s="845"/>
      <c r="C144" s="846"/>
      <c r="D144" s="945"/>
      <c r="E144" s="945"/>
      <c r="F144" s="945"/>
      <c r="G144" s="945"/>
      <c r="H144" s="968"/>
      <c r="J144" s="969"/>
      <c r="K144" s="969"/>
      <c r="L144" s="969"/>
      <c r="M144" s="969"/>
      <c r="N144" s="969"/>
      <c r="O144" s="969"/>
      <c r="P144" s="969"/>
      <c r="Q144" s="969"/>
      <c r="R144" s="969"/>
      <c r="S144" s="969"/>
      <c r="T144" s="969"/>
      <c r="U144" s="969"/>
      <c r="V144" s="969"/>
      <c r="W144" s="969"/>
      <c r="X144" s="969"/>
      <c r="Y144" s="969"/>
      <c r="Z144" s="969"/>
      <c r="AA144" s="969"/>
      <c r="AB144" s="969"/>
      <c r="AC144" s="969"/>
      <c r="AD144" s="969"/>
      <c r="AE144" s="969"/>
      <c r="AF144" s="839"/>
      <c r="AG144" s="839"/>
      <c r="AH144" s="839"/>
      <c r="AI144" s="839"/>
      <c r="AJ144" s="839"/>
      <c r="AK144" s="839"/>
      <c r="AL144" s="839"/>
      <c r="AM144" s="839"/>
      <c r="AN144" s="839"/>
      <c r="AO144" s="839"/>
    </row>
    <row r="145" spans="1:216" s="833" customFormat="1">
      <c r="B145" s="845"/>
      <c r="C145" s="846"/>
      <c r="D145" s="970"/>
      <c r="E145" s="970"/>
      <c r="F145" s="970"/>
      <c r="G145" s="970"/>
      <c r="H145" s="971"/>
      <c r="J145" s="972"/>
      <c r="K145" s="972"/>
      <c r="L145" s="972"/>
      <c r="M145" s="972"/>
      <c r="N145" s="972"/>
      <c r="O145" s="972"/>
      <c r="P145" s="972"/>
      <c r="Q145" s="972"/>
      <c r="R145" s="972"/>
      <c r="S145" s="972"/>
      <c r="T145" s="972"/>
      <c r="U145" s="972"/>
      <c r="V145" s="972"/>
      <c r="W145" s="972"/>
      <c r="X145" s="972"/>
      <c r="Y145" s="972"/>
      <c r="Z145" s="972"/>
      <c r="AA145" s="972"/>
      <c r="AB145" s="972"/>
      <c r="AC145" s="972"/>
      <c r="AD145" s="972"/>
      <c r="AE145" s="972"/>
      <c r="AF145" s="839"/>
      <c r="AG145" s="839"/>
      <c r="AH145" s="839"/>
      <c r="AI145" s="839"/>
      <c r="AJ145" s="839"/>
      <c r="AK145" s="839"/>
      <c r="AL145" s="839"/>
      <c r="AM145" s="839"/>
      <c r="AN145" s="839"/>
      <c r="AO145" s="839"/>
    </row>
    <row r="146" spans="1:216" s="833" customFormat="1" ht="13.5">
      <c r="B146" s="845"/>
      <c r="E146" s="852" t="s">
        <v>2140</v>
      </c>
      <c r="G146" s="973"/>
      <c r="H146" s="848">
        <f>SUM(J146:AK146)</f>
        <v>268415.90140046563</v>
      </c>
      <c r="J146" s="848">
        <f>(J136-SUM(J141,J139))*(J$7=$G$7)</f>
        <v>0</v>
      </c>
      <c r="K146" s="848">
        <f t="shared" ref="K146:AE146" si="47">(K136-SUM(K141,K139))*(K$7=$G$7)</f>
        <v>0</v>
      </c>
      <c r="L146" s="848">
        <f t="shared" si="47"/>
        <v>0</v>
      </c>
      <c r="M146" s="848">
        <f t="shared" si="47"/>
        <v>0</v>
      </c>
      <c r="N146" s="848">
        <f t="shared" si="47"/>
        <v>0</v>
      </c>
      <c r="O146" s="848">
        <f t="shared" si="47"/>
        <v>0</v>
      </c>
      <c r="P146" s="848">
        <f t="shared" si="47"/>
        <v>0</v>
      </c>
      <c r="Q146" s="848">
        <f t="shared" si="47"/>
        <v>0</v>
      </c>
      <c r="R146" s="848">
        <f t="shared" si="47"/>
        <v>0</v>
      </c>
      <c r="S146" s="848">
        <f t="shared" si="47"/>
        <v>0</v>
      </c>
      <c r="T146" s="848">
        <f t="shared" si="47"/>
        <v>0</v>
      </c>
      <c r="U146" s="848">
        <f t="shared" si="47"/>
        <v>0</v>
      </c>
      <c r="V146" s="848">
        <f t="shared" si="47"/>
        <v>0</v>
      </c>
      <c r="W146" s="848">
        <f t="shared" si="47"/>
        <v>0</v>
      </c>
      <c r="X146" s="848">
        <f t="shared" si="47"/>
        <v>0</v>
      </c>
      <c r="Y146" s="848">
        <f t="shared" si="47"/>
        <v>0</v>
      </c>
      <c r="Z146" s="848">
        <f t="shared" si="47"/>
        <v>0</v>
      </c>
      <c r="AA146" s="848">
        <f t="shared" si="47"/>
        <v>0</v>
      </c>
      <c r="AB146" s="848">
        <f t="shared" si="47"/>
        <v>0</v>
      </c>
      <c r="AC146" s="848">
        <f t="shared" si="47"/>
        <v>0</v>
      </c>
      <c r="AD146" s="848">
        <f t="shared" si="47"/>
        <v>268415.90140046563</v>
      </c>
      <c r="AE146" s="848">
        <f t="shared" si="47"/>
        <v>0</v>
      </c>
      <c r="AF146" s="839"/>
      <c r="AG146" s="839"/>
      <c r="AH146" s="839"/>
      <c r="AI146" s="839"/>
      <c r="AJ146" s="839"/>
      <c r="AK146" s="839"/>
      <c r="AL146" s="839"/>
      <c r="AM146" s="839"/>
      <c r="AN146" s="839"/>
      <c r="AO146" s="839"/>
    </row>
    <row r="147" spans="1:216" s="833" customFormat="1" ht="13.5">
      <c r="B147" s="845"/>
      <c r="C147" s="846"/>
      <c r="D147" s="846"/>
      <c r="E147" s="868"/>
      <c r="F147" s="815"/>
      <c r="G147" s="254"/>
      <c r="H147" s="848">
        <f>SUM(J147:AE147)</f>
        <v>0</v>
      </c>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39"/>
      <c r="AG147" s="839"/>
      <c r="AH147" s="839"/>
      <c r="AI147" s="839"/>
      <c r="AJ147" s="839"/>
      <c r="AK147" s="839"/>
      <c r="AL147" s="839"/>
      <c r="AM147" s="839"/>
      <c r="AN147" s="839"/>
      <c r="AO147" s="839"/>
    </row>
    <row r="148" spans="1:216" s="833" customFormat="1" ht="13.5">
      <c r="B148" s="845"/>
      <c r="C148" s="846"/>
      <c r="D148" s="846"/>
      <c r="E148" s="974" t="s">
        <v>2141</v>
      </c>
      <c r="F148" s="953">
        <f>$H146</f>
        <v>268415.90140046563</v>
      </c>
      <c r="G148" s="290">
        <v>0.6</v>
      </c>
      <c r="H148" s="850">
        <f>SUM(J148:AE148)</f>
        <v>161049.54084027937</v>
      </c>
      <c r="I148" s="851"/>
      <c r="J148" s="850">
        <f>(J$7=$G$7)*(J146-J150-J149)</f>
        <v>0</v>
      </c>
      <c r="K148" s="850">
        <f t="shared" ref="K148:AE148" si="48">(K$7=$G$7)*(K146-K150-K149)</f>
        <v>0</v>
      </c>
      <c r="L148" s="850">
        <f t="shared" si="48"/>
        <v>0</v>
      </c>
      <c r="M148" s="850">
        <f t="shared" si="48"/>
        <v>0</v>
      </c>
      <c r="N148" s="850">
        <f t="shared" si="48"/>
        <v>0</v>
      </c>
      <c r="O148" s="850">
        <f t="shared" si="48"/>
        <v>0</v>
      </c>
      <c r="P148" s="850">
        <f t="shared" si="48"/>
        <v>0</v>
      </c>
      <c r="Q148" s="850">
        <f t="shared" si="48"/>
        <v>0</v>
      </c>
      <c r="R148" s="850">
        <f t="shared" si="48"/>
        <v>0</v>
      </c>
      <c r="S148" s="850">
        <f t="shared" si="48"/>
        <v>0</v>
      </c>
      <c r="T148" s="850">
        <f t="shared" si="48"/>
        <v>0</v>
      </c>
      <c r="U148" s="850">
        <f t="shared" si="48"/>
        <v>0</v>
      </c>
      <c r="V148" s="850">
        <f t="shared" si="48"/>
        <v>0</v>
      </c>
      <c r="W148" s="850">
        <f t="shared" si="48"/>
        <v>0</v>
      </c>
      <c r="X148" s="850">
        <f t="shared" si="48"/>
        <v>0</v>
      </c>
      <c r="Y148" s="850">
        <f t="shared" si="48"/>
        <v>0</v>
      </c>
      <c r="Z148" s="850">
        <f t="shared" si="48"/>
        <v>0</v>
      </c>
      <c r="AA148" s="850">
        <f t="shared" si="48"/>
        <v>0</v>
      </c>
      <c r="AB148" s="850">
        <f t="shared" si="48"/>
        <v>0</v>
      </c>
      <c r="AC148" s="850">
        <f t="shared" si="48"/>
        <v>0</v>
      </c>
      <c r="AD148" s="850">
        <f t="shared" si="48"/>
        <v>161049.54084027937</v>
      </c>
      <c r="AE148" s="850">
        <f t="shared" si="48"/>
        <v>0</v>
      </c>
      <c r="AF148" s="839"/>
      <c r="AG148" s="839"/>
      <c r="AH148" s="839"/>
      <c r="AI148" s="839"/>
      <c r="AJ148" s="839"/>
      <c r="AK148" s="839"/>
      <c r="AL148" s="839"/>
      <c r="AM148" s="839"/>
      <c r="AN148" s="839"/>
      <c r="AO148" s="839"/>
    </row>
    <row r="149" spans="1:216" s="833" customFormat="1" ht="13.5" outlineLevel="1">
      <c r="B149" s="845"/>
      <c r="C149" s="846"/>
      <c r="D149" s="846"/>
      <c r="E149" s="974" t="s">
        <v>200</v>
      </c>
      <c r="F149" s="953">
        <f>F148</f>
        <v>268415.90140046563</v>
      </c>
      <c r="G149" s="290">
        <v>0</v>
      </c>
      <c r="H149" s="850">
        <f>SUM(J149:AE149)</f>
        <v>0</v>
      </c>
      <c r="I149" s="851"/>
      <c r="J149" s="850">
        <f t="shared" ref="J149:AE149" si="49">(J$7=$G$7)*(($F149&gt;0)*$F149*$G149+($F149+$G$143&lt;0)*MAX($F149+$G$143,-$G$142))</f>
        <v>0</v>
      </c>
      <c r="K149" s="850">
        <f t="shared" si="49"/>
        <v>0</v>
      </c>
      <c r="L149" s="850">
        <f t="shared" si="49"/>
        <v>0</v>
      </c>
      <c r="M149" s="850">
        <f t="shared" si="49"/>
        <v>0</v>
      </c>
      <c r="N149" s="850">
        <f t="shared" si="49"/>
        <v>0</v>
      </c>
      <c r="O149" s="850">
        <f t="shared" si="49"/>
        <v>0</v>
      </c>
      <c r="P149" s="850">
        <f t="shared" si="49"/>
        <v>0</v>
      </c>
      <c r="Q149" s="850">
        <f t="shared" si="49"/>
        <v>0</v>
      </c>
      <c r="R149" s="850">
        <f t="shared" si="49"/>
        <v>0</v>
      </c>
      <c r="S149" s="850">
        <f t="shared" si="49"/>
        <v>0</v>
      </c>
      <c r="T149" s="850">
        <f t="shared" si="49"/>
        <v>0</v>
      </c>
      <c r="U149" s="850">
        <f t="shared" si="49"/>
        <v>0</v>
      </c>
      <c r="V149" s="850">
        <f t="shared" si="49"/>
        <v>0</v>
      </c>
      <c r="W149" s="850">
        <f t="shared" si="49"/>
        <v>0</v>
      </c>
      <c r="X149" s="850">
        <f t="shared" si="49"/>
        <v>0</v>
      </c>
      <c r="Y149" s="850">
        <f t="shared" si="49"/>
        <v>0</v>
      </c>
      <c r="Z149" s="850">
        <f t="shared" si="49"/>
        <v>0</v>
      </c>
      <c r="AA149" s="850">
        <f t="shared" si="49"/>
        <v>0</v>
      </c>
      <c r="AB149" s="850">
        <f t="shared" si="49"/>
        <v>0</v>
      </c>
      <c r="AC149" s="850">
        <f t="shared" si="49"/>
        <v>0</v>
      </c>
      <c r="AD149" s="850">
        <f t="shared" si="49"/>
        <v>0</v>
      </c>
      <c r="AE149" s="850">
        <f t="shared" si="49"/>
        <v>0</v>
      </c>
      <c r="AF149" s="839"/>
      <c r="AG149" s="839"/>
      <c r="AH149" s="839"/>
      <c r="AI149" s="839"/>
      <c r="AJ149" s="839"/>
      <c r="AK149" s="839"/>
      <c r="AL149" s="839"/>
      <c r="AM149" s="839"/>
      <c r="AN149" s="839"/>
      <c r="AO149" s="839"/>
    </row>
    <row r="150" spans="1:216" s="833" customFormat="1" ht="13.5">
      <c r="B150" s="845"/>
      <c r="C150" s="846"/>
      <c r="D150" s="846"/>
      <c r="E150" s="974" t="s">
        <v>2142</v>
      </c>
      <c r="F150" s="953">
        <f>F148</f>
        <v>268415.90140046563</v>
      </c>
      <c r="G150" s="291">
        <v>0.4</v>
      </c>
      <c r="H150" s="850">
        <f>SUM(J150:AE150)</f>
        <v>107366.36056018627</v>
      </c>
      <c r="I150" s="851"/>
      <c r="J150" s="850">
        <f t="shared" ref="J150:AE150" si="50">(J$7=$G$7)*(($F150&gt;0)*$F150*$G150+($F150&lt;0)*MAX($F150,-$G$143))</f>
        <v>0</v>
      </c>
      <c r="K150" s="850">
        <f t="shared" si="50"/>
        <v>0</v>
      </c>
      <c r="L150" s="850">
        <f t="shared" si="50"/>
        <v>0</v>
      </c>
      <c r="M150" s="850">
        <f t="shared" si="50"/>
        <v>0</v>
      </c>
      <c r="N150" s="850">
        <f t="shared" si="50"/>
        <v>0</v>
      </c>
      <c r="O150" s="850">
        <f t="shared" si="50"/>
        <v>0</v>
      </c>
      <c r="P150" s="850">
        <f t="shared" si="50"/>
        <v>0</v>
      </c>
      <c r="Q150" s="850">
        <f t="shared" si="50"/>
        <v>0</v>
      </c>
      <c r="R150" s="850">
        <f t="shared" si="50"/>
        <v>0</v>
      </c>
      <c r="S150" s="850">
        <f t="shared" si="50"/>
        <v>0</v>
      </c>
      <c r="T150" s="850">
        <f t="shared" si="50"/>
        <v>0</v>
      </c>
      <c r="U150" s="850">
        <f t="shared" si="50"/>
        <v>0</v>
      </c>
      <c r="V150" s="850">
        <f t="shared" si="50"/>
        <v>0</v>
      </c>
      <c r="W150" s="850">
        <f t="shared" si="50"/>
        <v>0</v>
      </c>
      <c r="X150" s="850">
        <f t="shared" si="50"/>
        <v>0</v>
      </c>
      <c r="Y150" s="850">
        <f t="shared" si="50"/>
        <v>0</v>
      </c>
      <c r="Z150" s="850">
        <f t="shared" si="50"/>
        <v>0</v>
      </c>
      <c r="AA150" s="850">
        <f t="shared" si="50"/>
        <v>0</v>
      </c>
      <c r="AB150" s="850">
        <f t="shared" si="50"/>
        <v>0</v>
      </c>
      <c r="AC150" s="850">
        <f t="shared" si="50"/>
        <v>0</v>
      </c>
      <c r="AD150" s="850">
        <f t="shared" si="50"/>
        <v>107366.36056018627</v>
      </c>
      <c r="AE150" s="850">
        <f t="shared" si="50"/>
        <v>0</v>
      </c>
      <c r="AF150" s="839"/>
      <c r="AG150" s="839"/>
      <c r="AH150" s="839"/>
      <c r="AI150" s="839"/>
      <c r="AJ150" s="839"/>
      <c r="AK150" s="839"/>
      <c r="AL150" s="839"/>
      <c r="AM150" s="839"/>
      <c r="AN150" s="839"/>
      <c r="AO150" s="839"/>
    </row>
    <row r="151" spans="1:216" s="833" customFormat="1">
      <c r="B151" s="860"/>
      <c r="C151" s="861"/>
      <c r="D151" s="861"/>
      <c r="E151" s="861"/>
      <c r="F151" s="861"/>
      <c r="G151" s="975">
        <f>SUM(H148:H150)-H146</f>
        <v>0</v>
      </c>
      <c r="H151" s="909"/>
      <c r="J151" s="255"/>
      <c r="K151" s="255"/>
      <c r="L151" s="255"/>
      <c r="M151" s="255"/>
      <c r="N151" s="255"/>
      <c r="O151" s="255"/>
      <c r="P151" s="255"/>
      <c r="Q151" s="255"/>
      <c r="R151" s="255"/>
      <c r="S151" s="255"/>
      <c r="T151" s="255"/>
      <c r="U151" s="255"/>
      <c r="V151" s="255"/>
      <c r="W151" s="255"/>
      <c r="X151" s="255"/>
      <c r="Y151" s="255"/>
      <c r="Z151" s="255"/>
      <c r="AA151" s="255"/>
      <c r="AB151" s="255"/>
      <c r="AC151" s="255"/>
      <c r="AD151" s="255"/>
      <c r="AE151" s="255"/>
      <c r="AF151" s="839"/>
      <c r="AG151" s="839"/>
      <c r="AH151" s="839"/>
      <c r="AI151" s="839"/>
      <c r="AJ151" s="839"/>
      <c r="AK151" s="839"/>
      <c r="AL151" s="839"/>
      <c r="AM151" s="839"/>
      <c r="AN151" s="839"/>
      <c r="AO151" s="839"/>
    </row>
    <row r="152" spans="1:216" s="833" customFormat="1">
      <c r="B152" s="846"/>
      <c r="C152" s="846"/>
      <c r="D152" s="846"/>
      <c r="E152" s="846"/>
      <c r="F152" s="846"/>
      <c r="G152" s="846"/>
      <c r="H152" s="976"/>
      <c r="J152" s="292"/>
      <c r="K152" s="292"/>
      <c r="L152" s="292"/>
      <c r="M152" s="292"/>
      <c r="N152" s="292"/>
      <c r="O152" s="292"/>
      <c r="P152" s="292"/>
      <c r="Q152" s="292"/>
      <c r="R152" s="292"/>
      <c r="S152" s="292"/>
      <c r="T152" s="292"/>
      <c r="U152" s="292"/>
      <c r="V152" s="292"/>
      <c r="W152" s="292"/>
      <c r="X152" s="292"/>
      <c r="Y152" s="292"/>
      <c r="Z152" s="292"/>
      <c r="AA152" s="292"/>
      <c r="AB152" s="292"/>
      <c r="AC152" s="292"/>
      <c r="AD152" s="292"/>
      <c r="AE152" s="292"/>
      <c r="AF152" s="839"/>
      <c r="AG152" s="839"/>
      <c r="AH152" s="839"/>
      <c r="AI152" s="839"/>
      <c r="AJ152" s="839"/>
      <c r="AK152" s="839"/>
      <c r="AL152" s="839"/>
      <c r="AM152" s="839"/>
      <c r="AN152" s="839"/>
      <c r="AO152" s="839"/>
    </row>
    <row r="153" spans="1:216" s="833" customFormat="1">
      <c r="C153" s="977" t="s">
        <v>2143</v>
      </c>
      <c r="G153" s="978" t="str">
        <f>IF(H153=0,"OK","Retry")</f>
        <v>OK</v>
      </c>
      <c r="H153" s="293">
        <f>SUM(J153:AE153)</f>
        <v>0</v>
      </c>
      <c r="J153" s="294">
        <f t="shared" ref="J153:AE153" si="51">IF(J$6=-1,SUM(J8:J134),0)</f>
        <v>0</v>
      </c>
      <c r="K153" s="294">
        <f t="shared" si="51"/>
        <v>0</v>
      </c>
      <c r="L153" s="294">
        <f t="shared" si="51"/>
        <v>0</v>
      </c>
      <c r="M153" s="294">
        <f t="shared" si="51"/>
        <v>0</v>
      </c>
      <c r="N153" s="294">
        <f t="shared" si="51"/>
        <v>0</v>
      </c>
      <c r="O153" s="294">
        <f t="shared" si="51"/>
        <v>0</v>
      </c>
      <c r="P153" s="294">
        <f t="shared" si="51"/>
        <v>0</v>
      </c>
      <c r="Q153" s="294">
        <f t="shared" si="51"/>
        <v>0</v>
      </c>
      <c r="R153" s="294">
        <f t="shared" si="51"/>
        <v>0</v>
      </c>
      <c r="S153" s="294">
        <f t="shared" si="51"/>
        <v>0</v>
      </c>
      <c r="T153" s="294">
        <f t="shared" si="51"/>
        <v>0</v>
      </c>
      <c r="U153" s="294">
        <f t="shared" si="51"/>
        <v>0</v>
      </c>
      <c r="V153" s="294">
        <f t="shared" si="51"/>
        <v>0</v>
      </c>
      <c r="W153" s="294">
        <f t="shared" si="51"/>
        <v>0</v>
      </c>
      <c r="X153" s="294">
        <f t="shared" si="51"/>
        <v>0</v>
      </c>
      <c r="Y153" s="294">
        <f t="shared" si="51"/>
        <v>0</v>
      </c>
      <c r="Z153" s="294">
        <f t="shared" si="51"/>
        <v>0</v>
      </c>
      <c r="AA153" s="294">
        <f t="shared" si="51"/>
        <v>0</v>
      </c>
      <c r="AB153" s="294">
        <f t="shared" si="51"/>
        <v>0</v>
      </c>
      <c r="AC153" s="294">
        <f t="shared" si="51"/>
        <v>0</v>
      </c>
      <c r="AD153" s="294">
        <f t="shared" si="51"/>
        <v>0</v>
      </c>
      <c r="AE153" s="294">
        <f t="shared" si="51"/>
        <v>0</v>
      </c>
      <c r="AF153" s="839"/>
      <c r="AG153" s="839"/>
      <c r="AH153" s="839"/>
      <c r="AI153" s="839"/>
      <c r="AJ153" s="839"/>
      <c r="AK153" s="839"/>
      <c r="AL153" s="839"/>
      <c r="AM153" s="839"/>
      <c r="AN153" s="839"/>
      <c r="AO153" s="839"/>
    </row>
    <row r="154" spans="1:216" s="833" customFormat="1" outlineLevel="1">
      <c r="A154" s="835"/>
      <c r="B154" s="835"/>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c r="AA154" s="835"/>
      <c r="AB154" s="835"/>
      <c r="AC154" s="835"/>
      <c r="AD154" s="835"/>
      <c r="AE154" s="835"/>
      <c r="AF154" s="839"/>
      <c r="AG154" s="839"/>
      <c r="AH154" s="839"/>
      <c r="AI154" s="839"/>
      <c r="AJ154" s="839"/>
      <c r="AK154" s="839"/>
      <c r="AL154" s="839"/>
      <c r="AM154" s="839"/>
      <c r="AN154" s="839"/>
      <c r="AO154" s="839"/>
      <c r="AP154" s="839"/>
      <c r="AQ154" s="839"/>
      <c r="AR154" s="835"/>
      <c r="AS154" s="835"/>
      <c r="AT154" s="835"/>
      <c r="AU154" s="835"/>
      <c r="AV154" s="835"/>
      <c r="AW154" s="835"/>
      <c r="AX154" s="835"/>
      <c r="AY154" s="835"/>
      <c r="AZ154" s="835"/>
      <c r="BA154" s="835"/>
      <c r="BB154" s="835"/>
      <c r="BC154" s="835"/>
      <c r="BD154" s="835"/>
      <c r="BE154" s="835"/>
      <c r="BF154" s="835"/>
      <c r="BG154" s="835"/>
      <c r="BH154" s="835"/>
      <c r="BI154" s="835"/>
      <c r="BJ154" s="835"/>
      <c r="BK154" s="835"/>
      <c r="BL154" s="835"/>
      <c r="BM154" s="835"/>
      <c r="BN154" s="835"/>
      <c r="BO154" s="835"/>
      <c r="BP154" s="835"/>
      <c r="BQ154" s="835"/>
      <c r="BR154" s="835"/>
      <c r="BS154" s="835"/>
      <c r="BT154" s="835"/>
      <c r="BU154" s="835"/>
      <c r="BV154" s="835"/>
      <c r="BW154" s="835"/>
      <c r="BX154" s="835"/>
      <c r="BY154" s="835"/>
      <c r="BZ154" s="835"/>
      <c r="CA154" s="835"/>
      <c r="CB154" s="835"/>
      <c r="CC154" s="835"/>
      <c r="CD154" s="835"/>
      <c r="CE154" s="835"/>
      <c r="CF154" s="835"/>
      <c r="CG154" s="835"/>
      <c r="CH154" s="835"/>
      <c r="CI154" s="835"/>
      <c r="CJ154" s="835"/>
      <c r="CK154" s="835"/>
      <c r="CL154" s="835"/>
      <c r="CM154" s="835"/>
      <c r="CN154" s="835"/>
      <c r="CO154" s="835"/>
      <c r="CP154" s="835"/>
      <c r="CQ154" s="835"/>
      <c r="CR154" s="835"/>
      <c r="CS154" s="835"/>
      <c r="CT154" s="835"/>
      <c r="CU154" s="835"/>
      <c r="CV154" s="835"/>
      <c r="CW154" s="835"/>
      <c r="CX154" s="835"/>
      <c r="CY154" s="835"/>
      <c r="CZ154" s="835"/>
      <c r="DA154" s="835"/>
      <c r="DB154" s="835"/>
      <c r="DC154" s="835"/>
      <c r="DD154" s="835"/>
      <c r="DE154" s="835"/>
      <c r="DF154" s="835"/>
      <c r="DG154" s="835"/>
      <c r="DH154" s="835"/>
      <c r="DI154" s="835"/>
      <c r="DJ154" s="835"/>
      <c r="DK154" s="835"/>
      <c r="DL154" s="835"/>
      <c r="DM154" s="835"/>
      <c r="DN154" s="835"/>
      <c r="DO154" s="835"/>
      <c r="DP154" s="835"/>
      <c r="DQ154" s="835"/>
      <c r="DR154" s="835"/>
      <c r="DS154" s="835"/>
      <c r="DT154" s="835"/>
      <c r="DU154" s="835"/>
      <c r="DV154" s="835"/>
      <c r="DW154" s="835"/>
      <c r="DX154" s="835"/>
      <c r="DY154" s="835"/>
      <c r="DZ154" s="835"/>
      <c r="EA154" s="835"/>
      <c r="EB154" s="835"/>
      <c r="EC154" s="835"/>
      <c r="ED154" s="835"/>
      <c r="EE154" s="835"/>
      <c r="EF154" s="835"/>
      <c r="EG154" s="835"/>
      <c r="EH154" s="835"/>
      <c r="EI154" s="835"/>
      <c r="EJ154" s="835"/>
      <c r="EK154" s="835"/>
      <c r="EL154" s="835"/>
      <c r="EM154" s="835"/>
      <c r="EN154" s="835"/>
      <c r="EO154" s="835"/>
      <c r="EP154" s="835"/>
      <c r="EQ154" s="835"/>
      <c r="ER154" s="835"/>
      <c r="ES154" s="835"/>
      <c r="ET154" s="835"/>
      <c r="EU154" s="835"/>
      <c r="EV154" s="835"/>
      <c r="EW154" s="835"/>
      <c r="EX154" s="835"/>
      <c r="EY154" s="835"/>
      <c r="EZ154" s="835"/>
      <c r="FA154" s="835"/>
      <c r="FB154" s="835"/>
      <c r="FC154" s="835"/>
      <c r="FD154" s="835"/>
      <c r="FE154" s="835"/>
      <c r="FF154" s="835"/>
      <c r="FG154" s="835"/>
      <c r="FH154" s="835"/>
      <c r="FI154" s="835"/>
      <c r="FJ154" s="835"/>
      <c r="FK154" s="835"/>
      <c r="FL154" s="835"/>
      <c r="FM154" s="835"/>
      <c r="FN154" s="835"/>
      <c r="FO154" s="835"/>
      <c r="FP154" s="835"/>
      <c r="FQ154" s="835"/>
      <c r="FR154" s="835"/>
      <c r="FS154" s="835"/>
      <c r="FT154" s="835"/>
      <c r="FU154" s="835"/>
      <c r="FV154" s="835"/>
      <c r="FW154" s="835"/>
      <c r="FX154" s="835"/>
      <c r="FY154" s="835"/>
      <c r="FZ154" s="835"/>
      <c r="GA154" s="835"/>
      <c r="GB154" s="835"/>
      <c r="GC154" s="835"/>
      <c r="GD154" s="835"/>
      <c r="GE154" s="835"/>
      <c r="GF154" s="835"/>
      <c r="GG154" s="835"/>
      <c r="GH154" s="835"/>
      <c r="GI154" s="835"/>
      <c r="GJ154" s="835"/>
      <c r="GK154" s="835"/>
      <c r="GL154" s="835"/>
      <c r="GM154" s="835"/>
      <c r="GN154" s="835"/>
      <c r="GO154" s="835"/>
      <c r="GP154" s="835"/>
      <c r="GQ154" s="835"/>
      <c r="GR154" s="835"/>
      <c r="GS154" s="835"/>
      <c r="GT154" s="835"/>
      <c r="GU154" s="835"/>
      <c r="GV154" s="835"/>
      <c r="GW154" s="835"/>
      <c r="GX154" s="835"/>
      <c r="GY154" s="835"/>
      <c r="GZ154" s="835"/>
      <c r="HA154" s="835"/>
      <c r="HB154" s="835"/>
      <c r="HC154" s="835"/>
      <c r="HD154" s="835"/>
      <c r="HE154" s="835"/>
      <c r="HF154" s="835"/>
      <c r="HG154" s="835"/>
      <c r="HH154" s="835"/>
    </row>
    <row r="155" spans="1:216" ht="13.5" outlineLevel="1">
      <c r="B155" s="814" t="s">
        <v>2144</v>
      </c>
      <c r="D155" s="846"/>
      <c r="AP155" s="839"/>
      <c r="AQ155" s="839"/>
    </row>
    <row r="156" spans="1:216" s="833" customFormat="1" outlineLevel="1">
      <c r="B156" s="907"/>
      <c r="C156" s="908"/>
      <c r="D156" s="908"/>
      <c r="E156" s="908"/>
      <c r="F156" s="908"/>
      <c r="G156" s="908"/>
      <c r="H156" s="864"/>
      <c r="J156" s="865"/>
      <c r="K156" s="865"/>
      <c r="L156" s="865"/>
      <c r="M156" s="865"/>
      <c r="N156" s="865"/>
      <c r="O156" s="865"/>
      <c r="P156" s="865"/>
      <c r="Q156" s="865"/>
      <c r="R156" s="865"/>
      <c r="S156" s="865"/>
      <c r="T156" s="865"/>
      <c r="U156" s="865"/>
      <c r="V156" s="865"/>
      <c r="W156" s="865"/>
      <c r="X156" s="865"/>
      <c r="Y156" s="865"/>
      <c r="Z156" s="865"/>
      <c r="AA156" s="865"/>
      <c r="AB156" s="865"/>
      <c r="AC156" s="865"/>
      <c r="AD156" s="865"/>
      <c r="AE156" s="865"/>
      <c r="AF156" s="839"/>
      <c r="AG156" s="839"/>
      <c r="AH156" s="839"/>
      <c r="AI156" s="839"/>
      <c r="AJ156" s="839"/>
      <c r="AK156" s="839"/>
      <c r="AL156" s="839"/>
      <c r="AM156" s="839"/>
      <c r="AN156" s="839"/>
      <c r="AO156" s="839"/>
    </row>
    <row r="157" spans="1:216" s="833" customFormat="1" ht="13.5" outlineLevel="1">
      <c r="B157" s="845"/>
      <c r="C157" s="846"/>
      <c r="D157" s="846" t="s">
        <v>2145</v>
      </c>
      <c r="E157" s="846"/>
      <c r="F157" s="846"/>
      <c r="G157" s="846"/>
      <c r="H157" s="848">
        <f>SUM(J157:AE157)</f>
        <v>103340.58979366333</v>
      </c>
      <c r="J157" s="848">
        <f t="shared" ref="J157:AE157" si="52">SUM(J159:J162)</f>
        <v>0</v>
      </c>
      <c r="K157" s="848">
        <f t="shared" si="52"/>
        <v>0</v>
      </c>
      <c r="L157" s="848">
        <f t="shared" si="52"/>
        <v>0</v>
      </c>
      <c r="M157" s="848">
        <f t="shared" si="52"/>
        <v>0</v>
      </c>
      <c r="N157" s="848">
        <f t="shared" si="52"/>
        <v>0</v>
      </c>
      <c r="O157" s="848">
        <f t="shared" si="52"/>
        <v>4860</v>
      </c>
      <c r="P157" s="848">
        <f t="shared" si="52"/>
        <v>4860</v>
      </c>
      <c r="Q157" s="848">
        <f t="shared" si="52"/>
        <v>4860.0000000000009</v>
      </c>
      <c r="R157" s="848">
        <f t="shared" si="52"/>
        <v>4860.0000000000009</v>
      </c>
      <c r="S157" s="848">
        <f t="shared" si="52"/>
        <v>4860.0000000000009</v>
      </c>
      <c r="T157" s="848">
        <f t="shared" si="52"/>
        <v>5943</v>
      </c>
      <c r="U157" s="848">
        <f t="shared" si="52"/>
        <v>5943</v>
      </c>
      <c r="V157" s="848">
        <f t="shared" si="52"/>
        <v>6100.8872171842304</v>
      </c>
      <c r="W157" s="848">
        <f t="shared" si="52"/>
        <v>5943</v>
      </c>
      <c r="X157" s="848">
        <f t="shared" si="52"/>
        <v>5943.0000000000009</v>
      </c>
      <c r="Y157" s="848">
        <f t="shared" si="52"/>
        <v>8059.4802109788416</v>
      </c>
      <c r="Z157" s="848">
        <f t="shared" si="52"/>
        <v>9744.8104223767532</v>
      </c>
      <c r="AA157" s="848">
        <f t="shared" si="52"/>
        <v>8546.9776538911428</v>
      </c>
      <c r="AB157" s="848">
        <f t="shared" si="52"/>
        <v>10258.353380260729</v>
      </c>
      <c r="AC157" s="848">
        <f t="shared" si="52"/>
        <v>9016.4505219601433</v>
      </c>
      <c r="AD157" s="848">
        <f t="shared" si="52"/>
        <v>3541.6303870114962</v>
      </c>
      <c r="AE157" s="848">
        <f t="shared" si="52"/>
        <v>0</v>
      </c>
      <c r="AF157" s="839"/>
      <c r="AG157" s="839"/>
      <c r="AH157" s="839"/>
      <c r="AI157" s="839"/>
      <c r="AJ157" s="839"/>
      <c r="AK157" s="839"/>
      <c r="AL157" s="839"/>
      <c r="AM157" s="839"/>
      <c r="AN157" s="839"/>
      <c r="AO157" s="839"/>
    </row>
    <row r="158" spans="1:216" s="833" customFormat="1" outlineLevel="1">
      <c r="B158" s="845"/>
      <c r="C158" s="846"/>
      <c r="D158" s="846"/>
      <c r="E158" s="846"/>
      <c r="F158" s="846"/>
      <c r="G158" s="846"/>
      <c r="H158" s="847"/>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839"/>
      <c r="AG158" s="839"/>
      <c r="AH158" s="839"/>
      <c r="AI158" s="839"/>
      <c r="AJ158" s="839"/>
      <c r="AK158" s="839"/>
      <c r="AL158" s="839"/>
      <c r="AM158" s="839"/>
      <c r="AN158" s="839"/>
      <c r="AO158" s="839"/>
    </row>
    <row r="159" spans="1:216" s="833" customFormat="1" ht="13.5" outlineLevel="1">
      <c r="B159" s="845"/>
      <c r="C159" s="846"/>
      <c r="D159" s="846"/>
      <c r="E159" s="846" t="s">
        <v>2146</v>
      </c>
      <c r="F159" s="846"/>
      <c r="G159" s="846"/>
      <c r="H159" s="848">
        <f>SUM(J159:AE159)</f>
        <v>0</v>
      </c>
      <c r="J159" s="848">
        <f t="shared" ref="J159:AE159" si="53">I169</f>
        <v>0</v>
      </c>
      <c r="K159" s="848">
        <f t="shared" si="53"/>
        <v>0</v>
      </c>
      <c r="L159" s="848">
        <f t="shared" si="53"/>
        <v>0</v>
      </c>
      <c r="M159" s="848">
        <f t="shared" si="53"/>
        <v>0</v>
      </c>
      <c r="N159" s="848">
        <f t="shared" si="53"/>
        <v>0</v>
      </c>
      <c r="O159" s="848">
        <f t="shared" si="53"/>
        <v>0</v>
      </c>
      <c r="P159" s="848">
        <f t="shared" si="53"/>
        <v>0</v>
      </c>
      <c r="Q159" s="848">
        <f t="shared" si="53"/>
        <v>0</v>
      </c>
      <c r="R159" s="848">
        <f t="shared" si="53"/>
        <v>0</v>
      </c>
      <c r="S159" s="848">
        <f t="shared" si="53"/>
        <v>0</v>
      </c>
      <c r="T159" s="848">
        <f t="shared" si="53"/>
        <v>0</v>
      </c>
      <c r="U159" s="848">
        <f t="shared" si="53"/>
        <v>0</v>
      </c>
      <c r="V159" s="848">
        <f t="shared" si="53"/>
        <v>0</v>
      </c>
      <c r="W159" s="848">
        <f t="shared" si="53"/>
        <v>0</v>
      </c>
      <c r="X159" s="848">
        <f t="shared" si="53"/>
        <v>0</v>
      </c>
      <c r="Y159" s="848">
        <f t="shared" si="53"/>
        <v>0</v>
      </c>
      <c r="Z159" s="848">
        <f t="shared" si="53"/>
        <v>0</v>
      </c>
      <c r="AA159" s="848">
        <f t="shared" si="53"/>
        <v>0</v>
      </c>
      <c r="AB159" s="848">
        <f t="shared" si="53"/>
        <v>0</v>
      </c>
      <c r="AC159" s="848">
        <f t="shared" si="53"/>
        <v>0</v>
      </c>
      <c r="AD159" s="848">
        <f t="shared" si="53"/>
        <v>0</v>
      </c>
      <c r="AE159" s="848">
        <f t="shared" si="53"/>
        <v>0</v>
      </c>
      <c r="AF159" s="839"/>
      <c r="AG159" s="839"/>
      <c r="AH159" s="839"/>
      <c r="AI159" s="839"/>
      <c r="AJ159" s="839"/>
      <c r="AK159" s="839"/>
      <c r="AL159" s="839"/>
      <c r="AM159" s="839"/>
      <c r="AN159" s="839"/>
      <c r="AO159" s="839"/>
    </row>
    <row r="160" spans="1:216" s="833" customFormat="1" ht="13.5" outlineLevel="1">
      <c r="B160" s="845"/>
      <c r="C160" s="846"/>
      <c r="D160" s="846"/>
      <c r="E160" s="852" t="s">
        <v>2147</v>
      </c>
      <c r="F160" s="846"/>
      <c r="G160" s="855"/>
      <c r="H160" s="848">
        <f>SUM(J160:AE160)</f>
        <v>-22598.032992258162</v>
      </c>
      <c r="J160" s="848">
        <v>0</v>
      </c>
      <c r="K160" s="848">
        <v>0</v>
      </c>
      <c r="L160" s="848">
        <v>0</v>
      </c>
      <c r="M160" s="848">
        <v>0</v>
      </c>
      <c r="N160" s="848">
        <v>0</v>
      </c>
      <c r="O160" s="848">
        <v>-652.61925893875832</v>
      </c>
      <c r="P160" s="848">
        <v>-13275.272923045479</v>
      </c>
      <c r="Q160" s="848">
        <v>-4540.8309796071471</v>
      </c>
      <c r="R160" s="848">
        <v>-3772.2104685200857</v>
      </c>
      <c r="S160" s="848">
        <v>-4243.4630396185048</v>
      </c>
      <c r="T160" s="848">
        <v>-10263.465347692647</v>
      </c>
      <c r="U160" s="848">
        <v>-967.66016749293249</v>
      </c>
      <c r="V160" s="848">
        <v>690.81685672172989</v>
      </c>
      <c r="W160" s="848">
        <v>-325.52194382869766</v>
      </c>
      <c r="X160" s="848">
        <v>-5561.7997075814155</v>
      </c>
      <c r="Y160" s="848">
        <v>2649.4098505163411</v>
      </c>
      <c r="Z160" s="848">
        <v>4334.7400619142527</v>
      </c>
      <c r="AA160" s="848">
        <v>3136.9072934286423</v>
      </c>
      <c r="AB160" s="848">
        <v>4848.2830197982285</v>
      </c>
      <c r="AC160" s="848">
        <v>3606.3801614976428</v>
      </c>
      <c r="AD160" s="848">
        <v>1738.2736001906628</v>
      </c>
      <c r="AE160" s="848">
        <v>0</v>
      </c>
      <c r="AF160" s="839"/>
      <c r="AG160" s="839"/>
      <c r="AH160" s="839"/>
      <c r="AI160" s="839"/>
      <c r="AJ160" s="839"/>
      <c r="AK160" s="839"/>
      <c r="AL160" s="839"/>
      <c r="AM160" s="839"/>
      <c r="AN160" s="839"/>
      <c r="AO160" s="839"/>
    </row>
    <row r="161" spans="2:41" s="833" customFormat="1" ht="13.5" outlineLevel="1">
      <c r="B161" s="845"/>
      <c r="C161" s="846"/>
      <c r="D161" s="846"/>
      <c r="E161" s="846" t="s">
        <v>2148</v>
      </c>
      <c r="F161" s="846"/>
      <c r="G161" s="254"/>
      <c r="H161" s="848">
        <f>SUM(J161:AE161)</f>
        <v>34263.778949595835</v>
      </c>
      <c r="J161" s="848">
        <f t="shared" ref="J161:AE162" si="54">J54</f>
        <v>0</v>
      </c>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5410.0703604625005</v>
      </c>
      <c r="W161" s="848">
        <f t="shared" si="54"/>
        <v>0</v>
      </c>
      <c r="X161" s="848">
        <f t="shared" si="54"/>
        <v>0</v>
      </c>
      <c r="Y161" s="848">
        <f t="shared" si="54"/>
        <v>5410.0703604625005</v>
      </c>
      <c r="Z161" s="848">
        <f t="shared" si="54"/>
        <v>5410.0703604625005</v>
      </c>
      <c r="AA161" s="848">
        <f t="shared" si="54"/>
        <v>5410.0703604625005</v>
      </c>
      <c r="AB161" s="848">
        <f t="shared" si="54"/>
        <v>5410.0703604625005</v>
      </c>
      <c r="AC161" s="848">
        <f t="shared" si="54"/>
        <v>5410.0703604625005</v>
      </c>
      <c r="AD161" s="848">
        <f t="shared" si="54"/>
        <v>1803.3567868208333</v>
      </c>
      <c r="AE161" s="848">
        <f t="shared" si="54"/>
        <v>0</v>
      </c>
      <c r="AF161" s="894"/>
      <c r="AG161" s="894"/>
      <c r="AH161" s="894"/>
      <c r="AI161" s="894"/>
      <c r="AJ161" s="894"/>
      <c r="AK161" s="894"/>
      <c r="AL161" s="894"/>
      <c r="AM161" s="894"/>
      <c r="AN161" s="894"/>
      <c r="AO161" s="894"/>
    </row>
    <row r="162" spans="2:41" s="833" customFormat="1" ht="13.5" outlineLevel="1">
      <c r="B162" s="845"/>
      <c r="C162" s="846"/>
      <c r="D162" s="846"/>
      <c r="E162" s="852" t="s">
        <v>2149</v>
      </c>
      <c r="F162" s="846"/>
      <c r="G162" s="855"/>
      <c r="H162" s="848">
        <f>SUM(J162:AE162)</f>
        <v>91674.843836325672</v>
      </c>
      <c r="J162" s="848">
        <f t="shared" si="54"/>
        <v>0</v>
      </c>
      <c r="K162" s="848">
        <f t="shared" si="54"/>
        <v>0</v>
      </c>
      <c r="L162" s="848">
        <f t="shared" si="54"/>
        <v>0</v>
      </c>
      <c r="M162" s="848">
        <f t="shared" si="54"/>
        <v>0</v>
      </c>
      <c r="N162" s="848">
        <f t="shared" si="54"/>
        <v>0</v>
      </c>
      <c r="O162" s="848">
        <f t="shared" si="54"/>
        <v>5512.6192589387583</v>
      </c>
      <c r="P162" s="848">
        <f t="shared" si="54"/>
        <v>18135.272923045479</v>
      </c>
      <c r="Q162" s="848">
        <f t="shared" si="54"/>
        <v>9400.830979607148</v>
      </c>
      <c r="R162" s="848">
        <f t="shared" si="54"/>
        <v>8632.2104685200866</v>
      </c>
      <c r="S162" s="848">
        <f t="shared" si="54"/>
        <v>9103.4630396185057</v>
      </c>
      <c r="T162" s="848">
        <f t="shared" si="54"/>
        <v>16206.465347692647</v>
      </c>
      <c r="U162" s="848">
        <f t="shared" si="54"/>
        <v>6910.6601674929325</v>
      </c>
      <c r="V162" s="848">
        <f t="shared" si="54"/>
        <v>0</v>
      </c>
      <c r="W162" s="848">
        <f t="shared" si="54"/>
        <v>6268.5219438286977</v>
      </c>
      <c r="X162" s="848">
        <f t="shared" si="54"/>
        <v>11504.799707581416</v>
      </c>
      <c r="Y162" s="848">
        <f t="shared" si="54"/>
        <v>0</v>
      </c>
      <c r="Z162" s="848">
        <f t="shared" si="54"/>
        <v>0</v>
      </c>
      <c r="AA162" s="848">
        <f t="shared" si="54"/>
        <v>0</v>
      </c>
      <c r="AB162" s="848">
        <f t="shared" si="54"/>
        <v>0</v>
      </c>
      <c r="AC162" s="848">
        <f t="shared" si="54"/>
        <v>0</v>
      </c>
      <c r="AD162" s="848">
        <f t="shared" si="54"/>
        <v>0</v>
      </c>
      <c r="AE162" s="848">
        <f t="shared" si="54"/>
        <v>0</v>
      </c>
      <c r="AF162" s="839"/>
      <c r="AG162" s="839"/>
      <c r="AH162" s="839"/>
      <c r="AI162" s="839"/>
      <c r="AJ162" s="839"/>
      <c r="AK162" s="839"/>
      <c r="AL162" s="839"/>
      <c r="AM162" s="839"/>
      <c r="AN162" s="839"/>
      <c r="AO162" s="839"/>
    </row>
    <row r="163" spans="2:41" s="833" customFormat="1" outlineLevel="1">
      <c r="B163" s="845"/>
      <c r="C163" s="846"/>
      <c r="D163" s="846"/>
      <c r="E163" s="846"/>
      <c r="F163" s="846"/>
      <c r="G163" s="846"/>
      <c r="H163" s="848"/>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839"/>
      <c r="AG163" s="839"/>
      <c r="AH163" s="839"/>
      <c r="AI163" s="839"/>
      <c r="AJ163" s="839"/>
      <c r="AK163" s="839"/>
      <c r="AL163" s="839"/>
      <c r="AM163" s="839"/>
      <c r="AN163" s="839"/>
      <c r="AO163" s="839"/>
    </row>
    <row r="164" spans="2:41" s="833" customFormat="1" ht="13.5" outlineLevel="1">
      <c r="B164" s="845"/>
      <c r="C164" s="846"/>
      <c r="D164" s="846" t="s">
        <v>2150</v>
      </c>
      <c r="E164" s="846"/>
      <c r="F164" s="846"/>
      <c r="G164" s="846"/>
      <c r="H164" s="848">
        <f>SUM(J164:AE164)</f>
        <v>103340.58979366333</v>
      </c>
      <c r="J164" s="848">
        <f>SUM(J166:J167)</f>
        <v>0</v>
      </c>
      <c r="K164" s="848">
        <f t="shared" ref="K164:AE164" si="55">SUM(K166:K167)</f>
        <v>0</v>
      </c>
      <c r="L164" s="848">
        <f t="shared" si="55"/>
        <v>0</v>
      </c>
      <c r="M164" s="848">
        <f t="shared" si="55"/>
        <v>0</v>
      </c>
      <c r="N164" s="848">
        <f t="shared" si="55"/>
        <v>0</v>
      </c>
      <c r="O164" s="848">
        <f t="shared" si="55"/>
        <v>4860</v>
      </c>
      <c r="P164" s="848">
        <f t="shared" si="55"/>
        <v>4860</v>
      </c>
      <c r="Q164" s="848">
        <f t="shared" si="55"/>
        <v>4860.0000000000009</v>
      </c>
      <c r="R164" s="848">
        <f t="shared" si="55"/>
        <v>4860.0000000000009</v>
      </c>
      <c r="S164" s="848">
        <f t="shared" si="55"/>
        <v>4860.0000000000009</v>
      </c>
      <c r="T164" s="848">
        <f t="shared" si="55"/>
        <v>5943</v>
      </c>
      <c r="U164" s="848">
        <f t="shared" si="55"/>
        <v>5943</v>
      </c>
      <c r="V164" s="848">
        <f t="shared" si="55"/>
        <v>6100.8872171842304</v>
      </c>
      <c r="W164" s="848">
        <f t="shared" si="55"/>
        <v>5943</v>
      </c>
      <c r="X164" s="848">
        <f t="shared" si="55"/>
        <v>5943.0000000000009</v>
      </c>
      <c r="Y164" s="848">
        <f t="shared" si="55"/>
        <v>8059.4802109788416</v>
      </c>
      <c r="Z164" s="848">
        <f t="shared" si="55"/>
        <v>9744.8104223767532</v>
      </c>
      <c r="AA164" s="848">
        <f t="shared" si="55"/>
        <v>8546.9776538911428</v>
      </c>
      <c r="AB164" s="848">
        <f t="shared" si="55"/>
        <v>10258.353380260729</v>
      </c>
      <c r="AC164" s="848">
        <f t="shared" si="55"/>
        <v>9016.4505219601433</v>
      </c>
      <c r="AD164" s="848">
        <f t="shared" si="55"/>
        <v>3541.6303870114962</v>
      </c>
      <c r="AE164" s="848">
        <f t="shared" si="55"/>
        <v>0</v>
      </c>
      <c r="AF164" s="839"/>
      <c r="AG164" s="839"/>
      <c r="AH164" s="839"/>
      <c r="AI164" s="839"/>
      <c r="AJ164" s="839"/>
      <c r="AK164" s="839"/>
      <c r="AL164" s="839"/>
      <c r="AM164" s="839"/>
      <c r="AN164" s="839"/>
      <c r="AO164" s="839"/>
    </row>
    <row r="165" spans="2:41" s="833" customFormat="1" outlineLevel="1">
      <c r="B165" s="845"/>
      <c r="C165" s="846"/>
      <c r="D165" s="846"/>
      <c r="E165" s="846"/>
      <c r="F165" s="846"/>
      <c r="G165" s="846"/>
      <c r="H165" s="848"/>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839"/>
      <c r="AG165" s="839"/>
      <c r="AH165" s="839"/>
      <c r="AI165" s="839"/>
      <c r="AJ165" s="839"/>
      <c r="AK165" s="839"/>
      <c r="AL165" s="839"/>
      <c r="AM165" s="839"/>
      <c r="AN165" s="839"/>
      <c r="AO165" s="839"/>
    </row>
    <row r="166" spans="2:41" s="833" customFormat="1" ht="13.5" outlineLevel="1">
      <c r="B166" s="845"/>
      <c r="C166" s="846"/>
      <c r="D166" s="846"/>
      <c r="E166" s="846" t="s">
        <v>2151</v>
      </c>
      <c r="F166" s="846"/>
      <c r="G166" s="846"/>
      <c r="H166" s="848">
        <f>SUM(J166:AE166)</f>
        <v>0</v>
      </c>
      <c r="J166" s="244">
        <f t="shared" ref="J166:AE166" si="56">J59</f>
        <v>0</v>
      </c>
      <c r="K166" s="244">
        <f t="shared" si="56"/>
        <v>0</v>
      </c>
      <c r="L166" s="244">
        <f t="shared" si="56"/>
        <v>0</v>
      </c>
      <c r="M166" s="244">
        <f t="shared" si="56"/>
        <v>0</v>
      </c>
      <c r="N166" s="244">
        <f t="shared" si="56"/>
        <v>0</v>
      </c>
      <c r="O166" s="244">
        <f t="shared" si="56"/>
        <v>0</v>
      </c>
      <c r="P166" s="244">
        <f t="shared" si="56"/>
        <v>0</v>
      </c>
      <c r="Q166" s="244">
        <f t="shared" si="56"/>
        <v>0</v>
      </c>
      <c r="R166" s="244">
        <f t="shared" si="56"/>
        <v>0</v>
      </c>
      <c r="S166" s="244">
        <f t="shared" si="56"/>
        <v>0</v>
      </c>
      <c r="T166" s="244">
        <f t="shared" si="56"/>
        <v>0</v>
      </c>
      <c r="U166" s="244">
        <f t="shared" si="56"/>
        <v>0</v>
      </c>
      <c r="V166" s="244">
        <f t="shared" si="56"/>
        <v>0</v>
      </c>
      <c r="W166" s="244">
        <f t="shared" si="56"/>
        <v>0</v>
      </c>
      <c r="X166" s="244">
        <f t="shared" si="56"/>
        <v>0</v>
      </c>
      <c r="Y166" s="244">
        <f t="shared" si="56"/>
        <v>0</v>
      </c>
      <c r="Z166" s="244">
        <f t="shared" si="56"/>
        <v>0</v>
      </c>
      <c r="AA166" s="244">
        <f t="shared" si="56"/>
        <v>0</v>
      </c>
      <c r="AB166" s="244">
        <f t="shared" si="56"/>
        <v>0</v>
      </c>
      <c r="AC166" s="244">
        <f t="shared" si="56"/>
        <v>0</v>
      </c>
      <c r="AD166" s="244">
        <f t="shared" si="56"/>
        <v>0</v>
      </c>
      <c r="AE166" s="244">
        <f t="shared" si="56"/>
        <v>0</v>
      </c>
      <c r="AF166" s="839"/>
      <c r="AG166" s="839"/>
      <c r="AH166" s="839"/>
      <c r="AI166" s="839"/>
      <c r="AJ166" s="839"/>
      <c r="AK166" s="839"/>
      <c r="AL166" s="839"/>
      <c r="AM166" s="839"/>
      <c r="AN166" s="839"/>
      <c r="AO166" s="839"/>
    </row>
    <row r="167" spans="2:41" s="833" customFormat="1" ht="13.5" outlineLevel="1">
      <c r="B167" s="845"/>
      <c r="C167" s="846"/>
      <c r="D167" s="846"/>
      <c r="E167" s="852" t="s">
        <v>922</v>
      </c>
      <c r="F167" s="846"/>
      <c r="G167" s="979"/>
      <c r="H167" s="848">
        <f>SUM(J167:AE167)</f>
        <v>103340.58979366333</v>
      </c>
      <c r="J167" s="848">
        <f t="shared" ref="J167:AE167" si="57">(J$7&lt;$G$7)*(J157-J166&gt;0)*(J157-J166)+(J$7=$G$7)*(J157-J166)</f>
        <v>0</v>
      </c>
      <c r="K167" s="848">
        <f t="shared" si="57"/>
        <v>0</v>
      </c>
      <c r="L167" s="848">
        <f t="shared" si="57"/>
        <v>0</v>
      </c>
      <c r="M167" s="848">
        <f t="shared" si="57"/>
        <v>0</v>
      </c>
      <c r="N167" s="848">
        <f t="shared" si="57"/>
        <v>0</v>
      </c>
      <c r="O167" s="848">
        <f t="shared" si="57"/>
        <v>4860</v>
      </c>
      <c r="P167" s="848">
        <f t="shared" si="57"/>
        <v>4860</v>
      </c>
      <c r="Q167" s="848">
        <f t="shared" si="57"/>
        <v>4860.0000000000009</v>
      </c>
      <c r="R167" s="848">
        <f t="shared" si="57"/>
        <v>4860.0000000000009</v>
      </c>
      <c r="S167" s="848">
        <f t="shared" si="57"/>
        <v>4860.0000000000009</v>
      </c>
      <c r="T167" s="848">
        <f t="shared" si="57"/>
        <v>5943</v>
      </c>
      <c r="U167" s="848">
        <f t="shared" si="57"/>
        <v>5943</v>
      </c>
      <c r="V167" s="848">
        <f t="shared" si="57"/>
        <v>6100.8872171842304</v>
      </c>
      <c r="W167" s="848">
        <f t="shared" si="57"/>
        <v>5943</v>
      </c>
      <c r="X167" s="848">
        <f t="shared" si="57"/>
        <v>5943.0000000000009</v>
      </c>
      <c r="Y167" s="848">
        <f t="shared" si="57"/>
        <v>8059.4802109788416</v>
      </c>
      <c r="Z167" s="848">
        <f t="shared" si="57"/>
        <v>9744.8104223767532</v>
      </c>
      <c r="AA167" s="848">
        <f t="shared" si="57"/>
        <v>8546.9776538911428</v>
      </c>
      <c r="AB167" s="848">
        <f t="shared" si="57"/>
        <v>10258.353380260729</v>
      </c>
      <c r="AC167" s="848">
        <f t="shared" si="57"/>
        <v>9016.4505219601433</v>
      </c>
      <c r="AD167" s="848">
        <f t="shared" si="57"/>
        <v>3541.6303870114962</v>
      </c>
      <c r="AE167" s="848">
        <f t="shared" si="57"/>
        <v>0</v>
      </c>
      <c r="AF167" s="839"/>
      <c r="AG167" s="839"/>
      <c r="AH167" s="839"/>
      <c r="AI167" s="839"/>
      <c r="AJ167" s="839"/>
      <c r="AK167" s="839"/>
      <c r="AL167" s="839"/>
      <c r="AM167" s="839"/>
      <c r="AN167" s="839"/>
      <c r="AO167" s="839"/>
    </row>
    <row r="168" spans="2:41" s="833" customFormat="1" outlineLevel="1">
      <c r="B168" s="845"/>
      <c r="C168" s="846"/>
      <c r="D168" s="846"/>
      <c r="E168" s="846"/>
      <c r="F168" s="846"/>
      <c r="G168" s="857"/>
      <c r="H168" s="244"/>
      <c r="J168" s="248"/>
      <c r="K168" s="248"/>
      <c r="L168" s="248"/>
      <c r="M168" s="248"/>
      <c r="N168" s="248"/>
      <c r="O168" s="248"/>
      <c r="P168" s="248"/>
      <c r="Q168" s="248"/>
      <c r="R168" s="248"/>
      <c r="S168" s="248"/>
      <c r="T168" s="248"/>
      <c r="U168" s="248"/>
      <c r="V168" s="248"/>
      <c r="W168" s="248"/>
      <c r="X168" s="248"/>
      <c r="Y168" s="248"/>
      <c r="Z168" s="248"/>
      <c r="AA168" s="248"/>
      <c r="AB168" s="248"/>
      <c r="AC168" s="248"/>
      <c r="AD168" s="248"/>
      <c r="AE168" s="248"/>
      <c r="AF168" s="839"/>
      <c r="AG168" s="839"/>
      <c r="AH168" s="839"/>
      <c r="AI168" s="839"/>
      <c r="AJ168" s="839"/>
      <c r="AK168" s="839"/>
      <c r="AL168" s="839"/>
      <c r="AM168" s="839"/>
      <c r="AN168" s="839"/>
      <c r="AO168" s="839"/>
    </row>
    <row r="169" spans="2:41" s="833" customFormat="1" ht="13.5" outlineLevel="1">
      <c r="B169" s="845"/>
      <c r="C169" s="846"/>
      <c r="D169" s="846" t="s">
        <v>2152</v>
      </c>
      <c r="E169" s="846"/>
      <c r="F169" s="846"/>
      <c r="G169" s="857"/>
      <c r="H169" s="848">
        <f>SUM(J169:AE169)</f>
        <v>0</v>
      </c>
      <c r="J169" s="848">
        <f t="shared" ref="J169:AE169" si="58">IF(ABS(J157-J164)&lt;0.00001,0,J157-J164)</f>
        <v>0</v>
      </c>
      <c r="K169" s="848">
        <f t="shared" si="58"/>
        <v>0</v>
      </c>
      <c r="L169" s="848">
        <f t="shared" si="58"/>
        <v>0</v>
      </c>
      <c r="M169" s="848">
        <f t="shared" si="58"/>
        <v>0</v>
      </c>
      <c r="N169" s="848">
        <f t="shared" si="58"/>
        <v>0</v>
      </c>
      <c r="O169" s="848">
        <f t="shared" si="58"/>
        <v>0</v>
      </c>
      <c r="P169" s="848">
        <f t="shared" si="58"/>
        <v>0</v>
      </c>
      <c r="Q169" s="848">
        <f t="shared" si="58"/>
        <v>0</v>
      </c>
      <c r="R169" s="848">
        <f t="shared" si="58"/>
        <v>0</v>
      </c>
      <c r="S169" s="848">
        <f t="shared" si="58"/>
        <v>0</v>
      </c>
      <c r="T169" s="848">
        <f t="shared" si="58"/>
        <v>0</v>
      </c>
      <c r="U169" s="848">
        <f t="shared" si="58"/>
        <v>0</v>
      </c>
      <c r="V169" s="848">
        <f t="shared" si="58"/>
        <v>0</v>
      </c>
      <c r="W169" s="848">
        <f t="shared" si="58"/>
        <v>0</v>
      </c>
      <c r="X169" s="848">
        <f t="shared" si="58"/>
        <v>0</v>
      </c>
      <c r="Y169" s="848">
        <f t="shared" si="58"/>
        <v>0</v>
      </c>
      <c r="Z169" s="848">
        <f t="shared" si="58"/>
        <v>0</v>
      </c>
      <c r="AA169" s="848">
        <f t="shared" si="58"/>
        <v>0</v>
      </c>
      <c r="AB169" s="848">
        <f t="shared" si="58"/>
        <v>0</v>
      </c>
      <c r="AC169" s="848">
        <f t="shared" si="58"/>
        <v>0</v>
      </c>
      <c r="AD169" s="848">
        <f t="shared" si="58"/>
        <v>0</v>
      </c>
      <c r="AE169" s="848">
        <f t="shared" si="58"/>
        <v>0</v>
      </c>
      <c r="AF169" s="839"/>
      <c r="AG169" s="839"/>
      <c r="AH169" s="839"/>
      <c r="AI169" s="839"/>
      <c r="AJ169" s="839"/>
      <c r="AK169" s="839"/>
      <c r="AL169" s="839"/>
      <c r="AM169" s="839"/>
      <c r="AN169" s="839"/>
      <c r="AO169" s="839"/>
    </row>
    <row r="170" spans="2:41" s="833" customFormat="1" outlineLevel="1">
      <c r="B170" s="860"/>
      <c r="C170" s="861"/>
      <c r="D170" s="861"/>
      <c r="E170" s="861"/>
      <c r="F170" s="861"/>
      <c r="G170" s="861"/>
      <c r="H170" s="909"/>
      <c r="J170" s="255"/>
      <c r="K170" s="255"/>
      <c r="L170" s="255"/>
      <c r="M170" s="255"/>
      <c r="N170" s="255"/>
      <c r="O170" s="255"/>
      <c r="P170" s="255"/>
      <c r="Q170" s="255"/>
      <c r="R170" s="255"/>
      <c r="S170" s="255"/>
      <c r="T170" s="255"/>
      <c r="U170" s="255"/>
      <c r="V170" s="255"/>
      <c r="W170" s="255"/>
      <c r="X170" s="255"/>
      <c r="Y170" s="255"/>
      <c r="Z170" s="255"/>
      <c r="AA170" s="255"/>
      <c r="AB170" s="255"/>
      <c r="AC170" s="255"/>
      <c r="AD170" s="255"/>
      <c r="AE170" s="255"/>
      <c r="AF170" s="839"/>
      <c r="AG170" s="839"/>
      <c r="AH170" s="839"/>
      <c r="AI170" s="839"/>
      <c r="AJ170" s="839"/>
      <c r="AK170" s="839"/>
      <c r="AL170" s="839"/>
      <c r="AM170" s="839"/>
      <c r="AN170" s="839"/>
      <c r="AO170" s="839"/>
    </row>
    <row r="183" spans="10:19">
      <c r="J183" s="835" t="s">
        <v>2204</v>
      </c>
    </row>
    <row r="185" spans="10:19">
      <c r="J185" s="835">
        <v>2551.4272736181865</v>
      </c>
      <c r="K185" s="835">
        <v>4184.038117228878</v>
      </c>
      <c r="L185" s="835">
        <v>2678.3938976178197</v>
      </c>
      <c r="M185" s="835">
        <v>3741.582490081315</v>
      </c>
      <c r="N185" s="835">
        <v>1963.8649056180857</v>
      </c>
      <c r="O185" s="835">
        <v>2860.2075803430653</v>
      </c>
      <c r="P185" s="835">
        <v>1710.0104470375754</v>
      </c>
      <c r="Q185" s="835">
        <v>2672.5519595873993</v>
      </c>
      <c r="R185" s="835">
        <v>1497.9250080322363</v>
      </c>
      <c r="S185" s="835">
        <v>2481.4606870513317</v>
      </c>
    </row>
    <row r="189" spans="10:19">
      <c r="J189" s="835">
        <v>2551.4272736181865</v>
      </c>
      <c r="K189" s="835">
        <v>4184.038117228878</v>
      </c>
      <c r="L189" s="835">
        <v>2678.3938976178197</v>
      </c>
      <c r="M189" s="835">
        <v>3741.582490081315</v>
      </c>
      <c r="N189" s="835">
        <v>1963.8649056180857</v>
      </c>
      <c r="O189" s="835">
        <v>2860.2075803430653</v>
      </c>
      <c r="P189" s="835">
        <v>1710.0104470375754</v>
      </c>
      <c r="Q189" s="835">
        <v>2672.5519595873993</v>
      </c>
      <c r="R189" s="835">
        <v>1497.9250080322363</v>
      </c>
      <c r="S189" s="835">
        <v>2481.4606870513317</v>
      </c>
    </row>
    <row r="190" spans="10:19" ht="13.5" thickBot="1"/>
    <row r="191" spans="10:19" ht="15.75">
      <c r="J191" s="295">
        <v>2551.4272736181865</v>
      </c>
      <c r="K191" s="980">
        <v>2700</v>
      </c>
      <c r="L191" s="981">
        <f>J191+K191</f>
        <v>5251.4272736181865</v>
      </c>
      <c r="N191" s="295">
        <v>5251.4272736181865</v>
      </c>
      <c r="O191" s="835" t="b">
        <f>N191=L191</f>
        <v>1</v>
      </c>
    </row>
    <row r="192" spans="10:19" ht="15.75">
      <c r="J192" s="295">
        <v>4184.038117228878</v>
      </c>
      <c r="K192" s="982">
        <v>6000</v>
      </c>
      <c r="L192" s="981">
        <f t="shared" ref="L192:L201" si="59">J192+K192</f>
        <v>10184.038117228878</v>
      </c>
      <c r="N192" s="295">
        <v>10184.038117228878</v>
      </c>
      <c r="O192" s="835" t="b">
        <f>N192=L192</f>
        <v>1</v>
      </c>
    </row>
    <row r="193" spans="10:15" ht="15.75">
      <c r="J193" s="295">
        <v>2678.3938976178197</v>
      </c>
      <c r="K193" s="982">
        <v>6920</v>
      </c>
      <c r="L193" s="981">
        <f t="shared" si="59"/>
        <v>9598.3938976178197</v>
      </c>
      <c r="N193" s="295">
        <v>9598.1938976178208</v>
      </c>
      <c r="O193" s="981">
        <f>N193-L193</f>
        <v>-0.19999999999890861</v>
      </c>
    </row>
    <row r="194" spans="10:15" ht="15.75">
      <c r="J194" s="295">
        <v>3741.582490081315</v>
      </c>
      <c r="K194" s="982">
        <v>6920</v>
      </c>
      <c r="L194" s="981">
        <f t="shared" si="59"/>
        <v>10661.582490081315</v>
      </c>
      <c r="N194" s="295">
        <v>10661.382490081316</v>
      </c>
      <c r="O194" s="981">
        <f t="shared" ref="O194:O202" si="60">N194-L194</f>
        <v>-0.19999999999890861</v>
      </c>
    </row>
    <row r="195" spans="10:15" ht="15.75">
      <c r="J195" s="295">
        <v>1963.8649056180857</v>
      </c>
      <c r="K195" s="982">
        <v>6920</v>
      </c>
      <c r="L195" s="981">
        <f t="shared" si="59"/>
        <v>8883.8649056180857</v>
      </c>
      <c r="N195" s="295">
        <v>8883.6649056180868</v>
      </c>
      <c r="O195" s="981">
        <f t="shared" si="60"/>
        <v>-0.19999999999890861</v>
      </c>
    </row>
    <row r="196" spans="10:15" ht="15.75">
      <c r="J196" s="295">
        <v>2860.2075803430653</v>
      </c>
      <c r="K196" s="982">
        <v>6920</v>
      </c>
      <c r="L196" s="981">
        <f>J196+K196</f>
        <v>9780.2075803430653</v>
      </c>
      <c r="N196" s="295">
        <v>9780.0075803430664</v>
      </c>
      <c r="O196" s="981">
        <f t="shared" si="60"/>
        <v>-0.19999999999890861</v>
      </c>
    </row>
    <row r="197" spans="10:15" ht="15.75">
      <c r="J197" s="295">
        <v>1710.0104470375754</v>
      </c>
      <c r="K197" s="982">
        <v>6920</v>
      </c>
      <c r="L197" s="981">
        <f t="shared" si="59"/>
        <v>8630.0104470375754</v>
      </c>
      <c r="N197" s="295">
        <v>8629.8104470375765</v>
      </c>
      <c r="O197" s="981">
        <f t="shared" si="60"/>
        <v>-0.19999999999890861</v>
      </c>
    </row>
    <row r="198" spans="10:15" ht="15.75">
      <c r="J198" s="295">
        <v>2672.5519595873993</v>
      </c>
      <c r="K198" s="982">
        <v>6920</v>
      </c>
      <c r="L198" s="981">
        <f t="shared" si="59"/>
        <v>9592.5519595873993</v>
      </c>
      <c r="N198" s="295">
        <v>9592.3519595873986</v>
      </c>
      <c r="O198" s="981">
        <f t="shared" si="60"/>
        <v>-0.2000000000007276</v>
      </c>
    </row>
    <row r="199" spans="10:15" ht="15.75">
      <c r="J199" s="295">
        <v>1497.9250080322363</v>
      </c>
      <c r="K199" s="982">
        <v>6920</v>
      </c>
      <c r="L199" s="981">
        <f t="shared" si="59"/>
        <v>8417.9250080322363</v>
      </c>
      <c r="N199" s="295">
        <v>8417.7250080322374</v>
      </c>
      <c r="O199" s="981">
        <f t="shared" si="60"/>
        <v>-0.19999999999890861</v>
      </c>
    </row>
    <row r="200" spans="10:15" ht="15.75">
      <c r="J200" s="295">
        <v>2481.4606870513317</v>
      </c>
      <c r="K200" s="982">
        <v>6920</v>
      </c>
      <c r="L200" s="981">
        <f t="shared" si="59"/>
        <v>9401.4606870513308</v>
      </c>
      <c r="N200" s="295">
        <v>9401.2606870513318</v>
      </c>
      <c r="O200" s="981">
        <f t="shared" si="60"/>
        <v>-0.19999999999890861</v>
      </c>
    </row>
    <row r="201" spans="10:15" ht="15.75">
      <c r="J201" s="295">
        <v>1286.0086100115068</v>
      </c>
      <c r="K201" s="982">
        <v>6920</v>
      </c>
      <c r="L201" s="981">
        <f t="shared" si="59"/>
        <v>8206.0086100115077</v>
      </c>
      <c r="N201" s="295">
        <v>8205.808610011507</v>
      </c>
      <c r="O201" s="981">
        <f t="shared" si="60"/>
        <v>-0.2000000000007276</v>
      </c>
    </row>
    <row r="202" spans="10:15">
      <c r="O202" s="981">
        <f t="shared" si="60"/>
        <v>0</v>
      </c>
    </row>
    <row r="203" spans="10:15">
      <c r="J203" s="981">
        <f>SUM(J191:J202)</f>
        <v>27627.4709762274</v>
      </c>
      <c r="K203" s="981">
        <f>SUM(K191:K202)</f>
        <v>70980</v>
      </c>
      <c r="L203" s="981">
        <f>SUM(L191:L202)</f>
        <v>98607.4709762274</v>
      </c>
    </row>
  </sheetData>
  <phoneticPr fontId="3" type="noConversion"/>
  <conditionalFormatting sqref="H162 J162:AE162">
    <cfRule type="cellIs" dxfId="690" priority="56" stopIfTrue="1" operator="equal">
      <formula>0</formula>
    </cfRule>
  </conditionalFormatting>
  <conditionalFormatting sqref="AC105">
    <cfRule type="cellIs" dxfId="689" priority="52" stopIfTrue="1" operator="equal">
      <formula>0</formula>
    </cfRule>
  </conditionalFormatting>
  <conditionalFormatting sqref="H105">
    <cfRule type="cellIs" dxfId="688" priority="51" stopIfTrue="1" operator="equal">
      <formula>0</formula>
    </cfRule>
  </conditionalFormatting>
  <conditionalFormatting sqref="K41:AE41">
    <cfRule type="cellIs" dxfId="687" priority="50" stopIfTrue="1" operator="equal">
      <formula>0</formula>
    </cfRule>
  </conditionalFormatting>
  <conditionalFormatting sqref="H37 H39">
    <cfRule type="cellIs" dxfId="686" priority="49" stopIfTrue="1" operator="equal">
      <formula>0</formula>
    </cfRule>
  </conditionalFormatting>
  <conditionalFormatting sqref="H41">
    <cfRule type="cellIs" dxfId="685" priority="48" stopIfTrue="1" operator="equal">
      <formula>0</formula>
    </cfRule>
  </conditionalFormatting>
  <conditionalFormatting sqref="H121:H122 H128 AC128 J121:AE122">
    <cfRule type="cellIs" dxfId="684" priority="47" stopIfTrue="1" operator="equal">
      <formula>0</formula>
    </cfRule>
  </conditionalFormatting>
  <conditionalFormatting sqref="J55">
    <cfRule type="cellIs" dxfId="683" priority="46" stopIfTrue="1" operator="equal">
      <formula>0</formula>
    </cfRule>
  </conditionalFormatting>
  <conditionalFormatting sqref="J54:AE54">
    <cfRule type="cellIs" dxfId="682" priority="45" stopIfTrue="1" operator="equal">
      <formula>0</formula>
    </cfRule>
  </conditionalFormatting>
  <conditionalFormatting sqref="J131:AE131">
    <cfRule type="cellIs" dxfId="681" priority="44" stopIfTrue="1" operator="equal">
      <formula>0</formula>
    </cfRule>
  </conditionalFormatting>
  <conditionalFormatting sqref="H141 J141:AE141">
    <cfRule type="cellIs" dxfId="680" priority="43" stopIfTrue="1" operator="equal">
      <formula>0</formula>
    </cfRule>
  </conditionalFormatting>
  <conditionalFormatting sqref="AC113:AC115 H114:H115 H117:H118 AC117 H110:H111 J110:AE111 J114:AB114 AD114:AE114">
    <cfRule type="cellIs" dxfId="679" priority="40" stopIfTrue="1" operator="equal">
      <formula>0</formula>
    </cfRule>
  </conditionalFormatting>
  <conditionalFormatting sqref="AC116">
    <cfRule type="cellIs" dxfId="678" priority="39" stopIfTrue="1" operator="equal">
      <formula>0</formula>
    </cfRule>
  </conditionalFormatting>
  <conditionalFormatting sqref="H40">
    <cfRule type="cellIs" dxfId="677" priority="33" stopIfTrue="1" operator="equal">
      <formula>0</formula>
    </cfRule>
  </conditionalFormatting>
  <conditionalFormatting sqref="H149 J149:AE149">
    <cfRule type="cellIs" dxfId="676" priority="42" stopIfTrue="1" operator="equal">
      <formula>0</formula>
    </cfRule>
  </conditionalFormatting>
  <conditionalFormatting sqref="G139">
    <cfRule type="cellIs" dxfId="675" priority="41" stopIfTrue="1" operator="equal">
      <formula>0</formula>
    </cfRule>
  </conditionalFormatting>
  <conditionalFormatting sqref="J40:AE41">
    <cfRule type="cellIs" dxfId="674" priority="32" stopIfTrue="1" operator="equal">
      <formula>0</formula>
    </cfRule>
  </conditionalFormatting>
  <conditionalFormatting sqref="J34:AE34">
    <cfRule type="cellIs" dxfId="673" priority="31" stopIfTrue="1" operator="equal">
      <formula>0</formula>
    </cfRule>
  </conditionalFormatting>
  <conditionalFormatting sqref="H116">
    <cfRule type="cellIs" dxfId="672" priority="38" stopIfTrue="1" operator="equal">
      <formula>0</formula>
    </cfRule>
  </conditionalFormatting>
  <conditionalFormatting sqref="H109 J109:AE109">
    <cfRule type="cellIs" dxfId="671" priority="37" stopIfTrue="1" operator="equal">
      <formula>0</formula>
    </cfRule>
  </conditionalFormatting>
  <conditionalFormatting sqref="K40:AE40">
    <cfRule type="cellIs" dxfId="670" priority="36" stopIfTrue="1" operator="equal">
      <formula>0</formula>
    </cfRule>
  </conditionalFormatting>
  <conditionalFormatting sqref="K40:AE40">
    <cfRule type="cellIs" dxfId="669" priority="35" stopIfTrue="1" operator="equal">
      <formula>0</formula>
    </cfRule>
  </conditionalFormatting>
  <conditionalFormatting sqref="K40:AE40">
    <cfRule type="cellIs" dxfId="668" priority="34" stopIfTrue="1" operator="equal">
      <formula>0</formula>
    </cfRule>
  </conditionalFormatting>
  <conditionalFormatting sqref="K108:AE108">
    <cfRule type="cellIs" dxfId="667" priority="25" stopIfTrue="1" operator="equal">
      <formula>0</formula>
    </cfRule>
  </conditionalFormatting>
  <conditionalFormatting sqref="H36">
    <cfRule type="cellIs" dxfId="666" priority="28" stopIfTrue="1" operator="equal">
      <formula>0</formula>
    </cfRule>
  </conditionalFormatting>
  <conditionalFormatting sqref="H38">
    <cfRule type="cellIs" dxfId="665" priority="27" stopIfTrue="1" operator="equal">
      <formula>0</formula>
    </cfRule>
  </conditionalFormatting>
  <conditionalFormatting sqref="H93 J93:AE93 J95:AE95 H95">
    <cfRule type="cellIs" dxfId="664" priority="30" stopIfTrue="1" operator="equal">
      <formula>0</formula>
    </cfRule>
  </conditionalFormatting>
  <conditionalFormatting sqref="H94 J94:AE94">
    <cfRule type="cellIs" dxfId="663" priority="29" stopIfTrue="1" operator="equal">
      <formula>0</formula>
    </cfRule>
  </conditionalFormatting>
  <conditionalFormatting sqref="K119:AE119">
    <cfRule type="cellIs" dxfId="662" priority="26" stopIfTrue="1" operator="equal">
      <formula>0</formula>
    </cfRule>
  </conditionalFormatting>
  <conditionalFormatting sqref="K130:AE130">
    <cfRule type="cellIs" dxfId="661" priority="24" stopIfTrue="1" operator="equal">
      <formula>0</formula>
    </cfRule>
  </conditionalFormatting>
  <conditionalFormatting sqref="K118:AE118">
    <cfRule type="cellIs" dxfId="660" priority="22" stopIfTrue="1" operator="equal">
      <formula>0</formula>
    </cfRule>
  </conditionalFormatting>
  <conditionalFormatting sqref="K118:AE118">
    <cfRule type="cellIs" dxfId="659" priority="23" stopIfTrue="1" operator="equal">
      <formula>0</formula>
    </cfRule>
  </conditionalFormatting>
  <conditionalFormatting sqref="AC124:AC126 H125:H126 J125:AB125 AD125:AE125">
    <cfRule type="cellIs" dxfId="658" priority="17" stopIfTrue="1" operator="equal">
      <formula>0</formula>
    </cfRule>
  </conditionalFormatting>
  <conditionalFormatting sqref="K107:AE107">
    <cfRule type="cellIs" dxfId="657" priority="21" stopIfTrue="1" operator="equal">
      <formula>0</formula>
    </cfRule>
  </conditionalFormatting>
  <conditionalFormatting sqref="J107:AE107">
    <cfRule type="cellIs" dxfId="656" priority="19" stopIfTrue="1" operator="equal">
      <formula>0</formula>
    </cfRule>
  </conditionalFormatting>
  <conditionalFormatting sqref="K39:AE39">
    <cfRule type="cellIs" dxfId="655" priority="10" stopIfTrue="1" operator="equal">
      <formula>0</formula>
    </cfRule>
  </conditionalFormatting>
  <conditionalFormatting sqref="K107:AE107">
    <cfRule type="cellIs" dxfId="654" priority="20" stopIfTrue="1" operator="equal">
      <formula>0</formula>
    </cfRule>
  </conditionalFormatting>
  <conditionalFormatting sqref="J118:AE118">
    <cfRule type="cellIs" dxfId="653" priority="18" stopIfTrue="1" operator="equal">
      <formula>0</formula>
    </cfRule>
  </conditionalFormatting>
  <conditionalFormatting sqref="AC127">
    <cfRule type="cellIs" dxfId="652" priority="16" stopIfTrue="1" operator="equal">
      <formula>0</formula>
    </cfRule>
  </conditionalFormatting>
  <conditionalFormatting sqref="AC123">
    <cfRule type="cellIs" dxfId="651" priority="13" stopIfTrue="1" operator="equal">
      <formula>0</formula>
    </cfRule>
  </conditionalFormatting>
  <conditionalFormatting sqref="K39:AE39">
    <cfRule type="cellIs" dxfId="650" priority="12" stopIfTrue="1" operator="equal">
      <formula>0</formula>
    </cfRule>
  </conditionalFormatting>
  <conditionalFormatting sqref="H127">
    <cfRule type="cellIs" dxfId="649" priority="15" stopIfTrue="1" operator="equal">
      <formula>0</formula>
    </cfRule>
  </conditionalFormatting>
  <conditionalFormatting sqref="AC112">
    <cfRule type="cellIs" dxfId="648" priority="14" stopIfTrue="1" operator="equal">
      <formula>0</formula>
    </cfRule>
  </conditionalFormatting>
  <conditionalFormatting sqref="K39:AE39">
    <cfRule type="cellIs" dxfId="647" priority="11" stopIfTrue="1" operator="equal">
      <formula>0</formula>
    </cfRule>
  </conditionalFormatting>
  <conditionalFormatting sqref="K39:AE39">
    <cfRule type="cellIs" dxfId="646" priority="9" stopIfTrue="1" operator="equal">
      <formula>0</formula>
    </cfRule>
  </conditionalFormatting>
  <conditionalFormatting sqref="K12:AE12">
    <cfRule type="cellIs" dxfId="645" priority="7" stopIfTrue="1" operator="equal">
      <formula>0</formula>
    </cfRule>
  </conditionalFormatting>
  <conditionalFormatting sqref="I12">
    <cfRule type="cellIs" dxfId="644" priority="6" stopIfTrue="1" operator="equal">
      <formula>0</formula>
    </cfRule>
  </conditionalFormatting>
  <conditionalFormatting sqref="H12">
    <cfRule type="cellIs" dxfId="643" priority="4" stopIfTrue="1" operator="equal">
      <formula>0</formula>
    </cfRule>
  </conditionalFormatting>
  <conditionalFormatting sqref="J12:AE12">
    <cfRule type="cellIs" dxfId="642" priority="3" stopIfTrue="1" operator="equal">
      <formula>0</formula>
    </cfRule>
  </conditionalFormatting>
  <conditionalFormatting sqref="AC57 H22 J22:AE22 AC164 J167:AE168 J60:AE61 J19:AE20">
    <cfRule type="cellIs" dxfId="641" priority="65" stopIfTrue="1" operator="lessThan">
      <formula>0</formula>
    </cfRule>
  </conditionalFormatting>
  <conditionalFormatting sqref="H88:H90 H72:H74 G89 H62 AC57:AC60 H67:H69 H50 H21 H9 J96:AE96 J62:AE62 J21:AE21 A4:XFD4 J9:AE9 J57:AB57 AD57:AE57 J16:AE16 AC97:AC98 AC101:AC104 H103:H104 H169 AC164:AC167 H157 J169:AE169 J157:AE157 J164:AB164 AD164:AE164 J167:AB167 AD167:AE167 H136:H139 H29:H32 J60:AB60 AD60:AE60 J67:AE70 J73:AE74 H159:H161 H163:H167 K162:AE162 H42:H46 H106:H107 AC106 H120 J120:AE120 J52:AE53 H56:H60 H52:H54 AC129 H129 K54:AE55 J150:AE150 H150 J11:AE11 J29:AE32 J159:AE161 H96:H100 H11 J88:AE90 J18:AE19 J50:AE50 H131:H132 AC131 J136:AE139 J39 H142:H148 J142:AE148 H13:H19 J13:AE14 J99:AE100 J103:AB103 AD103:AE103">
    <cfRule type="cellIs" dxfId="640" priority="64" stopIfTrue="1" operator="equal">
      <formula>0</formula>
    </cfRule>
  </conditionalFormatting>
  <conditionalFormatting sqref="J6:AE6">
    <cfRule type="cellIs" dxfId="639" priority="63" operator="equal">
      <formula>-1</formula>
    </cfRule>
  </conditionalFormatting>
  <conditionalFormatting sqref="J132:AE133 J79:AE80 J7:AE7">
    <cfRule type="cellIs" dxfId="638" priority="62" operator="equal">
      <formula>0</formula>
    </cfRule>
  </conditionalFormatting>
  <conditionalFormatting sqref="J5:AE5">
    <cfRule type="cellIs" dxfId="637" priority="61" operator="equal">
      <formula>1900</formula>
    </cfRule>
  </conditionalFormatting>
  <conditionalFormatting sqref="A2:XFD3">
    <cfRule type="cellIs" dxfId="636" priority="60" stopIfTrue="1" operator="equal">
      <formula>0</formula>
    </cfRule>
  </conditionalFormatting>
  <conditionalFormatting sqref="H33 H35 J35:AE35 J33:AE33 J43:AE46">
    <cfRule type="cellIs" dxfId="635" priority="59" stopIfTrue="1" operator="equal">
      <formula>0</formula>
    </cfRule>
  </conditionalFormatting>
  <conditionalFormatting sqref="H55 K55:AE55">
    <cfRule type="cellIs" dxfId="634" priority="58" stopIfTrue="1" operator="equal">
      <formula>0</formula>
    </cfRule>
  </conditionalFormatting>
  <conditionalFormatting sqref="H70 J70">
    <cfRule type="cellIs" dxfId="633" priority="57" stopIfTrue="1" operator="equal">
      <formula>0</formula>
    </cfRule>
  </conditionalFormatting>
  <conditionalFormatting sqref="H140 J140:AE140">
    <cfRule type="cellIs" dxfId="632" priority="55" stopIfTrue="1" operator="equal">
      <formula>0</formula>
    </cfRule>
  </conditionalFormatting>
  <conditionalFormatting sqref="J39">
    <cfRule type="cellIs" dxfId="631" priority="54" stopIfTrue="1" operator="equal">
      <formula>0</formula>
    </cfRule>
  </conditionalFormatting>
  <conditionalFormatting sqref="J39">
    <cfRule type="cellIs" dxfId="630" priority="53" stopIfTrue="1" operator="equal">
      <formula>0</formula>
    </cfRule>
  </conditionalFormatting>
  <conditionalFormatting sqref="G5">
    <cfRule type="cellIs" dxfId="629" priority="8" operator="equal">
      <formula>0</formula>
    </cfRule>
  </conditionalFormatting>
  <conditionalFormatting sqref="E12">
    <cfRule type="expression" dxfId="628" priority="5">
      <formula>($H12=0)*1</formula>
    </cfRule>
  </conditionalFormatting>
  <conditionalFormatting sqref="E36:E41">
    <cfRule type="expression" dxfId="627" priority="2">
      <formula>($H36=0)*1</formula>
    </cfRule>
  </conditionalFormatting>
  <conditionalFormatting sqref="G6">
    <cfRule type="cellIs" dxfId="626" priority="1" operator="equal">
      <formula>0</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SZ189"/>
  <sheetViews>
    <sheetView showGridLines="0" zoomScaleNormal="100" workbookViewId="0">
      <pane xSplit="8" ySplit="7" topLeftCell="I68" activePane="bottomRight" state="frozen"/>
      <selection activeCell="E2" sqref="E2"/>
      <selection pane="topRight" activeCell="E2" sqref="E2"/>
      <selection pane="bottomLeft" activeCell="E2" sqref="E2"/>
      <selection pane="bottomRight" activeCell="L59" sqref="L59"/>
    </sheetView>
  </sheetViews>
  <sheetFormatPr defaultColWidth="0" defaultRowHeight="12.75" outlineLevelRow="1"/>
  <cols>
    <col min="1" max="1" width="1" style="835" customWidth="1"/>
    <col min="2" max="2" width="0.75" style="835" customWidth="1"/>
    <col min="3" max="3" width="0.875" style="835" customWidth="1"/>
    <col min="4" max="5" width="7.25" style="835" customWidth="1"/>
    <col min="6" max="6" width="14" style="835" customWidth="1"/>
    <col min="7" max="7" width="9" style="835" customWidth="1"/>
    <col min="8" max="8" width="8" style="835" bestFit="1" customWidth="1"/>
    <col min="9" max="9" width="0.875" style="835" customWidth="1"/>
    <col min="10" max="31" width="7.375" style="835" customWidth="1"/>
    <col min="32" max="32" width="2.375" style="835" customWidth="1"/>
    <col min="33" max="97" width="9.125" style="835" hidden="1"/>
    <col min="98" max="195" width="8.875" style="835" hidden="1"/>
    <col min="196" max="196" width="9" style="835" hidden="1"/>
    <col min="197" max="271" width="8.875" style="835" hidden="1"/>
    <col min="272" max="272" width="0.625" style="835" hidden="1"/>
    <col min="273" max="274" width="1.25" style="835" hidden="1"/>
    <col min="275" max="275" width="3.75" style="835" hidden="1"/>
    <col min="276" max="276" width="14.375" style="835" hidden="1"/>
    <col min="277" max="277" width="12.25" style="835" hidden="1"/>
    <col min="278" max="278" width="11.75" style="835" hidden="1"/>
    <col min="279" max="279" width="9" style="835" hidden="1"/>
    <col min="280" max="280" width="0.25" style="835" hidden="1"/>
    <col min="281" max="281" width="9.25" style="835" hidden="1"/>
    <col min="282" max="353" width="9.125" style="835" hidden="1"/>
    <col min="354" max="451" width="8.875" style="835" hidden="1"/>
    <col min="452" max="452" width="9" style="835" hidden="1"/>
    <col min="453" max="527" width="8.875" style="835" hidden="1"/>
    <col min="528" max="528" width="0.625" style="835" hidden="1"/>
    <col min="529" max="530" width="1.25" style="835" hidden="1"/>
    <col min="531" max="531" width="3.75" style="835" hidden="1"/>
    <col min="532" max="532" width="14.375" style="835" hidden="1"/>
    <col min="533" max="533" width="12.25" style="835" hidden="1"/>
    <col min="534" max="534" width="11.75" style="835" hidden="1"/>
    <col min="535" max="535" width="9" style="835" hidden="1"/>
    <col min="536" max="536" width="0.25" style="835" hidden="1"/>
    <col min="537" max="537" width="9.25" style="835" hidden="1"/>
    <col min="538" max="609" width="9.125" style="835" hidden="1"/>
    <col min="610" max="707" width="8.875" style="835" hidden="1"/>
    <col min="708" max="708" width="9" style="835" hidden="1"/>
    <col min="709" max="783" width="8.875" style="835" hidden="1"/>
    <col min="784" max="784" width="0.625" style="835" hidden="1"/>
    <col min="785" max="786" width="1.25" style="835" hidden="1"/>
    <col min="787" max="787" width="3.75" style="835" hidden="1"/>
    <col min="788" max="788" width="14.375" style="835" hidden="1"/>
    <col min="789" max="789" width="12.25" style="835" hidden="1"/>
    <col min="790" max="790" width="11.75" style="835" hidden="1"/>
    <col min="791" max="791" width="9" style="835" hidden="1"/>
    <col min="792" max="792" width="0.25" style="835" hidden="1"/>
    <col min="793" max="793" width="9.25" style="835" hidden="1"/>
    <col min="794" max="865" width="9.125" style="835" hidden="1"/>
    <col min="866" max="963" width="8.875" style="835" hidden="1"/>
    <col min="964" max="964" width="9" style="835" hidden="1"/>
    <col min="965" max="1039" width="8.875" style="835" hidden="1"/>
    <col min="1040" max="1040" width="0.625" style="835" hidden="1"/>
    <col min="1041" max="1042" width="1.25" style="835" hidden="1"/>
    <col min="1043" max="1043" width="3.75" style="835" hidden="1"/>
    <col min="1044" max="1044" width="14.375" style="835" hidden="1"/>
    <col min="1045" max="1045" width="12.25" style="835" hidden="1"/>
    <col min="1046" max="1046" width="11.75" style="835" hidden="1"/>
    <col min="1047" max="1047" width="9" style="835" hidden="1"/>
    <col min="1048" max="1048" width="0.25" style="835" hidden="1"/>
    <col min="1049" max="1049" width="9.25" style="835" hidden="1"/>
    <col min="1050" max="1121" width="9.125" style="835" hidden="1"/>
    <col min="1122" max="1219" width="8.875" style="835" hidden="1"/>
    <col min="1220" max="1220" width="9" style="835" hidden="1"/>
    <col min="1221" max="1295" width="8.875" style="835" hidden="1"/>
    <col min="1296" max="1296" width="0.625" style="835" hidden="1"/>
    <col min="1297" max="1298" width="1.25" style="835" hidden="1"/>
    <col min="1299" max="1299" width="3.75" style="835" hidden="1"/>
    <col min="1300" max="1300" width="14.375" style="835" hidden="1"/>
    <col min="1301" max="1301" width="12.25" style="835" hidden="1"/>
    <col min="1302" max="1302" width="11.75" style="835" hidden="1"/>
    <col min="1303" max="1303" width="9" style="835" hidden="1"/>
    <col min="1304" max="1304" width="0.25" style="835" hidden="1"/>
    <col min="1305" max="1305" width="9.25" style="835" hidden="1"/>
    <col min="1306" max="1377" width="9.125" style="835" hidden="1"/>
    <col min="1378" max="1475" width="8.875" style="835" hidden="1"/>
    <col min="1476" max="1476" width="9" style="835" hidden="1"/>
    <col min="1477" max="1551" width="8.875" style="835" hidden="1"/>
    <col min="1552" max="1552" width="0.625" style="835" hidden="1"/>
    <col min="1553" max="1554" width="1.25" style="835" hidden="1"/>
    <col min="1555" max="1555" width="3.75" style="835" hidden="1"/>
    <col min="1556" max="1556" width="14.375" style="835" hidden="1"/>
    <col min="1557" max="1557" width="12.25" style="835" hidden="1"/>
    <col min="1558" max="1558" width="11.75" style="835" hidden="1"/>
    <col min="1559" max="1559" width="9" style="835" hidden="1"/>
    <col min="1560" max="1560" width="0.25" style="835" hidden="1"/>
    <col min="1561" max="1561" width="9.25" style="835" hidden="1"/>
    <col min="1562" max="1633" width="9.125" style="835" hidden="1"/>
    <col min="1634" max="1731" width="8.875" style="835" hidden="1"/>
    <col min="1732" max="1732" width="9" style="835" hidden="1"/>
    <col min="1733" max="1807" width="8.875" style="835" hidden="1"/>
    <col min="1808" max="1808" width="0.625" style="835" hidden="1"/>
    <col min="1809" max="1810" width="1.25" style="835" hidden="1"/>
    <col min="1811" max="1811" width="3.75" style="835" hidden="1"/>
    <col min="1812" max="1812" width="14.375" style="835" hidden="1"/>
    <col min="1813" max="1813" width="12.25" style="835" hidden="1"/>
    <col min="1814" max="1814" width="11.75" style="835" hidden="1"/>
    <col min="1815" max="1815" width="9" style="835" hidden="1"/>
    <col min="1816" max="1816" width="0.25" style="835" hidden="1"/>
    <col min="1817" max="1817" width="9.25" style="835" hidden="1"/>
    <col min="1818" max="1889" width="9.125" style="835" hidden="1"/>
    <col min="1890" max="1987" width="8.875" style="835" hidden="1"/>
    <col min="1988" max="1988" width="9" style="835" hidden="1"/>
    <col min="1989" max="2063" width="8.875" style="835" hidden="1"/>
    <col min="2064" max="2064" width="0.625" style="835" hidden="1"/>
    <col min="2065" max="2066" width="1.25" style="835" hidden="1"/>
    <col min="2067" max="2067" width="3.75" style="835" hidden="1"/>
    <col min="2068" max="2068" width="14.375" style="835" hidden="1"/>
    <col min="2069" max="2069" width="12.25" style="835" hidden="1"/>
    <col min="2070" max="2070" width="11.75" style="835" hidden="1"/>
    <col min="2071" max="2071" width="9" style="835" hidden="1"/>
    <col min="2072" max="2072" width="0.25" style="835" hidden="1"/>
    <col min="2073" max="2073" width="9.25" style="835" hidden="1"/>
    <col min="2074" max="2145" width="9.125" style="835" hidden="1"/>
    <col min="2146" max="2243" width="8.875" style="835" hidden="1"/>
    <col min="2244" max="2244" width="9" style="835" hidden="1"/>
    <col min="2245" max="2319" width="8.875" style="835" hidden="1"/>
    <col min="2320" max="2320" width="0.625" style="835" hidden="1"/>
    <col min="2321" max="2322" width="1.25" style="835" hidden="1"/>
    <col min="2323" max="2323" width="3.75" style="835" hidden="1"/>
    <col min="2324" max="2324" width="14.375" style="835" hidden="1"/>
    <col min="2325" max="2325" width="12.25" style="835" hidden="1"/>
    <col min="2326" max="2326" width="11.75" style="835" hidden="1"/>
    <col min="2327" max="2327" width="9" style="835" hidden="1"/>
    <col min="2328" max="2328" width="0.25" style="835" hidden="1"/>
    <col min="2329" max="2329" width="9.25" style="835" hidden="1"/>
    <col min="2330" max="2401" width="9.125" style="835" hidden="1"/>
    <col min="2402" max="2499" width="8.875" style="835" hidden="1"/>
    <col min="2500" max="2500" width="9" style="835" hidden="1"/>
    <col min="2501" max="2575" width="8.875" style="835" hidden="1"/>
    <col min="2576" max="2576" width="0.625" style="835" hidden="1"/>
    <col min="2577" max="2578" width="1.25" style="835" hidden="1"/>
    <col min="2579" max="2579" width="3.75" style="835" hidden="1"/>
    <col min="2580" max="2580" width="14.375" style="835" hidden="1"/>
    <col min="2581" max="2581" width="12.25" style="835" hidden="1"/>
    <col min="2582" max="2582" width="11.75" style="835" hidden="1"/>
    <col min="2583" max="2583" width="9" style="835" hidden="1"/>
    <col min="2584" max="2584" width="0.25" style="835" hidden="1"/>
    <col min="2585" max="2585" width="9.25" style="835" hidden="1"/>
    <col min="2586" max="2657" width="9.125" style="835" hidden="1"/>
    <col min="2658" max="2755" width="8.875" style="835" hidden="1"/>
    <col min="2756" max="2756" width="9" style="835" hidden="1"/>
    <col min="2757" max="2831" width="8.875" style="835" hidden="1"/>
    <col min="2832" max="2832" width="0.625" style="835" hidden="1"/>
    <col min="2833" max="2834" width="1.25" style="835" hidden="1"/>
    <col min="2835" max="2835" width="3.75" style="835" hidden="1"/>
    <col min="2836" max="2836" width="14.375" style="835" hidden="1"/>
    <col min="2837" max="2837" width="12.25" style="835" hidden="1"/>
    <col min="2838" max="2838" width="11.75" style="835" hidden="1"/>
    <col min="2839" max="2839" width="9" style="835" hidden="1"/>
    <col min="2840" max="2840" width="0.25" style="835" hidden="1"/>
    <col min="2841" max="2841" width="9.25" style="835" hidden="1"/>
    <col min="2842" max="2913" width="9.125" style="835" hidden="1"/>
    <col min="2914" max="3011" width="8.875" style="835" hidden="1"/>
    <col min="3012" max="3012" width="9" style="835" hidden="1"/>
    <col min="3013" max="3087" width="8.875" style="835" hidden="1"/>
    <col min="3088" max="3088" width="0.625" style="835" hidden="1"/>
    <col min="3089" max="3090" width="1.25" style="835" hidden="1"/>
    <col min="3091" max="3091" width="3.75" style="835" hidden="1"/>
    <col min="3092" max="3092" width="14.375" style="835" hidden="1"/>
    <col min="3093" max="3093" width="12.25" style="835" hidden="1"/>
    <col min="3094" max="3094" width="11.75" style="835" hidden="1"/>
    <col min="3095" max="3095" width="9" style="835" hidden="1"/>
    <col min="3096" max="3096" width="0.25" style="835" hidden="1"/>
    <col min="3097" max="3097" width="9.25" style="835" hidden="1"/>
    <col min="3098" max="3169" width="9.125" style="835" hidden="1"/>
    <col min="3170" max="3267" width="8.875" style="835" hidden="1"/>
    <col min="3268" max="3268" width="9" style="835" hidden="1"/>
    <col min="3269" max="3343" width="8.875" style="835" hidden="1"/>
    <col min="3344" max="3344" width="0.625" style="835" hidden="1"/>
    <col min="3345" max="3346" width="1.25" style="835" hidden="1"/>
    <col min="3347" max="3347" width="3.75" style="835" hidden="1"/>
    <col min="3348" max="3348" width="14.375" style="835" hidden="1"/>
    <col min="3349" max="3349" width="12.25" style="835" hidden="1"/>
    <col min="3350" max="3350" width="11.75" style="835" hidden="1"/>
    <col min="3351" max="3351" width="9" style="835" hidden="1"/>
    <col min="3352" max="3352" width="0.25" style="835" hidden="1"/>
    <col min="3353" max="3353" width="9.25" style="835" hidden="1"/>
    <col min="3354" max="3425" width="9.125" style="835" hidden="1"/>
    <col min="3426" max="3523" width="8.875" style="835" hidden="1"/>
    <col min="3524" max="3524" width="9" style="835" hidden="1"/>
    <col min="3525" max="3599" width="8.875" style="835" hidden="1"/>
    <col min="3600" max="3600" width="0.625" style="835" hidden="1"/>
    <col min="3601" max="3602" width="1.25" style="835" hidden="1"/>
    <col min="3603" max="3603" width="3.75" style="835" hidden="1"/>
    <col min="3604" max="3604" width="14.375" style="835" hidden="1"/>
    <col min="3605" max="3605" width="12.25" style="835" hidden="1"/>
    <col min="3606" max="3606" width="11.75" style="835" hidden="1"/>
    <col min="3607" max="3607" width="9" style="835" hidden="1"/>
    <col min="3608" max="3608" width="0.25" style="835" hidden="1"/>
    <col min="3609" max="3609" width="9.25" style="835" hidden="1"/>
    <col min="3610" max="3681" width="9.125" style="835" hidden="1"/>
    <col min="3682" max="3779" width="8.875" style="835" hidden="1"/>
    <col min="3780" max="3780" width="9" style="835" hidden="1"/>
    <col min="3781" max="3855" width="8.875" style="835" hidden="1"/>
    <col min="3856" max="3856" width="0.625" style="835" hidden="1"/>
    <col min="3857" max="3858" width="1.25" style="835" hidden="1"/>
    <col min="3859" max="3859" width="3.75" style="835" hidden="1"/>
    <col min="3860" max="3860" width="14.375" style="835" hidden="1"/>
    <col min="3861" max="3861" width="12.25" style="835" hidden="1"/>
    <col min="3862" max="3862" width="11.75" style="835" hidden="1"/>
    <col min="3863" max="3863" width="9" style="835" hidden="1"/>
    <col min="3864" max="3864" width="0.25" style="835" hidden="1"/>
    <col min="3865" max="3865" width="9.25" style="835" hidden="1"/>
    <col min="3866" max="3937" width="9.125" style="835" hidden="1"/>
    <col min="3938" max="4035" width="8.875" style="835" hidden="1"/>
    <col min="4036" max="4036" width="9" style="835" hidden="1"/>
    <col min="4037" max="4111" width="8.875" style="835" hidden="1"/>
    <col min="4112" max="4112" width="0.625" style="835" hidden="1"/>
    <col min="4113" max="4114" width="1.25" style="835" hidden="1"/>
    <col min="4115" max="4115" width="3.75" style="835" hidden="1"/>
    <col min="4116" max="4116" width="14.375" style="835" hidden="1"/>
    <col min="4117" max="4117" width="12.25" style="835" hidden="1"/>
    <col min="4118" max="4118" width="11.75" style="835" hidden="1"/>
    <col min="4119" max="4119" width="9" style="835" hidden="1"/>
    <col min="4120" max="4120" width="0.25" style="835" hidden="1"/>
    <col min="4121" max="4121" width="9.25" style="835" hidden="1"/>
    <col min="4122" max="4193" width="9.125" style="835" hidden="1"/>
    <col min="4194" max="4291" width="8.875" style="835" hidden="1"/>
    <col min="4292" max="4292" width="9" style="835" hidden="1"/>
    <col min="4293" max="4367" width="8.875" style="835" hidden="1"/>
    <col min="4368" max="4368" width="0.625" style="835" hidden="1"/>
    <col min="4369" max="4370" width="1.25" style="835" hidden="1"/>
    <col min="4371" max="4371" width="3.75" style="835" hidden="1"/>
    <col min="4372" max="4372" width="14.375" style="835" hidden="1"/>
    <col min="4373" max="4373" width="12.25" style="835" hidden="1"/>
    <col min="4374" max="4374" width="11.75" style="835" hidden="1"/>
    <col min="4375" max="4375" width="9" style="835" hidden="1"/>
    <col min="4376" max="4376" width="0.25" style="835" hidden="1"/>
    <col min="4377" max="4377" width="9.25" style="835" hidden="1"/>
    <col min="4378" max="4449" width="9.125" style="835" hidden="1"/>
    <col min="4450" max="4547" width="8.875" style="835" hidden="1"/>
    <col min="4548" max="4548" width="9" style="835" hidden="1"/>
    <col min="4549" max="4623" width="8.875" style="835" hidden="1"/>
    <col min="4624" max="4624" width="0.625" style="835" hidden="1"/>
    <col min="4625" max="4626" width="1.25" style="835" hidden="1"/>
    <col min="4627" max="4627" width="3.75" style="835" hidden="1"/>
    <col min="4628" max="4628" width="14.375" style="835" hidden="1"/>
    <col min="4629" max="4629" width="12.25" style="835" hidden="1"/>
    <col min="4630" max="4630" width="11.75" style="835" hidden="1"/>
    <col min="4631" max="4631" width="9" style="835" hidden="1"/>
    <col min="4632" max="4632" width="0.25" style="835" hidden="1"/>
    <col min="4633" max="4633" width="9.25" style="835" hidden="1"/>
    <col min="4634" max="4705" width="9.125" style="835" hidden="1"/>
    <col min="4706" max="4803" width="8.875" style="835" hidden="1"/>
    <col min="4804" max="4804" width="9" style="835" hidden="1"/>
    <col min="4805" max="4879" width="8.875" style="835" hidden="1"/>
    <col min="4880" max="4880" width="0.625" style="835" hidden="1"/>
    <col min="4881" max="4882" width="1.25" style="835" hidden="1"/>
    <col min="4883" max="4883" width="3.75" style="835" hidden="1"/>
    <col min="4884" max="4884" width="14.375" style="835" hidden="1"/>
    <col min="4885" max="4885" width="12.25" style="835" hidden="1"/>
    <col min="4886" max="4886" width="11.75" style="835" hidden="1"/>
    <col min="4887" max="4887" width="9" style="835" hidden="1"/>
    <col min="4888" max="4888" width="0.25" style="835" hidden="1"/>
    <col min="4889" max="4889" width="9.25" style="835" hidden="1"/>
    <col min="4890" max="4961" width="9.125" style="835" hidden="1"/>
    <col min="4962" max="5059" width="8.875" style="835" hidden="1"/>
    <col min="5060" max="5060" width="9" style="835" hidden="1"/>
    <col min="5061" max="5135" width="8.875" style="835" hidden="1"/>
    <col min="5136" max="5136" width="0.625" style="835" hidden="1"/>
    <col min="5137" max="5138" width="1.25" style="835" hidden="1"/>
    <col min="5139" max="5139" width="3.75" style="835" hidden="1"/>
    <col min="5140" max="5140" width="14.375" style="835" hidden="1"/>
    <col min="5141" max="5141" width="12.25" style="835" hidden="1"/>
    <col min="5142" max="5142" width="11.75" style="835" hidden="1"/>
    <col min="5143" max="5143" width="9" style="835" hidden="1"/>
    <col min="5144" max="5144" width="0.25" style="835" hidden="1"/>
    <col min="5145" max="5145" width="9.25" style="835" hidden="1"/>
    <col min="5146" max="5217" width="9.125" style="835" hidden="1"/>
    <col min="5218" max="5315" width="8.875" style="835" hidden="1"/>
    <col min="5316" max="5316" width="9" style="835" hidden="1"/>
    <col min="5317" max="5391" width="8.875" style="835" hidden="1"/>
    <col min="5392" max="5392" width="0.625" style="835" hidden="1"/>
    <col min="5393" max="5394" width="1.25" style="835" hidden="1"/>
    <col min="5395" max="5395" width="3.75" style="835" hidden="1"/>
    <col min="5396" max="5396" width="14.375" style="835" hidden="1"/>
    <col min="5397" max="5397" width="12.25" style="835" hidden="1"/>
    <col min="5398" max="5398" width="11.75" style="835" hidden="1"/>
    <col min="5399" max="5399" width="9" style="835" hidden="1"/>
    <col min="5400" max="5400" width="0.25" style="835" hidden="1"/>
    <col min="5401" max="5401" width="9.25" style="835" hidden="1"/>
    <col min="5402" max="5473" width="9.125" style="835" hidden="1"/>
    <col min="5474" max="5571" width="8.875" style="835" hidden="1"/>
    <col min="5572" max="5572" width="9" style="835" hidden="1"/>
    <col min="5573" max="5647" width="8.875" style="835" hidden="1"/>
    <col min="5648" max="5648" width="0.625" style="835" hidden="1"/>
    <col min="5649" max="5650" width="1.25" style="835" hidden="1"/>
    <col min="5651" max="5651" width="3.75" style="835" hidden="1"/>
    <col min="5652" max="5652" width="14.375" style="835" hidden="1"/>
    <col min="5653" max="5653" width="12.25" style="835" hidden="1"/>
    <col min="5654" max="5654" width="11.75" style="835" hidden="1"/>
    <col min="5655" max="5655" width="9" style="835" hidden="1"/>
    <col min="5656" max="5656" width="0.25" style="835" hidden="1"/>
    <col min="5657" max="5657" width="9.25" style="835" hidden="1"/>
    <col min="5658" max="5729" width="9.125" style="835" hidden="1"/>
    <col min="5730" max="5827" width="8.875" style="835" hidden="1"/>
    <col min="5828" max="5828" width="9" style="835" hidden="1"/>
    <col min="5829" max="5903" width="8.875" style="835" hidden="1"/>
    <col min="5904" max="5904" width="0.625" style="835" hidden="1"/>
    <col min="5905" max="5906" width="1.25" style="835" hidden="1"/>
    <col min="5907" max="5907" width="3.75" style="835" hidden="1"/>
    <col min="5908" max="5908" width="14.375" style="835" hidden="1"/>
    <col min="5909" max="5909" width="12.25" style="835" hidden="1"/>
    <col min="5910" max="5910" width="11.75" style="835" hidden="1"/>
    <col min="5911" max="5911" width="9" style="835" hidden="1"/>
    <col min="5912" max="5912" width="0.25" style="835" hidden="1"/>
    <col min="5913" max="5913" width="9.25" style="835" hidden="1"/>
    <col min="5914" max="5985" width="9.125" style="835" hidden="1"/>
    <col min="5986" max="6083" width="8.875" style="835" hidden="1"/>
    <col min="6084" max="6084" width="9" style="835" hidden="1"/>
    <col min="6085" max="6159" width="8.875" style="835" hidden="1"/>
    <col min="6160" max="6160" width="0.625" style="835" hidden="1"/>
    <col min="6161" max="6162" width="1.25" style="835" hidden="1"/>
    <col min="6163" max="6163" width="3.75" style="835" hidden="1"/>
    <col min="6164" max="6164" width="14.375" style="835" hidden="1"/>
    <col min="6165" max="6165" width="12.25" style="835" hidden="1"/>
    <col min="6166" max="6166" width="11.75" style="835" hidden="1"/>
    <col min="6167" max="6167" width="9" style="835" hidden="1"/>
    <col min="6168" max="6168" width="0.25" style="835" hidden="1"/>
    <col min="6169" max="6169" width="9.25" style="835" hidden="1"/>
    <col min="6170" max="6241" width="9.125" style="835" hidden="1"/>
    <col min="6242" max="6339" width="8.875" style="835" hidden="1"/>
    <col min="6340" max="6340" width="9" style="835" hidden="1"/>
    <col min="6341" max="6415" width="8.875" style="835" hidden="1"/>
    <col min="6416" max="6416" width="0.625" style="835" hidden="1"/>
    <col min="6417" max="6418" width="1.25" style="835" hidden="1"/>
    <col min="6419" max="6419" width="3.75" style="835" hidden="1"/>
    <col min="6420" max="6420" width="14.375" style="835" hidden="1"/>
    <col min="6421" max="6421" width="12.25" style="835" hidden="1"/>
    <col min="6422" max="6422" width="11.75" style="835" hidden="1"/>
    <col min="6423" max="6423" width="9" style="835" hidden="1"/>
    <col min="6424" max="6424" width="0.25" style="835" hidden="1"/>
    <col min="6425" max="6425" width="9.25" style="835" hidden="1"/>
    <col min="6426" max="6497" width="9.125" style="835" hidden="1"/>
    <col min="6498" max="6595" width="8.875" style="835" hidden="1"/>
    <col min="6596" max="6596" width="9" style="835" hidden="1"/>
    <col min="6597" max="6671" width="8.875" style="835" hidden="1"/>
    <col min="6672" max="6672" width="0.625" style="835" hidden="1"/>
    <col min="6673" max="6674" width="1.25" style="835" hidden="1"/>
    <col min="6675" max="6675" width="3.75" style="835" hidden="1"/>
    <col min="6676" max="6676" width="14.375" style="835" hidden="1"/>
    <col min="6677" max="6677" width="12.25" style="835" hidden="1"/>
    <col min="6678" max="6678" width="11.75" style="835" hidden="1"/>
    <col min="6679" max="6679" width="9" style="835" hidden="1"/>
    <col min="6680" max="6680" width="0.25" style="835" hidden="1"/>
    <col min="6681" max="6681" width="9.25" style="835" hidden="1"/>
    <col min="6682" max="6753" width="9.125" style="835" hidden="1"/>
    <col min="6754" max="6851" width="8.875" style="835" hidden="1"/>
    <col min="6852" max="6852" width="9" style="835" hidden="1"/>
    <col min="6853" max="6927" width="8.875" style="835" hidden="1"/>
    <col min="6928" max="6928" width="0.625" style="835" hidden="1"/>
    <col min="6929" max="6930" width="1.25" style="835" hidden="1"/>
    <col min="6931" max="6931" width="3.75" style="835" hidden="1"/>
    <col min="6932" max="6932" width="14.375" style="835" hidden="1"/>
    <col min="6933" max="6933" width="12.25" style="835" hidden="1"/>
    <col min="6934" max="6934" width="11.75" style="835" hidden="1"/>
    <col min="6935" max="6935" width="9" style="835" hidden="1"/>
    <col min="6936" max="6936" width="0.25" style="835" hidden="1"/>
    <col min="6937" max="6937" width="9.25" style="835" hidden="1"/>
    <col min="6938" max="7009" width="9.125" style="835" hidden="1"/>
    <col min="7010" max="7107" width="8.875" style="835" hidden="1"/>
    <col min="7108" max="7108" width="9" style="835" hidden="1"/>
    <col min="7109" max="7183" width="8.875" style="835" hidden="1"/>
    <col min="7184" max="7184" width="0.625" style="835" hidden="1"/>
    <col min="7185" max="7186" width="1.25" style="835" hidden="1"/>
    <col min="7187" max="7187" width="3.75" style="835" hidden="1"/>
    <col min="7188" max="7188" width="14.375" style="835" hidden="1"/>
    <col min="7189" max="7189" width="12.25" style="835" hidden="1"/>
    <col min="7190" max="7190" width="11.75" style="835" hidden="1"/>
    <col min="7191" max="7191" width="9" style="835" hidden="1"/>
    <col min="7192" max="7192" width="0.25" style="835" hidden="1"/>
    <col min="7193" max="7193" width="9.25" style="835" hidden="1"/>
    <col min="7194" max="7265" width="9.125" style="835" hidden="1"/>
    <col min="7266" max="7363" width="8.875" style="835" hidden="1"/>
    <col min="7364" max="7364" width="9" style="835" hidden="1"/>
    <col min="7365" max="7439" width="8.875" style="835" hidden="1"/>
    <col min="7440" max="7440" width="0.625" style="835" hidden="1"/>
    <col min="7441" max="7442" width="1.25" style="835" hidden="1"/>
    <col min="7443" max="7443" width="3.75" style="835" hidden="1"/>
    <col min="7444" max="7444" width="14.375" style="835" hidden="1"/>
    <col min="7445" max="7445" width="12.25" style="835" hidden="1"/>
    <col min="7446" max="7446" width="11.75" style="835" hidden="1"/>
    <col min="7447" max="7447" width="9" style="835" hidden="1"/>
    <col min="7448" max="7448" width="0.25" style="835" hidden="1"/>
    <col min="7449" max="7449" width="9.25" style="835" hidden="1"/>
    <col min="7450" max="7521" width="9.125" style="835" hidden="1"/>
    <col min="7522" max="7619" width="8.875" style="835" hidden="1"/>
    <col min="7620" max="7620" width="9" style="835" hidden="1"/>
    <col min="7621" max="7695" width="8.875" style="835" hidden="1"/>
    <col min="7696" max="7696" width="0.625" style="835" hidden="1"/>
    <col min="7697" max="7698" width="1.25" style="835" hidden="1"/>
    <col min="7699" max="7699" width="3.75" style="835" hidden="1"/>
    <col min="7700" max="7700" width="14.375" style="835" hidden="1"/>
    <col min="7701" max="7701" width="12.25" style="835" hidden="1"/>
    <col min="7702" max="7702" width="11.75" style="835" hidden="1"/>
    <col min="7703" max="7703" width="9" style="835" hidden="1"/>
    <col min="7704" max="7704" width="0.25" style="835" hidden="1"/>
    <col min="7705" max="7705" width="9.25" style="835" hidden="1"/>
    <col min="7706" max="7777" width="9.125" style="835" hidden="1"/>
    <col min="7778" max="7875" width="8.875" style="835" hidden="1"/>
    <col min="7876" max="7876" width="9" style="835" hidden="1"/>
    <col min="7877" max="7951" width="8.875" style="835" hidden="1"/>
    <col min="7952" max="7952" width="0.625" style="835" hidden="1"/>
    <col min="7953" max="7954" width="1.25" style="835" hidden="1"/>
    <col min="7955" max="7955" width="3.75" style="835" hidden="1"/>
    <col min="7956" max="7956" width="14.375" style="835" hidden="1"/>
    <col min="7957" max="7957" width="12.25" style="835" hidden="1"/>
    <col min="7958" max="7958" width="11.75" style="835" hidden="1"/>
    <col min="7959" max="7959" width="9" style="835" hidden="1"/>
    <col min="7960" max="7960" width="0.25" style="835" hidden="1"/>
    <col min="7961" max="7961" width="9.25" style="835" hidden="1"/>
    <col min="7962" max="8033" width="9.125" style="835" hidden="1"/>
    <col min="8034" max="8131" width="8.875" style="835" hidden="1"/>
    <col min="8132" max="8132" width="9" style="835" hidden="1"/>
    <col min="8133" max="8207" width="8.875" style="835" hidden="1"/>
    <col min="8208" max="8208" width="0.625" style="835" hidden="1"/>
    <col min="8209" max="8210" width="1.25" style="835" hidden="1"/>
    <col min="8211" max="8211" width="3.75" style="835" hidden="1"/>
    <col min="8212" max="8212" width="14.375" style="835" hidden="1"/>
    <col min="8213" max="8213" width="12.25" style="835" hidden="1"/>
    <col min="8214" max="8214" width="11.75" style="835" hidden="1"/>
    <col min="8215" max="8215" width="9" style="835" hidden="1"/>
    <col min="8216" max="8216" width="0.25" style="835" hidden="1"/>
    <col min="8217" max="8217" width="9.25" style="835" hidden="1"/>
    <col min="8218" max="8289" width="9.125" style="835" hidden="1"/>
    <col min="8290" max="8387" width="8.875" style="835" hidden="1"/>
    <col min="8388" max="8388" width="9" style="835" hidden="1"/>
    <col min="8389" max="8463" width="8.875" style="835" hidden="1"/>
    <col min="8464" max="8464" width="0.625" style="835" hidden="1"/>
    <col min="8465" max="8466" width="1.25" style="835" hidden="1"/>
    <col min="8467" max="8467" width="3.75" style="835" hidden="1"/>
    <col min="8468" max="8468" width="14.375" style="835" hidden="1"/>
    <col min="8469" max="8469" width="12.25" style="835" hidden="1"/>
    <col min="8470" max="8470" width="11.75" style="835" hidden="1"/>
    <col min="8471" max="8471" width="9" style="835" hidden="1"/>
    <col min="8472" max="8472" width="0.25" style="835" hidden="1"/>
    <col min="8473" max="8473" width="9.25" style="835" hidden="1"/>
    <col min="8474" max="8545" width="9.125" style="835" hidden="1"/>
    <col min="8546" max="8643" width="8.875" style="835" hidden="1"/>
    <col min="8644" max="8644" width="9" style="835" hidden="1"/>
    <col min="8645" max="8719" width="8.875" style="835" hidden="1"/>
    <col min="8720" max="8720" width="0.625" style="835" hidden="1"/>
    <col min="8721" max="8722" width="1.25" style="835" hidden="1"/>
    <col min="8723" max="8723" width="3.75" style="835" hidden="1"/>
    <col min="8724" max="8724" width="14.375" style="835" hidden="1"/>
    <col min="8725" max="8725" width="12.25" style="835" hidden="1"/>
    <col min="8726" max="8726" width="11.75" style="835" hidden="1"/>
    <col min="8727" max="8727" width="9" style="835" hidden="1"/>
    <col min="8728" max="8728" width="0.25" style="835" hidden="1"/>
    <col min="8729" max="8729" width="9.25" style="835" hidden="1"/>
    <col min="8730" max="8801" width="9.125" style="835" hidden="1"/>
    <col min="8802" max="8899" width="8.875" style="835" hidden="1"/>
    <col min="8900" max="8900" width="9" style="835" hidden="1"/>
    <col min="8901" max="8975" width="8.875" style="835" hidden="1"/>
    <col min="8976" max="8976" width="0.625" style="835" hidden="1"/>
    <col min="8977" max="8978" width="1.25" style="835" hidden="1"/>
    <col min="8979" max="8979" width="3.75" style="835" hidden="1"/>
    <col min="8980" max="8980" width="14.375" style="835" hidden="1"/>
    <col min="8981" max="8981" width="12.25" style="835" hidden="1"/>
    <col min="8982" max="8982" width="11.75" style="835" hidden="1"/>
    <col min="8983" max="8983" width="9" style="835" hidden="1"/>
    <col min="8984" max="8984" width="0.25" style="835" hidden="1"/>
    <col min="8985" max="8985" width="9.25" style="835" hidden="1"/>
    <col min="8986" max="9057" width="9.125" style="835" hidden="1"/>
    <col min="9058" max="9155" width="8.875" style="835" hidden="1"/>
    <col min="9156" max="9156" width="9" style="835" hidden="1"/>
    <col min="9157" max="9231" width="8.875" style="835" hidden="1"/>
    <col min="9232" max="9232" width="0.625" style="835" hidden="1"/>
    <col min="9233" max="9234" width="1.25" style="835" hidden="1"/>
    <col min="9235" max="9235" width="3.75" style="835" hidden="1"/>
    <col min="9236" max="9236" width="14.375" style="835" hidden="1"/>
    <col min="9237" max="9237" width="12.25" style="835" hidden="1"/>
    <col min="9238" max="9238" width="11.75" style="835" hidden="1"/>
    <col min="9239" max="9239" width="9" style="835" hidden="1"/>
    <col min="9240" max="9240" width="0.25" style="835" hidden="1"/>
    <col min="9241" max="9241" width="9.25" style="835" hidden="1"/>
    <col min="9242" max="9313" width="9.125" style="835" hidden="1"/>
    <col min="9314" max="9411" width="8.875" style="835" hidden="1"/>
    <col min="9412" max="9412" width="9" style="835" hidden="1"/>
    <col min="9413" max="9487" width="8.875" style="835" hidden="1"/>
    <col min="9488" max="9488" width="0.625" style="835" hidden="1"/>
    <col min="9489" max="9490" width="1.25" style="835" hidden="1"/>
    <col min="9491" max="9491" width="3.75" style="835" hidden="1"/>
    <col min="9492" max="9492" width="14.375" style="835" hidden="1"/>
    <col min="9493" max="9493" width="12.25" style="835" hidden="1"/>
    <col min="9494" max="9494" width="11.75" style="835" hidden="1"/>
    <col min="9495" max="9495" width="9" style="835" hidden="1"/>
    <col min="9496" max="9496" width="0.25" style="835" hidden="1"/>
    <col min="9497" max="9497" width="9.25" style="835" hidden="1"/>
    <col min="9498" max="9569" width="9.125" style="835" hidden="1"/>
    <col min="9570" max="9667" width="8.875" style="835" hidden="1"/>
    <col min="9668" max="9668" width="9" style="835" hidden="1"/>
    <col min="9669" max="9743" width="8.875" style="835" hidden="1"/>
    <col min="9744" max="9744" width="0.625" style="835" hidden="1"/>
    <col min="9745" max="9746" width="1.25" style="835" hidden="1"/>
    <col min="9747" max="9747" width="3.75" style="835" hidden="1"/>
    <col min="9748" max="9748" width="14.375" style="835" hidden="1"/>
    <col min="9749" max="9749" width="12.25" style="835" hidden="1"/>
    <col min="9750" max="9750" width="11.75" style="835" hidden="1"/>
    <col min="9751" max="9751" width="9" style="835" hidden="1"/>
    <col min="9752" max="9752" width="0.25" style="835" hidden="1"/>
    <col min="9753" max="9753" width="9.25" style="835" hidden="1"/>
    <col min="9754" max="9825" width="9.125" style="835" hidden="1"/>
    <col min="9826" max="9923" width="8.875" style="835" hidden="1"/>
    <col min="9924" max="9924" width="9" style="835" hidden="1"/>
    <col min="9925" max="9999" width="8.875" style="835" hidden="1"/>
    <col min="10000" max="10000" width="0.625" style="835" hidden="1"/>
    <col min="10001" max="10002" width="1.25" style="835" hidden="1"/>
    <col min="10003" max="10003" width="3.75" style="835" hidden="1"/>
    <col min="10004" max="10004" width="14.375" style="835" hidden="1"/>
    <col min="10005" max="10005" width="12.25" style="835" hidden="1"/>
    <col min="10006" max="10006" width="11.75" style="835" hidden="1"/>
    <col min="10007" max="10007" width="9" style="835" hidden="1"/>
    <col min="10008" max="10008" width="0.25" style="835" hidden="1"/>
    <col min="10009" max="10009" width="9.25" style="835" hidden="1"/>
    <col min="10010" max="10081" width="9.125" style="835" hidden="1"/>
    <col min="10082" max="10179" width="8.875" style="835" hidden="1"/>
    <col min="10180" max="10180" width="9" style="835" hidden="1"/>
    <col min="10181" max="10255" width="8.875" style="835" hidden="1"/>
    <col min="10256" max="10256" width="0.625" style="835" hidden="1"/>
    <col min="10257" max="10258" width="1.25" style="835" hidden="1"/>
    <col min="10259" max="10259" width="3.75" style="835" hidden="1"/>
    <col min="10260" max="10260" width="14.375" style="835" hidden="1"/>
    <col min="10261" max="10261" width="12.25" style="835" hidden="1"/>
    <col min="10262" max="10262" width="11.75" style="835" hidden="1"/>
    <col min="10263" max="10263" width="9" style="835" hidden="1"/>
    <col min="10264" max="10264" width="0.25" style="835" hidden="1"/>
    <col min="10265" max="10265" width="9.25" style="835" hidden="1"/>
    <col min="10266" max="10337" width="9.125" style="835" hidden="1"/>
    <col min="10338" max="10435" width="8.875" style="835" hidden="1"/>
    <col min="10436" max="10436" width="9" style="835" hidden="1"/>
    <col min="10437" max="10511" width="8.875" style="835" hidden="1"/>
    <col min="10512" max="10512" width="0.625" style="835" hidden="1"/>
    <col min="10513" max="10514" width="1.25" style="835" hidden="1"/>
    <col min="10515" max="10515" width="3.75" style="835" hidden="1"/>
    <col min="10516" max="10516" width="14.375" style="835" hidden="1"/>
    <col min="10517" max="10517" width="12.25" style="835" hidden="1"/>
    <col min="10518" max="10518" width="11.75" style="835" hidden="1"/>
    <col min="10519" max="10519" width="9" style="835" hidden="1"/>
    <col min="10520" max="10520" width="0.25" style="835" hidden="1"/>
    <col min="10521" max="10521" width="9.25" style="835" hidden="1"/>
    <col min="10522" max="10593" width="9.125" style="835" hidden="1"/>
    <col min="10594" max="10691" width="8.875" style="835" hidden="1"/>
    <col min="10692" max="10692" width="9" style="835" hidden="1"/>
    <col min="10693" max="10767" width="8.875" style="835" hidden="1"/>
    <col min="10768" max="10768" width="0.625" style="835" hidden="1"/>
    <col min="10769" max="10770" width="1.25" style="835" hidden="1"/>
    <col min="10771" max="10771" width="3.75" style="835" hidden="1"/>
    <col min="10772" max="10772" width="14.375" style="835" hidden="1"/>
    <col min="10773" max="10773" width="12.25" style="835" hidden="1"/>
    <col min="10774" max="10774" width="11.75" style="835" hidden="1"/>
    <col min="10775" max="10775" width="9" style="835" hidden="1"/>
    <col min="10776" max="10776" width="0.25" style="835" hidden="1"/>
    <col min="10777" max="10777" width="9.25" style="835" hidden="1"/>
    <col min="10778" max="10849" width="9.125" style="835" hidden="1"/>
    <col min="10850" max="10947" width="8.875" style="835" hidden="1"/>
    <col min="10948" max="10948" width="9" style="835" hidden="1"/>
    <col min="10949" max="11023" width="8.875" style="835" hidden="1"/>
    <col min="11024" max="11024" width="0.625" style="835" hidden="1"/>
    <col min="11025" max="11026" width="1.25" style="835" hidden="1"/>
    <col min="11027" max="11027" width="3.75" style="835" hidden="1"/>
    <col min="11028" max="11028" width="14.375" style="835" hidden="1"/>
    <col min="11029" max="11029" width="12.25" style="835" hidden="1"/>
    <col min="11030" max="11030" width="11.75" style="835" hidden="1"/>
    <col min="11031" max="11031" width="9" style="835" hidden="1"/>
    <col min="11032" max="11032" width="0.25" style="835" hidden="1"/>
    <col min="11033" max="11033" width="9.25" style="835" hidden="1"/>
    <col min="11034" max="11105" width="9.125" style="835" hidden="1"/>
    <col min="11106" max="11203" width="8.875" style="835" hidden="1"/>
    <col min="11204" max="11204" width="9" style="835" hidden="1"/>
    <col min="11205" max="11279" width="8.875" style="835" hidden="1"/>
    <col min="11280" max="11280" width="0.625" style="835" hidden="1"/>
    <col min="11281" max="11282" width="1.25" style="835" hidden="1"/>
    <col min="11283" max="11283" width="3.75" style="835" hidden="1"/>
    <col min="11284" max="11284" width="14.375" style="835" hidden="1"/>
    <col min="11285" max="11285" width="12.25" style="835" hidden="1"/>
    <col min="11286" max="11286" width="11.75" style="835" hidden="1"/>
    <col min="11287" max="11287" width="9" style="835" hidden="1"/>
    <col min="11288" max="11288" width="0.25" style="835" hidden="1"/>
    <col min="11289" max="11289" width="9.25" style="835" hidden="1"/>
    <col min="11290" max="11361" width="9.125" style="835" hidden="1"/>
    <col min="11362" max="11459" width="8.875" style="835" hidden="1"/>
    <col min="11460" max="11460" width="9" style="835" hidden="1"/>
    <col min="11461" max="11535" width="8.875" style="835" hidden="1"/>
    <col min="11536" max="11536" width="0.625" style="835" hidden="1"/>
    <col min="11537" max="11538" width="1.25" style="835" hidden="1"/>
    <col min="11539" max="11539" width="3.75" style="835" hidden="1"/>
    <col min="11540" max="11540" width="14.375" style="835" hidden="1"/>
    <col min="11541" max="11541" width="12.25" style="835" hidden="1"/>
    <col min="11542" max="11542" width="11.75" style="835" hidden="1"/>
    <col min="11543" max="11543" width="9" style="835" hidden="1"/>
    <col min="11544" max="11544" width="0.25" style="835" hidden="1"/>
    <col min="11545" max="11545" width="9.25" style="835" hidden="1"/>
    <col min="11546" max="11617" width="9.125" style="835" hidden="1"/>
    <col min="11618" max="11715" width="8.875" style="835" hidden="1"/>
    <col min="11716" max="11716" width="9" style="835" hidden="1"/>
    <col min="11717" max="11791" width="8.875" style="835" hidden="1"/>
    <col min="11792" max="11792" width="0.625" style="835" hidden="1"/>
    <col min="11793" max="11794" width="1.25" style="835" hidden="1"/>
    <col min="11795" max="11795" width="3.75" style="835" hidden="1"/>
    <col min="11796" max="11796" width="14.375" style="835" hidden="1"/>
    <col min="11797" max="11797" width="12.25" style="835" hidden="1"/>
    <col min="11798" max="11798" width="11.75" style="835" hidden="1"/>
    <col min="11799" max="11799" width="9" style="835" hidden="1"/>
    <col min="11800" max="11800" width="0.25" style="835" hidden="1"/>
    <col min="11801" max="11801" width="9.25" style="835" hidden="1"/>
    <col min="11802" max="11873" width="9.125" style="835" hidden="1"/>
    <col min="11874" max="11971" width="8.875" style="835" hidden="1"/>
    <col min="11972" max="11972" width="9" style="835" hidden="1"/>
    <col min="11973" max="12047" width="8.875" style="835" hidden="1"/>
    <col min="12048" max="12048" width="0.625" style="835" hidden="1"/>
    <col min="12049" max="12050" width="1.25" style="835" hidden="1"/>
    <col min="12051" max="12051" width="3.75" style="835" hidden="1"/>
    <col min="12052" max="12052" width="14.375" style="835" hidden="1"/>
    <col min="12053" max="12053" width="12.25" style="835" hidden="1"/>
    <col min="12054" max="12054" width="11.75" style="835" hidden="1"/>
    <col min="12055" max="12055" width="9" style="835" hidden="1"/>
    <col min="12056" max="12056" width="0.25" style="835" hidden="1"/>
    <col min="12057" max="12057" width="9.25" style="835" hidden="1"/>
    <col min="12058" max="12129" width="9.125" style="835" hidden="1"/>
    <col min="12130" max="12227" width="8.875" style="835" hidden="1"/>
    <col min="12228" max="12228" width="9" style="835" hidden="1"/>
    <col min="12229" max="12303" width="8.875" style="835" hidden="1"/>
    <col min="12304" max="12304" width="0.625" style="835" hidden="1"/>
    <col min="12305" max="12306" width="1.25" style="835" hidden="1"/>
    <col min="12307" max="12307" width="3.75" style="835" hidden="1"/>
    <col min="12308" max="12308" width="14.375" style="835" hidden="1"/>
    <col min="12309" max="12309" width="12.25" style="835" hidden="1"/>
    <col min="12310" max="12310" width="11.75" style="835" hidden="1"/>
    <col min="12311" max="12311" width="9" style="835" hidden="1"/>
    <col min="12312" max="12312" width="0.25" style="835" hidden="1"/>
    <col min="12313" max="12313" width="9.25" style="835" hidden="1"/>
    <col min="12314" max="12385" width="9.125" style="835" hidden="1"/>
    <col min="12386" max="12483" width="8.875" style="835" hidden="1"/>
    <col min="12484" max="12484" width="9" style="835" hidden="1"/>
    <col min="12485" max="12559" width="8.875" style="835" hidden="1"/>
    <col min="12560" max="12560" width="0.625" style="835" hidden="1"/>
    <col min="12561" max="12562" width="1.25" style="835" hidden="1"/>
    <col min="12563" max="12563" width="3.75" style="835" hidden="1"/>
    <col min="12564" max="12564" width="14.375" style="835" hidden="1"/>
    <col min="12565" max="12565" width="12.25" style="835" hidden="1"/>
    <col min="12566" max="12566" width="11.75" style="835" hidden="1"/>
    <col min="12567" max="12567" width="9" style="835" hidden="1"/>
    <col min="12568" max="12568" width="0.25" style="835" hidden="1"/>
    <col min="12569" max="12569" width="9.25" style="835" hidden="1"/>
    <col min="12570" max="12641" width="9.125" style="835" hidden="1"/>
    <col min="12642" max="12739" width="8.875" style="835" hidden="1"/>
    <col min="12740" max="12740" width="9" style="835" hidden="1"/>
    <col min="12741" max="12815" width="8.875" style="835" hidden="1"/>
    <col min="12816" max="12816" width="0.625" style="835" hidden="1"/>
    <col min="12817" max="12818" width="1.25" style="835" hidden="1"/>
    <col min="12819" max="12819" width="3.75" style="835" hidden="1"/>
    <col min="12820" max="12820" width="14.375" style="835" hidden="1"/>
    <col min="12821" max="12821" width="12.25" style="835" hidden="1"/>
    <col min="12822" max="12822" width="11.75" style="835" hidden="1"/>
    <col min="12823" max="12823" width="9" style="835" hidden="1"/>
    <col min="12824" max="12824" width="0.25" style="835" hidden="1"/>
    <col min="12825" max="12825" width="9.25" style="835" hidden="1"/>
    <col min="12826" max="12897" width="9.125" style="835" hidden="1"/>
    <col min="12898" max="12995" width="8.875" style="835" hidden="1"/>
    <col min="12996" max="12996" width="9" style="835" hidden="1"/>
    <col min="12997" max="13071" width="8.875" style="835" hidden="1"/>
    <col min="13072" max="13072" width="0.625" style="835" hidden="1"/>
    <col min="13073" max="13074" width="1.25" style="835" hidden="1"/>
    <col min="13075" max="13075" width="3.75" style="835" hidden="1"/>
    <col min="13076" max="13076" width="14.375" style="835" hidden="1"/>
    <col min="13077" max="13077" width="12.25" style="835" hidden="1"/>
    <col min="13078" max="13078" width="11.75" style="835" hidden="1"/>
    <col min="13079" max="13079" width="9" style="835" hidden="1"/>
    <col min="13080" max="13080" width="0.25" style="835" hidden="1"/>
    <col min="13081" max="13081" width="9.25" style="835" hidden="1"/>
    <col min="13082" max="13153" width="9.125" style="835" hidden="1"/>
    <col min="13154" max="13251" width="8.875" style="835" hidden="1"/>
    <col min="13252" max="13252" width="9" style="835" hidden="1"/>
    <col min="13253" max="13327" width="8.875" style="835" hidden="1"/>
    <col min="13328" max="13328" width="0.625" style="835" hidden="1"/>
    <col min="13329" max="13330" width="1.25" style="835" hidden="1"/>
    <col min="13331" max="13331" width="3.75" style="835" hidden="1"/>
    <col min="13332" max="13332" width="14.375" style="835" hidden="1"/>
    <col min="13333" max="13333" width="12.25" style="835" hidden="1"/>
    <col min="13334" max="13334" width="11.75" style="835" hidden="1"/>
    <col min="13335" max="13335" width="9" style="835" hidden="1"/>
    <col min="13336" max="13336" width="0.25" style="835" hidden="1"/>
    <col min="13337" max="13337" width="9.25" style="835" hidden="1"/>
    <col min="13338" max="13409" width="9.125" style="835" hidden="1"/>
    <col min="13410" max="13507" width="8.875" style="835" hidden="1"/>
    <col min="13508" max="13508" width="9" style="835" hidden="1"/>
    <col min="13509" max="13583" width="8.875" style="835" hidden="1"/>
    <col min="13584" max="13584" width="0.625" style="835" hidden="1"/>
    <col min="13585" max="13586" width="1.25" style="835" hidden="1"/>
    <col min="13587" max="13587" width="3.75" style="835" hidden="1"/>
    <col min="13588" max="13588" width="14.375" style="835" hidden="1"/>
    <col min="13589" max="13589" width="12.25" style="835" hidden="1"/>
    <col min="13590" max="13590" width="11.75" style="835" hidden="1"/>
    <col min="13591" max="13591" width="9" style="835" hidden="1"/>
    <col min="13592" max="13592" width="0.25" style="835" hidden="1"/>
    <col min="13593" max="13593" width="9.25" style="835" hidden="1"/>
    <col min="13594" max="13665" width="9.125" style="835" hidden="1"/>
    <col min="13666" max="13763" width="8.875" style="835" hidden="1"/>
    <col min="13764" max="13764" width="9" style="835" hidden="1"/>
    <col min="13765" max="13839" width="8.875" style="835" hidden="1"/>
    <col min="13840" max="13840" width="0.625" style="835" hidden="1"/>
    <col min="13841" max="13842" width="1.25" style="835" hidden="1"/>
    <col min="13843" max="13843" width="3.75" style="835" hidden="1"/>
    <col min="13844" max="13844" width="14.375" style="835" hidden="1"/>
    <col min="13845" max="13845" width="12.25" style="835" hidden="1"/>
    <col min="13846" max="13846" width="11.75" style="835" hidden="1"/>
    <col min="13847" max="13847" width="9" style="835" hidden="1"/>
    <col min="13848" max="13848" width="0.25" style="835" hidden="1"/>
    <col min="13849" max="13849" width="9.25" style="835" hidden="1"/>
    <col min="13850" max="13921" width="9.125" style="835" hidden="1"/>
    <col min="13922" max="14019" width="8.875" style="835" hidden="1"/>
    <col min="14020" max="14020" width="9" style="835" hidden="1"/>
    <col min="14021" max="14095" width="8.875" style="835" hidden="1"/>
    <col min="14096" max="14096" width="0.625" style="835" hidden="1"/>
    <col min="14097" max="14098" width="1.25" style="835" hidden="1"/>
    <col min="14099" max="14099" width="3.75" style="835" hidden="1"/>
    <col min="14100" max="14100" width="14.375" style="835" hidden="1"/>
    <col min="14101" max="14101" width="12.25" style="835" hidden="1"/>
    <col min="14102" max="14102" width="11.75" style="835" hidden="1"/>
    <col min="14103" max="14103" width="9" style="835" hidden="1"/>
    <col min="14104" max="14104" width="0.25" style="835" hidden="1"/>
    <col min="14105" max="14105" width="9.25" style="835" hidden="1"/>
    <col min="14106" max="14177" width="9.125" style="835" hidden="1"/>
    <col min="14178" max="14275" width="8.875" style="835" hidden="1"/>
    <col min="14276" max="14276" width="9" style="835" hidden="1"/>
    <col min="14277" max="14351" width="8.875" style="835" hidden="1"/>
    <col min="14352" max="14352" width="0.625" style="835" hidden="1"/>
    <col min="14353" max="14354" width="1.25" style="835" hidden="1"/>
    <col min="14355" max="14355" width="3.75" style="835" hidden="1"/>
    <col min="14356" max="14356" width="14.375" style="835" hidden="1"/>
    <col min="14357" max="14357" width="12.25" style="835" hidden="1"/>
    <col min="14358" max="14358" width="11.75" style="835" hidden="1"/>
    <col min="14359" max="14359" width="9" style="835" hidden="1"/>
    <col min="14360" max="14360" width="0.25" style="835" hidden="1"/>
    <col min="14361" max="14361" width="9.25" style="835" hidden="1"/>
    <col min="14362" max="14433" width="9.125" style="835" hidden="1"/>
    <col min="14434" max="14531" width="8.875" style="835" hidden="1"/>
    <col min="14532" max="14532" width="9" style="835" hidden="1"/>
    <col min="14533" max="14607" width="8.875" style="835" hidden="1"/>
    <col min="14608" max="14608" width="0.625" style="835" hidden="1"/>
    <col min="14609" max="14610" width="1.25" style="835" hidden="1"/>
    <col min="14611" max="14611" width="3.75" style="835" hidden="1"/>
    <col min="14612" max="14612" width="14.375" style="835" hidden="1"/>
    <col min="14613" max="14613" width="12.25" style="835" hidden="1"/>
    <col min="14614" max="14614" width="11.75" style="835" hidden="1"/>
    <col min="14615" max="14615" width="9" style="835" hidden="1"/>
    <col min="14616" max="14616" width="0.25" style="835" hidden="1"/>
    <col min="14617" max="14617" width="9.25" style="835" hidden="1"/>
    <col min="14618" max="14689" width="9.125" style="835" hidden="1"/>
    <col min="14690" max="14787" width="8.875" style="835" hidden="1"/>
    <col min="14788" max="14788" width="9" style="835" hidden="1"/>
    <col min="14789" max="14863" width="8.875" style="835" hidden="1"/>
    <col min="14864" max="14864" width="0.625" style="835" hidden="1"/>
    <col min="14865" max="14866" width="1.25" style="835" hidden="1"/>
    <col min="14867" max="14867" width="3.75" style="835" hidden="1"/>
    <col min="14868" max="14868" width="14.375" style="835" hidden="1"/>
    <col min="14869" max="14869" width="12.25" style="835" hidden="1"/>
    <col min="14870" max="14870" width="11.75" style="835" hidden="1"/>
    <col min="14871" max="14871" width="9" style="835" hidden="1"/>
    <col min="14872" max="14872" width="0.25" style="835" hidden="1"/>
    <col min="14873" max="14873" width="9.25" style="835" hidden="1"/>
    <col min="14874" max="14945" width="9.125" style="835" hidden="1"/>
    <col min="14946" max="15043" width="8.875" style="835" hidden="1"/>
    <col min="15044" max="15044" width="9" style="835" hidden="1"/>
    <col min="15045" max="15119" width="8.875" style="835" hidden="1"/>
    <col min="15120" max="15120" width="0.625" style="835" hidden="1"/>
    <col min="15121" max="15122" width="1.25" style="835" hidden="1"/>
    <col min="15123" max="15123" width="3.75" style="835" hidden="1"/>
    <col min="15124" max="15124" width="14.375" style="835" hidden="1"/>
    <col min="15125" max="15125" width="12.25" style="835" hidden="1"/>
    <col min="15126" max="15126" width="11.75" style="835" hidden="1"/>
    <col min="15127" max="15127" width="9" style="835" hidden="1"/>
    <col min="15128" max="15128" width="0.25" style="835" hidden="1"/>
    <col min="15129" max="15129" width="9.25" style="835" hidden="1"/>
    <col min="15130" max="15201" width="9.125" style="835" hidden="1"/>
    <col min="15202" max="15299" width="8.875" style="835" hidden="1"/>
    <col min="15300" max="15300" width="9" style="835" hidden="1"/>
    <col min="15301" max="15375" width="8.875" style="835" hidden="1"/>
    <col min="15376" max="15376" width="0.625" style="835" hidden="1"/>
    <col min="15377" max="15378" width="1.25" style="835" hidden="1"/>
    <col min="15379" max="15379" width="3.75" style="835" hidden="1"/>
    <col min="15380" max="15380" width="14.375" style="835" hidden="1"/>
    <col min="15381" max="15381" width="12.25" style="835" hidden="1"/>
    <col min="15382" max="15382" width="11.75" style="835" hidden="1"/>
    <col min="15383" max="15383" width="9" style="835" hidden="1"/>
    <col min="15384" max="15384" width="0.25" style="835" hidden="1"/>
    <col min="15385" max="15385" width="9.25" style="835" hidden="1"/>
    <col min="15386" max="15457" width="9.125" style="835" hidden="1"/>
    <col min="15458" max="15555" width="8.875" style="835" hidden="1"/>
    <col min="15556" max="15556" width="9" style="835" hidden="1"/>
    <col min="15557" max="15631" width="8.875" style="835" hidden="1"/>
    <col min="15632" max="15632" width="0.625" style="835" hidden="1"/>
    <col min="15633" max="15634" width="1.25" style="835" hidden="1"/>
    <col min="15635" max="15635" width="3.75" style="835" hidden="1"/>
    <col min="15636" max="15636" width="14.375" style="835" hidden="1"/>
    <col min="15637" max="15637" width="12.25" style="835" hidden="1"/>
    <col min="15638" max="15638" width="11.75" style="835" hidden="1"/>
    <col min="15639" max="15639" width="9" style="835" hidden="1"/>
    <col min="15640" max="15640" width="0.25" style="835" hidden="1"/>
    <col min="15641" max="15641" width="9.25" style="835" hidden="1"/>
    <col min="15642" max="15713" width="9.125" style="835" hidden="1"/>
    <col min="15714" max="15811" width="8.875" style="835" hidden="1"/>
    <col min="15812" max="15812" width="9" style="835" hidden="1"/>
    <col min="15813" max="15887" width="8.875" style="835" hidden="1"/>
    <col min="15888" max="15888" width="0.625" style="835" hidden="1"/>
    <col min="15889" max="15890" width="1.25" style="835" hidden="1"/>
    <col min="15891" max="15891" width="3.75" style="835" hidden="1"/>
    <col min="15892" max="15892" width="14.375" style="835" hidden="1"/>
    <col min="15893" max="15893" width="12.25" style="835" hidden="1"/>
    <col min="15894" max="15894" width="11.75" style="835" hidden="1"/>
    <col min="15895" max="15895" width="9" style="835" hidden="1"/>
    <col min="15896" max="15896" width="0.25" style="835" hidden="1"/>
    <col min="15897" max="15897" width="9.25" style="835" hidden="1"/>
    <col min="15898" max="15969" width="9.125" style="835" hidden="1"/>
    <col min="15970" max="16067" width="8.875" style="835" hidden="1"/>
    <col min="16068" max="16068" width="9" style="835" hidden="1"/>
    <col min="16069" max="16384" width="0" style="835" hidden="1"/>
  </cols>
  <sheetData>
    <row r="1" spans="1:31" s="814" customFormat="1" ht="33" customHeight="1">
      <c r="B1" s="809" t="s">
        <v>1585</v>
      </c>
      <c r="C1" s="810"/>
      <c r="D1" s="810"/>
      <c r="E1" s="810"/>
      <c r="F1" s="810"/>
      <c r="G1" s="2262">
        <f ca="1">평가_DDM!D88</f>
        <v>104048.93522714285</v>
      </c>
      <c r="H1" s="2262">
        <f ca="1">평가_DDM!D89</f>
        <v>55309.136369645799</v>
      </c>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row>
    <row r="2" spans="1:31">
      <c r="J2" s="887">
        <v>4</v>
      </c>
      <c r="K2" s="887">
        <v>6</v>
      </c>
      <c r="L2" s="887">
        <v>6</v>
      </c>
      <c r="M2" s="887">
        <v>6</v>
      </c>
      <c r="N2" s="887">
        <v>6</v>
      </c>
      <c r="O2" s="887">
        <v>6</v>
      </c>
      <c r="P2" s="887">
        <v>6</v>
      </c>
      <c r="Q2" s="887">
        <v>6</v>
      </c>
      <c r="R2" s="887">
        <v>6</v>
      </c>
      <c r="S2" s="887">
        <v>6</v>
      </c>
      <c r="T2" s="887">
        <v>6</v>
      </c>
      <c r="U2" s="887">
        <v>6</v>
      </c>
      <c r="V2" s="887">
        <v>6</v>
      </c>
      <c r="W2" s="887">
        <v>6</v>
      </c>
      <c r="X2" s="887">
        <v>6</v>
      </c>
      <c r="Y2" s="887">
        <v>6</v>
      </c>
      <c r="Z2" s="887">
        <v>6</v>
      </c>
      <c r="AA2" s="887">
        <v>6</v>
      </c>
      <c r="AB2" s="887">
        <v>6</v>
      </c>
      <c r="AC2" s="887">
        <v>6</v>
      </c>
      <c r="AD2" s="887">
        <v>2</v>
      </c>
      <c r="AE2" s="887">
        <v>0</v>
      </c>
    </row>
    <row r="3" spans="1:31">
      <c r="H3" s="213"/>
      <c r="K3" s="213"/>
      <c r="L3" s="213"/>
      <c r="M3" s="213"/>
      <c r="N3" s="213"/>
      <c r="O3" s="213"/>
      <c r="P3" s="213"/>
      <c r="Q3" s="213"/>
      <c r="R3" s="213"/>
      <c r="S3" s="213"/>
      <c r="T3" s="213"/>
      <c r="U3" s="213"/>
      <c r="V3" s="213"/>
      <c r="W3" s="213"/>
      <c r="X3" s="213"/>
      <c r="Y3" s="213"/>
      <c r="Z3" s="213"/>
      <c r="AA3" s="213"/>
      <c r="AB3" s="213"/>
      <c r="AC3" s="213"/>
      <c r="AD3" s="213"/>
      <c r="AE3" s="213"/>
    </row>
    <row r="5" spans="1:31" s="819" customFormat="1" ht="13.5">
      <c r="B5" s="816"/>
      <c r="C5" s="817"/>
      <c r="D5" s="817"/>
      <c r="E5" s="817"/>
      <c r="F5" s="817"/>
      <c r="G5" s="817"/>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1:31" s="826" customFormat="1" ht="13.5">
      <c r="A6" s="819"/>
      <c r="B6" s="866"/>
      <c r="C6" s="822"/>
      <c r="D6" s="868"/>
      <c r="E6" s="879" t="s">
        <v>1889</v>
      </c>
      <c r="F6" s="868"/>
      <c r="G6" s="868"/>
      <c r="H6" s="2263" t="s">
        <v>1890</v>
      </c>
      <c r="I6" s="819"/>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1:31">
      <c r="A7" s="833"/>
      <c r="B7" s="828"/>
      <c r="C7" s="829"/>
      <c r="D7" s="829"/>
      <c r="E7" s="829"/>
      <c r="F7" s="1014"/>
      <c r="G7" s="829"/>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row>
    <row r="8" spans="1:31">
      <c r="A8" s="833"/>
      <c r="B8" s="1000"/>
      <c r="C8" s="1001"/>
      <c r="D8" s="1001"/>
      <c r="E8" s="1001"/>
      <c r="F8" s="1001"/>
      <c r="G8" s="1001"/>
      <c r="H8" s="214"/>
      <c r="I8" s="214"/>
      <c r="J8" s="214"/>
      <c r="K8" s="214"/>
      <c r="L8" s="214"/>
      <c r="M8" s="214"/>
      <c r="N8" s="214"/>
      <c r="O8" s="214"/>
      <c r="P8" s="214"/>
      <c r="Q8" s="214"/>
      <c r="R8" s="214"/>
      <c r="S8" s="214"/>
      <c r="T8" s="214"/>
      <c r="U8" s="214"/>
      <c r="V8" s="214"/>
      <c r="W8" s="214"/>
      <c r="X8" s="214"/>
      <c r="Y8" s="214"/>
      <c r="Z8" s="214"/>
      <c r="AA8" s="214"/>
      <c r="AB8" s="214"/>
      <c r="AC8" s="214"/>
      <c r="AD8" s="214"/>
      <c r="AE8" s="214"/>
    </row>
    <row r="9" spans="1:31" s="1007" customFormat="1" ht="13.5">
      <c r="A9" s="843"/>
      <c r="B9" s="1004"/>
      <c r="C9" s="994" t="s">
        <v>1891</v>
      </c>
      <c r="D9" s="994"/>
      <c r="E9" s="994"/>
      <c r="F9" s="1006"/>
      <c r="G9" s="216">
        <v>0</v>
      </c>
      <c r="H9" s="842">
        <f>SUM(J9:AE9)</f>
        <v>800552.37545676949</v>
      </c>
      <c r="I9" s="215"/>
      <c r="J9" s="215">
        <f t="shared" ref="J9:AE9" si="0">SUM(J11,J12,J13:J15)</f>
        <v>0</v>
      </c>
      <c r="K9" s="215">
        <f t="shared" si="0"/>
        <v>0</v>
      </c>
      <c r="L9" s="215">
        <f t="shared" si="0"/>
        <v>0</v>
      </c>
      <c r="M9" s="215">
        <f t="shared" si="0"/>
        <v>0</v>
      </c>
      <c r="N9" s="215">
        <f t="shared" si="0"/>
        <v>0</v>
      </c>
      <c r="O9" s="215">
        <f t="shared" si="0"/>
        <v>15532.686705944499</v>
      </c>
      <c r="P9" s="1854">
        <f t="shared" si="0"/>
        <v>16334.109473165001</v>
      </c>
      <c r="Q9" s="1854">
        <f t="shared" si="0"/>
        <v>15974.074324673471</v>
      </c>
      <c r="R9" s="1854">
        <f t="shared" si="0"/>
        <v>16789.400556091867</v>
      </c>
      <c r="S9" s="1854">
        <f t="shared" si="0"/>
        <v>16419.43231620298</v>
      </c>
      <c r="T9" s="1854">
        <f t="shared" si="0"/>
        <v>17257.715549871038</v>
      </c>
      <c r="U9" s="1854">
        <f t="shared" si="0"/>
        <v>17580.465911647625</v>
      </c>
      <c r="V9" s="1854">
        <f t="shared" si="0"/>
        <v>19145.278162500595</v>
      </c>
      <c r="W9" s="1854">
        <f t="shared" si="0"/>
        <v>18172.991738726003</v>
      </c>
      <c r="X9" s="1854">
        <f t="shared" si="0"/>
        <v>19880.535324438231</v>
      </c>
      <c r="Y9" s="1854">
        <f t="shared" si="0"/>
        <v>18766.672343125621</v>
      </c>
      <c r="Z9" s="1854">
        <f t="shared" si="0"/>
        <v>20424.681853348218</v>
      </c>
      <c r="AA9" s="1854">
        <f t="shared" si="0"/>
        <v>19294.003487917227</v>
      </c>
      <c r="AB9" s="1854">
        <f t="shared" si="0"/>
        <v>20998.620058221561</v>
      </c>
      <c r="AC9" s="1854">
        <f t="shared" si="0"/>
        <v>19836.493514338519</v>
      </c>
      <c r="AD9" s="1854">
        <f t="shared" si="0"/>
        <v>528145.21413655696</v>
      </c>
      <c r="AE9" s="215">
        <f t="shared" si="0"/>
        <v>0</v>
      </c>
    </row>
    <row r="10" spans="1:31">
      <c r="A10" s="833"/>
      <c r="B10" s="1000"/>
      <c r="C10" s="1001"/>
      <c r="D10" s="1001"/>
      <c r="E10" s="1001"/>
      <c r="F10" s="1008"/>
      <c r="G10" s="216">
        <v>0</v>
      </c>
      <c r="H10" s="842"/>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row>
    <row r="11" spans="1:31" ht="13.5">
      <c r="A11" s="833"/>
      <c r="B11" s="1000"/>
      <c r="C11" s="1001"/>
      <c r="D11" s="881" t="s">
        <v>779</v>
      </c>
      <c r="E11" s="1001"/>
      <c r="F11" s="1008"/>
      <c r="G11" s="216">
        <v>0</v>
      </c>
      <c r="H11" s="848">
        <f>SUM(J11:AE11)</f>
        <v>178660.62558264809</v>
      </c>
      <c r="I11" s="214"/>
      <c r="J11" s="214">
        <v>0</v>
      </c>
      <c r="K11" s="214">
        <v>0</v>
      </c>
      <c r="L11" s="214">
        <v>0</v>
      </c>
      <c r="M11" s="214">
        <v>0</v>
      </c>
      <c r="N11" s="214">
        <v>0</v>
      </c>
      <c r="O11" s="214">
        <v>9592.5272422644994</v>
      </c>
      <c r="P11" s="214">
        <v>10333.072710365001</v>
      </c>
      <c r="Q11" s="214">
        <v>9873.5128551489106</v>
      </c>
      <c r="R11" s="214">
        <v>10628.710356391628</v>
      </c>
      <c r="S11" s="214">
        <v>10156.384350036165</v>
      </c>
      <c r="T11" s="214">
        <v>10932.815204811097</v>
      </c>
      <c r="U11" s="214">
        <v>11150.29402366771</v>
      </c>
      <c r="V11" s="214">
        <v>12651.480783417835</v>
      </c>
      <c r="W11" s="214">
        <v>11513.58124113673</v>
      </c>
      <c r="X11" s="214">
        <v>13099.227126924772</v>
      </c>
      <c r="Y11" s="214">
        <v>11876.467216530978</v>
      </c>
      <c r="Z11" s="214">
        <v>13465.148540043629</v>
      </c>
      <c r="AA11" s="214">
        <v>12217.985359088221</v>
      </c>
      <c r="AB11" s="214">
        <v>13851.274829098258</v>
      </c>
      <c r="AC11" s="214">
        <v>12569.335321451897</v>
      </c>
      <c r="AD11" s="214">
        <v>4748.8084222707712</v>
      </c>
      <c r="AE11" s="214">
        <v>0</v>
      </c>
    </row>
    <row r="12" spans="1:31" ht="13.5">
      <c r="A12" s="833"/>
      <c r="B12" s="1000"/>
      <c r="C12" s="1001"/>
      <c r="D12" s="881" t="s">
        <v>780</v>
      </c>
      <c r="E12" s="1001"/>
      <c r="F12" s="1008"/>
      <c r="G12" s="216">
        <v>0</v>
      </c>
      <c r="H12" s="848">
        <f>SUM(J12:AE12)</f>
        <v>94777.87447001462</v>
      </c>
      <c r="I12" s="214"/>
      <c r="J12" s="214">
        <v>0</v>
      </c>
      <c r="K12" s="214">
        <v>0</v>
      </c>
      <c r="L12" s="214">
        <v>0</v>
      </c>
      <c r="M12" s="214">
        <v>0</v>
      </c>
      <c r="N12" s="214">
        <v>0</v>
      </c>
      <c r="O12" s="214">
        <v>5538.15946368</v>
      </c>
      <c r="P12" s="214">
        <v>5599.0367628000013</v>
      </c>
      <c r="Q12" s="214">
        <v>5698.5614695245604</v>
      </c>
      <c r="R12" s="214">
        <v>5758.6901997002396</v>
      </c>
      <c r="S12" s="214">
        <v>5861.0479661668132</v>
      </c>
      <c r="T12" s="214">
        <v>5922.9003450599421</v>
      </c>
      <c r="U12" s="214">
        <v>6028.1718879799173</v>
      </c>
      <c r="V12" s="214">
        <v>6091.7973790827591</v>
      </c>
      <c r="W12" s="214">
        <v>6257.4104975892733</v>
      </c>
      <c r="X12" s="214">
        <v>6379.3081975134592</v>
      </c>
      <c r="Y12" s="214">
        <v>6488.2051265946429</v>
      </c>
      <c r="Z12" s="214">
        <v>6557.5333133045888</v>
      </c>
      <c r="AA12" s="214">
        <v>6674.018128829005</v>
      </c>
      <c r="AB12" s="214">
        <v>6745.3452291233043</v>
      </c>
      <c r="AC12" s="214">
        <v>6865.1581928866217</v>
      </c>
      <c r="AD12" s="214">
        <v>2312.5303101794793</v>
      </c>
      <c r="AE12" s="214">
        <v>0</v>
      </c>
    </row>
    <row r="13" spans="1:31" ht="13.5">
      <c r="A13" s="833"/>
      <c r="B13" s="1000"/>
      <c r="C13" s="1001"/>
      <c r="D13" s="881" t="s">
        <v>781</v>
      </c>
      <c r="E13" s="1001"/>
      <c r="F13" s="1008"/>
      <c r="G13" s="216">
        <v>0</v>
      </c>
      <c r="H13" s="848">
        <f>SUM(J13:AE13)</f>
        <v>3312</v>
      </c>
      <c r="I13" s="214"/>
      <c r="J13" s="214">
        <v>0</v>
      </c>
      <c r="K13" s="214">
        <v>0</v>
      </c>
      <c r="L13" s="214">
        <v>0</v>
      </c>
      <c r="M13" s="214">
        <v>0</v>
      </c>
      <c r="N13" s="214">
        <v>0</v>
      </c>
      <c r="O13" s="214">
        <v>216</v>
      </c>
      <c r="P13" s="214">
        <v>216</v>
      </c>
      <c r="Q13" s="214">
        <v>216</v>
      </c>
      <c r="R13" s="214">
        <v>216</v>
      </c>
      <c r="S13" s="214">
        <v>216</v>
      </c>
      <c r="T13" s="214">
        <v>216</v>
      </c>
      <c r="U13" s="214">
        <v>216</v>
      </c>
      <c r="V13" s="214">
        <v>216</v>
      </c>
      <c r="W13" s="214">
        <v>216</v>
      </c>
      <c r="X13" s="214">
        <v>216</v>
      </c>
      <c r="Y13" s="214">
        <v>216</v>
      </c>
      <c r="Z13" s="214">
        <v>216</v>
      </c>
      <c r="AA13" s="214">
        <v>216</v>
      </c>
      <c r="AB13" s="214">
        <v>216</v>
      </c>
      <c r="AC13" s="214">
        <v>216</v>
      </c>
      <c r="AD13" s="214">
        <v>72</v>
      </c>
      <c r="AE13" s="214">
        <v>0</v>
      </c>
    </row>
    <row r="14" spans="1:31" ht="13.5">
      <c r="A14" s="833"/>
      <c r="B14" s="1000"/>
      <c r="C14" s="1001"/>
      <c r="D14" s="881" t="s">
        <v>782</v>
      </c>
      <c r="E14" s="1001"/>
      <c r="F14" s="1008"/>
      <c r="G14" s="216">
        <v>0</v>
      </c>
      <c r="H14" s="848">
        <f>SUM(J14:AE14)</f>
        <v>2852</v>
      </c>
      <c r="I14" s="214"/>
      <c r="J14" s="214">
        <v>0</v>
      </c>
      <c r="K14" s="214">
        <v>0</v>
      </c>
      <c r="L14" s="214">
        <v>0</v>
      </c>
      <c r="M14" s="214">
        <v>0</v>
      </c>
      <c r="N14" s="214">
        <v>0</v>
      </c>
      <c r="O14" s="214">
        <v>186</v>
      </c>
      <c r="P14" s="214">
        <v>186</v>
      </c>
      <c r="Q14" s="214">
        <v>186</v>
      </c>
      <c r="R14" s="214">
        <v>186</v>
      </c>
      <c r="S14" s="214">
        <v>186</v>
      </c>
      <c r="T14" s="214">
        <v>186</v>
      </c>
      <c r="U14" s="214">
        <v>186</v>
      </c>
      <c r="V14" s="214">
        <v>186</v>
      </c>
      <c r="W14" s="214">
        <v>186</v>
      </c>
      <c r="X14" s="214">
        <v>186</v>
      </c>
      <c r="Y14" s="214">
        <v>186</v>
      </c>
      <c r="Z14" s="214">
        <v>186</v>
      </c>
      <c r="AA14" s="214">
        <v>186</v>
      </c>
      <c r="AB14" s="214">
        <v>186</v>
      </c>
      <c r="AC14" s="214">
        <v>186</v>
      </c>
      <c r="AD14" s="214">
        <v>62</v>
      </c>
      <c r="AE14" s="214">
        <v>0</v>
      </c>
    </row>
    <row r="15" spans="1:31" ht="13.5">
      <c r="A15" s="833"/>
      <c r="B15" s="1000"/>
      <c r="C15" s="1001"/>
      <c r="D15" s="881" t="s">
        <v>1892</v>
      </c>
      <c r="E15" s="1001"/>
      <c r="F15" s="1008"/>
      <c r="G15" s="216">
        <v>0</v>
      </c>
      <c r="H15" s="848">
        <f>SUM(J15:AE15)</f>
        <v>520949.87540410669</v>
      </c>
      <c r="I15" s="214"/>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2357">
        <v>520949.87540410669</v>
      </c>
      <c r="AE15" s="848">
        <v>0</v>
      </c>
    </row>
    <row r="16" spans="1:31">
      <c r="A16" s="833"/>
      <c r="B16" s="1000"/>
      <c r="C16" s="1001"/>
      <c r="D16" s="1001"/>
      <c r="E16" s="1001"/>
      <c r="F16" s="1008"/>
      <c r="G16" s="216">
        <v>0</v>
      </c>
      <c r="H16" s="21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row>
    <row r="17" spans="1:31" s="1007" customFormat="1" ht="13.5">
      <c r="A17" s="843"/>
      <c r="B17" s="1004"/>
      <c r="C17" s="994" t="s">
        <v>1893</v>
      </c>
      <c r="D17" s="994"/>
      <c r="E17" s="994"/>
      <c r="F17" s="1006"/>
      <c r="G17" s="216">
        <v>0</v>
      </c>
      <c r="H17" s="215">
        <f>SUM(J17:AE17)</f>
        <v>214262.84076020954</v>
      </c>
      <c r="I17" s="215"/>
      <c r="J17" s="215">
        <f t="shared" ref="J17:AE17" si="1">SUM(J19:J43)</f>
        <v>0</v>
      </c>
      <c r="K17" s="215">
        <f t="shared" si="1"/>
        <v>0</v>
      </c>
      <c r="L17" s="215">
        <f t="shared" si="1"/>
        <v>0</v>
      </c>
      <c r="M17" s="215">
        <f t="shared" si="1"/>
        <v>0</v>
      </c>
      <c r="N17" s="215">
        <f t="shared" si="1"/>
        <v>0</v>
      </c>
      <c r="O17" s="215">
        <f t="shared" si="1"/>
        <v>9582.9898479973781</v>
      </c>
      <c r="P17" s="1854">
        <f t="shared" si="1"/>
        <v>10767.873574795325</v>
      </c>
      <c r="Q17" s="1854">
        <f t="shared" si="1"/>
        <v>9426.5357086969761</v>
      </c>
      <c r="R17" s="1854">
        <f t="shared" si="1"/>
        <v>9427.9325015397953</v>
      </c>
      <c r="S17" s="1854">
        <f t="shared" si="1"/>
        <v>9487.947593083516</v>
      </c>
      <c r="T17" s="1854">
        <f t="shared" si="1"/>
        <v>9989.379813012376</v>
      </c>
      <c r="U17" s="1854">
        <f t="shared" si="1"/>
        <v>9553.3352266544825</v>
      </c>
      <c r="V17" s="1854">
        <f t="shared" si="1"/>
        <v>9456.0815559083931</v>
      </c>
      <c r="W17" s="1854">
        <f t="shared" si="1"/>
        <v>9507.0908730797819</v>
      </c>
      <c r="X17" s="1854">
        <f t="shared" si="1"/>
        <v>9998.5711885719611</v>
      </c>
      <c r="Y17" s="1854">
        <f t="shared" si="1"/>
        <v>9561.112443932403</v>
      </c>
      <c r="Z17" s="1854">
        <f t="shared" si="1"/>
        <v>9562.7988239290007</v>
      </c>
      <c r="AA17" s="1854">
        <f t="shared" si="1"/>
        <v>9628.4925535816292</v>
      </c>
      <c r="AB17" s="1854">
        <f t="shared" si="1"/>
        <v>9630.2377050011692</v>
      </c>
      <c r="AC17" s="1854">
        <f t="shared" si="1"/>
        <v>9708.3970045020669</v>
      </c>
      <c r="AD17" s="1854">
        <f t="shared" si="1"/>
        <v>68974.064345923282</v>
      </c>
      <c r="AE17" s="215">
        <f t="shared" si="1"/>
        <v>0</v>
      </c>
    </row>
    <row r="18" spans="1:31">
      <c r="A18" s="833"/>
      <c r="B18" s="1000"/>
      <c r="C18" s="1001"/>
      <c r="D18" s="1001"/>
      <c r="E18" s="1001"/>
      <c r="F18" s="1008"/>
      <c r="G18" s="216">
        <v>0</v>
      </c>
      <c r="H18" s="21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row>
    <row r="19" spans="1:31" ht="13.5">
      <c r="A19" s="833"/>
      <c r="B19" s="1000"/>
      <c r="C19" s="1001"/>
      <c r="D19" s="881" t="s">
        <v>790</v>
      </c>
      <c r="E19" s="1001"/>
      <c r="F19" s="1008"/>
      <c r="G19" s="216">
        <v>0</v>
      </c>
      <c r="H19" s="848">
        <f t="shared" ref="H19:H45" si="2">SUM(J19:AE19)</f>
        <v>9781.3418666666657</v>
      </c>
      <c r="I19" s="214"/>
      <c r="J19" s="214">
        <v>0</v>
      </c>
      <c r="K19" s="214">
        <v>0</v>
      </c>
      <c r="L19" s="214">
        <v>0</v>
      </c>
      <c r="M19" s="214">
        <v>0</v>
      </c>
      <c r="N19" s="214">
        <v>0</v>
      </c>
      <c r="O19" s="214">
        <v>637.91359999999997</v>
      </c>
      <c r="P19" s="214">
        <v>637.91359999999997</v>
      </c>
      <c r="Q19" s="214">
        <v>637.91359999999997</v>
      </c>
      <c r="R19" s="214">
        <v>637.91359999999997</v>
      </c>
      <c r="S19" s="214">
        <v>637.91359999999997</v>
      </c>
      <c r="T19" s="214">
        <v>637.91359999999997</v>
      </c>
      <c r="U19" s="214">
        <v>637.91359999999997</v>
      </c>
      <c r="V19" s="214">
        <v>637.91359999999997</v>
      </c>
      <c r="W19" s="214">
        <v>637.91359999999997</v>
      </c>
      <c r="X19" s="214">
        <v>637.91359999999997</v>
      </c>
      <c r="Y19" s="214">
        <v>637.91359999999997</v>
      </c>
      <c r="Z19" s="214">
        <v>637.91359999999997</v>
      </c>
      <c r="AA19" s="214">
        <v>637.91359999999997</v>
      </c>
      <c r="AB19" s="214">
        <v>637.91359999999997</v>
      </c>
      <c r="AC19" s="214">
        <v>637.91359999999997</v>
      </c>
      <c r="AD19" s="214">
        <v>212.63786666666667</v>
      </c>
      <c r="AE19" s="214">
        <v>0</v>
      </c>
    </row>
    <row r="20" spans="1:31" ht="13.5">
      <c r="A20" s="833"/>
      <c r="B20" s="1000"/>
      <c r="C20" s="1001"/>
      <c r="D20" s="881" t="s">
        <v>791</v>
      </c>
      <c r="E20" s="1001"/>
      <c r="F20" s="1008"/>
      <c r="G20" s="216">
        <v>0</v>
      </c>
      <c r="H20" s="848">
        <f t="shared" si="2"/>
        <v>230</v>
      </c>
      <c r="I20" s="214"/>
      <c r="J20" s="214">
        <v>0</v>
      </c>
      <c r="K20" s="214">
        <v>0</v>
      </c>
      <c r="L20" s="214">
        <v>0</v>
      </c>
      <c r="M20" s="214">
        <v>0</v>
      </c>
      <c r="N20" s="214">
        <v>0</v>
      </c>
      <c r="O20" s="214">
        <v>15</v>
      </c>
      <c r="P20" s="214">
        <v>15</v>
      </c>
      <c r="Q20" s="214">
        <v>15</v>
      </c>
      <c r="R20" s="214">
        <v>15</v>
      </c>
      <c r="S20" s="214">
        <v>15</v>
      </c>
      <c r="T20" s="214">
        <v>15</v>
      </c>
      <c r="U20" s="214">
        <v>15</v>
      </c>
      <c r="V20" s="214">
        <v>15</v>
      </c>
      <c r="W20" s="214">
        <v>15</v>
      </c>
      <c r="X20" s="214">
        <v>15</v>
      </c>
      <c r="Y20" s="214">
        <v>15</v>
      </c>
      <c r="Z20" s="214">
        <v>15</v>
      </c>
      <c r="AA20" s="214">
        <v>15</v>
      </c>
      <c r="AB20" s="214">
        <v>15</v>
      </c>
      <c r="AC20" s="214">
        <v>15</v>
      </c>
      <c r="AD20" s="214">
        <v>5</v>
      </c>
      <c r="AE20" s="214">
        <v>0</v>
      </c>
    </row>
    <row r="21" spans="1:31" ht="13.5">
      <c r="A21" s="833"/>
      <c r="B21" s="1000"/>
      <c r="C21" s="1001"/>
      <c r="D21" s="881" t="s">
        <v>792</v>
      </c>
      <c r="E21" s="1001"/>
      <c r="F21" s="1008"/>
      <c r="G21" s="216">
        <v>0</v>
      </c>
      <c r="H21" s="848">
        <f t="shared" si="2"/>
        <v>429.33333333333337</v>
      </c>
      <c r="I21" s="214"/>
      <c r="J21" s="214">
        <v>0</v>
      </c>
      <c r="K21" s="214">
        <v>0</v>
      </c>
      <c r="L21" s="214">
        <v>0</v>
      </c>
      <c r="M21" s="214">
        <v>0</v>
      </c>
      <c r="N21" s="214">
        <v>0</v>
      </c>
      <c r="O21" s="214">
        <v>28.000000000000004</v>
      </c>
      <c r="P21" s="214">
        <v>28.000000000000004</v>
      </c>
      <c r="Q21" s="214">
        <v>28.000000000000004</v>
      </c>
      <c r="R21" s="214">
        <v>28.000000000000004</v>
      </c>
      <c r="S21" s="214">
        <v>28.000000000000004</v>
      </c>
      <c r="T21" s="214">
        <v>28.000000000000004</v>
      </c>
      <c r="U21" s="214">
        <v>28.000000000000004</v>
      </c>
      <c r="V21" s="214">
        <v>28.000000000000004</v>
      </c>
      <c r="W21" s="214">
        <v>28.000000000000004</v>
      </c>
      <c r="X21" s="214">
        <v>28.000000000000004</v>
      </c>
      <c r="Y21" s="214">
        <v>28.000000000000004</v>
      </c>
      <c r="Z21" s="214">
        <v>28.000000000000004</v>
      </c>
      <c r="AA21" s="214">
        <v>28.000000000000004</v>
      </c>
      <c r="AB21" s="214">
        <v>28.000000000000004</v>
      </c>
      <c r="AC21" s="214">
        <v>28.000000000000004</v>
      </c>
      <c r="AD21" s="214">
        <v>9.3333333333333339</v>
      </c>
      <c r="AE21" s="214">
        <v>0</v>
      </c>
    </row>
    <row r="22" spans="1:31" ht="13.5">
      <c r="A22" s="833"/>
      <c r="B22" s="1000"/>
      <c r="C22" s="1001"/>
      <c r="D22" s="881" t="s">
        <v>1586</v>
      </c>
      <c r="E22" s="1001"/>
      <c r="F22" s="1008"/>
      <c r="G22" s="216">
        <v>0</v>
      </c>
      <c r="H22" s="848">
        <f t="shared" si="2"/>
        <v>76.666666666666671</v>
      </c>
      <c r="I22" s="214"/>
      <c r="J22" s="214">
        <v>0</v>
      </c>
      <c r="K22" s="214">
        <v>0</v>
      </c>
      <c r="L22" s="214">
        <v>0</v>
      </c>
      <c r="M22" s="214">
        <v>0</v>
      </c>
      <c r="N22" s="214">
        <v>0</v>
      </c>
      <c r="O22" s="214">
        <v>5</v>
      </c>
      <c r="P22" s="214">
        <v>5</v>
      </c>
      <c r="Q22" s="214">
        <v>5</v>
      </c>
      <c r="R22" s="214">
        <v>5</v>
      </c>
      <c r="S22" s="214">
        <v>5</v>
      </c>
      <c r="T22" s="214">
        <v>5</v>
      </c>
      <c r="U22" s="214">
        <v>5</v>
      </c>
      <c r="V22" s="214">
        <v>5</v>
      </c>
      <c r="W22" s="214">
        <v>5</v>
      </c>
      <c r="X22" s="214">
        <v>5</v>
      </c>
      <c r="Y22" s="214">
        <v>5</v>
      </c>
      <c r="Z22" s="214">
        <v>5</v>
      </c>
      <c r="AA22" s="214">
        <v>5</v>
      </c>
      <c r="AB22" s="214">
        <v>5</v>
      </c>
      <c r="AC22" s="214">
        <v>5</v>
      </c>
      <c r="AD22" s="214">
        <v>1.6666666666666667</v>
      </c>
      <c r="AE22" s="214">
        <v>0</v>
      </c>
    </row>
    <row r="23" spans="1:31" ht="13.5">
      <c r="A23" s="833"/>
      <c r="B23" s="1000"/>
      <c r="C23" s="1001"/>
      <c r="D23" s="881" t="s">
        <v>793</v>
      </c>
      <c r="E23" s="1001"/>
      <c r="F23" s="1008"/>
      <c r="G23" s="216">
        <v>0</v>
      </c>
      <c r="H23" s="848">
        <f>SUM(J23:AE23)</f>
        <v>460</v>
      </c>
      <c r="I23" s="214"/>
      <c r="J23" s="214">
        <v>0</v>
      </c>
      <c r="K23" s="214">
        <v>0</v>
      </c>
      <c r="L23" s="214">
        <v>0</v>
      </c>
      <c r="M23" s="214">
        <v>0</v>
      </c>
      <c r="N23" s="214">
        <v>0</v>
      </c>
      <c r="O23" s="214">
        <v>30</v>
      </c>
      <c r="P23" s="214">
        <v>30</v>
      </c>
      <c r="Q23" s="214">
        <v>30</v>
      </c>
      <c r="R23" s="214">
        <v>30</v>
      </c>
      <c r="S23" s="214">
        <v>30</v>
      </c>
      <c r="T23" s="214">
        <v>30</v>
      </c>
      <c r="U23" s="214">
        <v>30</v>
      </c>
      <c r="V23" s="214">
        <v>30</v>
      </c>
      <c r="W23" s="214">
        <v>30</v>
      </c>
      <c r="X23" s="214">
        <v>30</v>
      </c>
      <c r="Y23" s="214">
        <v>30</v>
      </c>
      <c r="Z23" s="214">
        <v>30</v>
      </c>
      <c r="AA23" s="214">
        <v>30</v>
      </c>
      <c r="AB23" s="214">
        <v>30</v>
      </c>
      <c r="AC23" s="214">
        <v>30</v>
      </c>
      <c r="AD23" s="214">
        <v>10</v>
      </c>
      <c r="AE23" s="214">
        <v>0</v>
      </c>
    </row>
    <row r="24" spans="1:31" ht="13.5">
      <c r="A24" s="833"/>
      <c r="B24" s="1000"/>
      <c r="C24" s="1001"/>
      <c r="D24" s="881" t="s">
        <v>794</v>
      </c>
      <c r="E24" s="1001"/>
      <c r="F24" s="1008"/>
      <c r="G24" s="216">
        <v>0</v>
      </c>
      <c r="H24" s="848">
        <f>SUM(J24:AE24)</f>
        <v>153.33333333333334</v>
      </c>
      <c r="I24" s="214"/>
      <c r="J24" s="214">
        <v>0</v>
      </c>
      <c r="K24" s="214">
        <v>0</v>
      </c>
      <c r="L24" s="214">
        <v>0</v>
      </c>
      <c r="M24" s="214">
        <v>0</v>
      </c>
      <c r="N24" s="214">
        <v>0</v>
      </c>
      <c r="O24" s="214">
        <v>10</v>
      </c>
      <c r="P24" s="214">
        <v>10</v>
      </c>
      <c r="Q24" s="214">
        <v>10</v>
      </c>
      <c r="R24" s="214">
        <v>10</v>
      </c>
      <c r="S24" s="214">
        <v>10</v>
      </c>
      <c r="T24" s="214">
        <v>10</v>
      </c>
      <c r="U24" s="214">
        <v>10</v>
      </c>
      <c r="V24" s="214">
        <v>10</v>
      </c>
      <c r="W24" s="214">
        <v>10</v>
      </c>
      <c r="X24" s="214">
        <v>10</v>
      </c>
      <c r="Y24" s="214">
        <v>10</v>
      </c>
      <c r="Z24" s="214">
        <v>10</v>
      </c>
      <c r="AA24" s="214">
        <v>10</v>
      </c>
      <c r="AB24" s="214">
        <v>10</v>
      </c>
      <c r="AC24" s="214">
        <v>10</v>
      </c>
      <c r="AD24" s="214">
        <v>3.3333333333333335</v>
      </c>
      <c r="AE24" s="214">
        <v>0</v>
      </c>
    </row>
    <row r="25" spans="1:31" ht="13.5">
      <c r="A25" s="833"/>
      <c r="B25" s="1000"/>
      <c r="C25" s="1001"/>
      <c r="D25" s="881" t="s">
        <v>783</v>
      </c>
      <c r="E25" s="1001"/>
      <c r="F25" s="1008"/>
      <c r="G25" s="216">
        <v>0</v>
      </c>
      <c r="H25" s="848">
        <f t="shared" si="2"/>
        <v>3965.2270186638252</v>
      </c>
      <c r="I25" s="214"/>
      <c r="J25" s="214">
        <v>0</v>
      </c>
      <c r="K25" s="214">
        <v>0</v>
      </c>
      <c r="L25" s="214">
        <v>0</v>
      </c>
      <c r="M25" s="214">
        <v>0</v>
      </c>
      <c r="N25" s="214">
        <v>0</v>
      </c>
      <c r="O25" s="214">
        <v>237.72665435972573</v>
      </c>
      <c r="P25" s="214">
        <v>237.72665435972573</v>
      </c>
      <c r="Q25" s="214">
        <v>243.66982071871888</v>
      </c>
      <c r="R25" s="214">
        <v>243.66982071871888</v>
      </c>
      <c r="S25" s="214">
        <v>249.76156623668689</v>
      </c>
      <c r="T25" s="214">
        <v>249.76156623668689</v>
      </c>
      <c r="U25" s="214">
        <v>256.00560539260397</v>
      </c>
      <c r="V25" s="214">
        <v>256.00560539260397</v>
      </c>
      <c r="W25" s="214">
        <v>262.40574552741907</v>
      </c>
      <c r="X25" s="214">
        <v>262.40574552741907</v>
      </c>
      <c r="Y25" s="214">
        <v>268.96588916560455</v>
      </c>
      <c r="Z25" s="214">
        <v>268.96588916560455</v>
      </c>
      <c r="AA25" s="214">
        <v>275.69003639474465</v>
      </c>
      <c r="AB25" s="214">
        <v>275.69003639474465</v>
      </c>
      <c r="AC25" s="214">
        <v>282.58228730461326</v>
      </c>
      <c r="AD25" s="214">
        <v>94.19409576820442</v>
      </c>
      <c r="AE25" s="214">
        <v>0</v>
      </c>
    </row>
    <row r="26" spans="1:31" ht="13.5">
      <c r="A26" s="833"/>
      <c r="B26" s="1000"/>
      <c r="C26" s="1001"/>
      <c r="D26" s="881" t="s">
        <v>784</v>
      </c>
      <c r="E26" s="1001"/>
      <c r="F26" s="1008"/>
      <c r="G26" s="216">
        <v>0</v>
      </c>
      <c r="H26" s="848">
        <f t="shared" si="2"/>
        <v>20185.233425024289</v>
      </c>
      <c r="I26" s="214"/>
      <c r="J26" s="1057">
        <v>0</v>
      </c>
      <c r="K26" s="1057">
        <v>0</v>
      </c>
      <c r="L26" s="214">
        <v>0</v>
      </c>
      <c r="M26" s="214">
        <v>0</v>
      </c>
      <c r="N26" s="214">
        <v>0</v>
      </c>
      <c r="O26" s="214">
        <v>1210.1622396434998</v>
      </c>
      <c r="P26" s="214">
        <v>1210.1622396434998</v>
      </c>
      <c r="Q26" s="214">
        <v>1240.4162956345872</v>
      </c>
      <c r="R26" s="214">
        <v>1240.4162956345872</v>
      </c>
      <c r="S26" s="214">
        <v>1271.4267030254518</v>
      </c>
      <c r="T26" s="214">
        <v>1271.4267030254518</v>
      </c>
      <c r="U26" s="214">
        <v>1303.2123706010884</v>
      </c>
      <c r="V26" s="214">
        <v>1303.2123706010884</v>
      </c>
      <c r="W26" s="214">
        <v>1335.7926798661151</v>
      </c>
      <c r="X26" s="214">
        <v>1335.7926798661151</v>
      </c>
      <c r="Y26" s="214">
        <v>1369.1874968627678</v>
      </c>
      <c r="Z26" s="214">
        <v>1369.1874968627678</v>
      </c>
      <c r="AA26" s="214">
        <v>1403.4171842843371</v>
      </c>
      <c r="AB26" s="214">
        <v>1403.4171842843371</v>
      </c>
      <c r="AC26" s="214">
        <v>1438.5026138914457</v>
      </c>
      <c r="AD26" s="214">
        <v>479.50087129714854</v>
      </c>
      <c r="AE26" s="214">
        <v>0</v>
      </c>
    </row>
    <row r="27" spans="1:31" ht="13.5">
      <c r="A27" s="833"/>
      <c r="B27" s="1000"/>
      <c r="C27" s="1001"/>
      <c r="D27" s="881" t="s">
        <v>381</v>
      </c>
      <c r="E27" s="1001"/>
      <c r="F27" s="1008"/>
      <c r="G27" s="216">
        <v>0</v>
      </c>
      <c r="H27" s="848">
        <f t="shared" si="2"/>
        <v>14954.834298747703</v>
      </c>
      <c r="I27" s="214"/>
      <c r="J27" s="214">
        <v>0</v>
      </c>
      <c r="K27" s="214">
        <v>0</v>
      </c>
      <c r="L27" s="214">
        <v>0</v>
      </c>
      <c r="M27" s="214">
        <v>0</v>
      </c>
      <c r="N27" s="214">
        <v>0</v>
      </c>
      <c r="O27" s="214">
        <v>911.87193025499994</v>
      </c>
      <c r="P27" s="214">
        <v>911.87193025499994</v>
      </c>
      <c r="Q27" s="214">
        <v>930.10936886009972</v>
      </c>
      <c r="R27" s="214">
        <v>930.10936886009972</v>
      </c>
      <c r="S27" s="214">
        <v>948.71155623730192</v>
      </c>
      <c r="T27" s="214">
        <v>948.71155623730192</v>
      </c>
      <c r="U27" s="214">
        <v>967.6857873620479</v>
      </c>
      <c r="V27" s="214">
        <v>967.6857873620479</v>
      </c>
      <c r="W27" s="214">
        <v>987.03950310928883</v>
      </c>
      <c r="X27" s="214">
        <v>987.03950310928883</v>
      </c>
      <c r="Y27" s="214">
        <v>1006.7802931714748</v>
      </c>
      <c r="Z27" s="214">
        <v>1006.7802931714748</v>
      </c>
      <c r="AA27" s="214">
        <v>1026.9158990349042</v>
      </c>
      <c r="AB27" s="214">
        <v>1026.9158990349042</v>
      </c>
      <c r="AC27" s="214">
        <v>1047.4542170156021</v>
      </c>
      <c r="AD27" s="214">
        <v>349.15140567186734</v>
      </c>
      <c r="AE27" s="214">
        <v>0</v>
      </c>
    </row>
    <row r="28" spans="1:31" ht="13.5">
      <c r="A28" s="833"/>
      <c r="B28" s="1000"/>
      <c r="C28" s="1001"/>
      <c r="D28" s="881" t="s">
        <v>382</v>
      </c>
      <c r="E28" s="1001"/>
      <c r="F28" s="1008"/>
      <c r="G28" s="216">
        <v>0</v>
      </c>
      <c r="H28" s="848">
        <f t="shared" si="2"/>
        <v>386.85540630212535</v>
      </c>
      <c r="I28" s="214"/>
      <c r="J28" s="214">
        <v>0</v>
      </c>
      <c r="K28" s="214">
        <v>0</v>
      </c>
      <c r="L28" s="214">
        <v>0</v>
      </c>
      <c r="M28" s="214">
        <v>0</v>
      </c>
      <c r="N28" s="214">
        <v>0</v>
      </c>
      <c r="O28" s="214">
        <v>24.397146373519561</v>
      </c>
      <c r="P28" s="214">
        <v>24.397146373519561</v>
      </c>
      <c r="Q28" s="214">
        <v>24.641117837254757</v>
      </c>
      <c r="R28" s="214">
        <v>24.641117837254757</v>
      </c>
      <c r="S28" s="214">
        <v>24.887529015627305</v>
      </c>
      <c r="T28" s="214">
        <v>24.887529015627305</v>
      </c>
      <c r="U28" s="214">
        <v>25.136404305783579</v>
      </c>
      <c r="V28" s="214">
        <v>25.136404305783579</v>
      </c>
      <c r="W28" s="214">
        <v>25.387768348841412</v>
      </c>
      <c r="X28" s="214">
        <v>25.387768348841412</v>
      </c>
      <c r="Y28" s="214">
        <v>25.641646032329827</v>
      </c>
      <c r="Z28" s="214">
        <v>25.641646032329827</v>
      </c>
      <c r="AA28" s="214">
        <v>25.898062492653132</v>
      </c>
      <c r="AB28" s="214">
        <v>25.898062492653132</v>
      </c>
      <c r="AC28" s="214">
        <v>26.157043117579654</v>
      </c>
      <c r="AD28" s="214">
        <v>8.7190143725265514</v>
      </c>
      <c r="AE28" s="214">
        <v>0</v>
      </c>
    </row>
    <row r="29" spans="1:31" ht="13.5">
      <c r="A29" s="833"/>
      <c r="B29" s="1000"/>
      <c r="C29" s="1001"/>
      <c r="D29" s="881" t="s">
        <v>383</v>
      </c>
      <c r="E29" s="1001"/>
      <c r="F29" s="1008"/>
      <c r="G29" s="216">
        <v>0</v>
      </c>
      <c r="H29" s="848">
        <f t="shared" si="2"/>
        <v>5301.7504781215575</v>
      </c>
      <c r="I29" s="214"/>
      <c r="J29" s="214">
        <v>0</v>
      </c>
      <c r="K29" s="214">
        <v>0</v>
      </c>
      <c r="L29" s="214">
        <v>0</v>
      </c>
      <c r="M29" s="214">
        <v>0</v>
      </c>
      <c r="N29" s="214">
        <v>0</v>
      </c>
      <c r="O29" s="214">
        <v>340.02004178999994</v>
      </c>
      <c r="P29" s="214">
        <v>340.02004178999994</v>
      </c>
      <c r="Q29" s="214">
        <v>341.72014199895</v>
      </c>
      <c r="R29" s="214">
        <v>341.72014199895</v>
      </c>
      <c r="S29" s="214">
        <v>343.42874270894464</v>
      </c>
      <c r="T29" s="214">
        <v>343.42874270894464</v>
      </c>
      <c r="U29" s="214">
        <v>345.14588642248935</v>
      </c>
      <c r="V29" s="214">
        <v>345.14588642248935</v>
      </c>
      <c r="W29" s="214">
        <v>346.87161585460171</v>
      </c>
      <c r="X29" s="214">
        <v>346.87161585460171</v>
      </c>
      <c r="Y29" s="214">
        <v>348.60597393387462</v>
      </c>
      <c r="Z29" s="214">
        <v>348.60597393387462</v>
      </c>
      <c r="AA29" s="214">
        <v>350.34900380354395</v>
      </c>
      <c r="AB29" s="214">
        <v>350.34900380354395</v>
      </c>
      <c r="AC29" s="214">
        <v>352.10074882256163</v>
      </c>
      <c r="AD29" s="214">
        <v>117.3669162741872</v>
      </c>
      <c r="AE29" s="214">
        <v>0</v>
      </c>
    </row>
    <row r="30" spans="1:31" ht="13.5">
      <c r="A30" s="833"/>
      <c r="B30" s="1000"/>
      <c r="C30" s="1001"/>
      <c r="D30" s="881" t="s">
        <v>384</v>
      </c>
      <c r="E30" s="1001"/>
      <c r="F30" s="1008"/>
      <c r="G30" s="216">
        <v>0</v>
      </c>
      <c r="H30" s="848">
        <f t="shared" si="2"/>
        <v>0</v>
      </c>
      <c r="I30" s="214"/>
      <c r="J30" s="214">
        <v>0</v>
      </c>
      <c r="K30" s="214">
        <v>0</v>
      </c>
      <c r="L30" s="214">
        <v>0</v>
      </c>
      <c r="M30" s="214">
        <v>0</v>
      </c>
      <c r="N30" s="214">
        <v>0</v>
      </c>
      <c r="O30" s="214">
        <v>0</v>
      </c>
      <c r="P30" s="214">
        <v>0</v>
      </c>
      <c r="Q30" s="214">
        <v>0</v>
      </c>
      <c r="R30" s="214">
        <v>0</v>
      </c>
      <c r="S30" s="214">
        <v>0</v>
      </c>
      <c r="T30" s="214">
        <v>0</v>
      </c>
      <c r="U30" s="214">
        <v>0</v>
      </c>
      <c r="V30" s="214">
        <v>0</v>
      </c>
      <c r="W30" s="214">
        <v>0</v>
      </c>
      <c r="X30" s="214">
        <v>0</v>
      </c>
      <c r="Y30" s="214">
        <v>0</v>
      </c>
      <c r="Z30" s="214">
        <v>0</v>
      </c>
      <c r="AA30" s="214">
        <v>0</v>
      </c>
      <c r="AB30" s="214">
        <v>0</v>
      </c>
      <c r="AC30" s="214">
        <v>0</v>
      </c>
      <c r="AD30" s="214">
        <v>0</v>
      </c>
      <c r="AE30" s="214">
        <v>0</v>
      </c>
    </row>
    <row r="31" spans="1:31" ht="13.5">
      <c r="A31" s="833"/>
      <c r="B31" s="1000"/>
      <c r="C31" s="1001"/>
      <c r="D31" s="881" t="s">
        <v>385</v>
      </c>
      <c r="E31" s="1001"/>
      <c r="F31" s="1008"/>
      <c r="G31" s="216">
        <v>0</v>
      </c>
      <c r="H31" s="848">
        <f t="shared" si="2"/>
        <v>98.028298737509019</v>
      </c>
      <c r="I31" s="214"/>
      <c r="J31" s="214">
        <v>0</v>
      </c>
      <c r="K31" s="214">
        <v>0</v>
      </c>
      <c r="L31" s="214">
        <v>0</v>
      </c>
      <c r="M31" s="214">
        <v>0</v>
      </c>
      <c r="N31" s="214">
        <v>0</v>
      </c>
      <c r="O31" s="214">
        <v>6.1821825780000008</v>
      </c>
      <c r="P31" s="214">
        <v>6.1821825780000008</v>
      </c>
      <c r="Q31" s="214">
        <v>6.2440044037800009</v>
      </c>
      <c r="R31" s="214">
        <v>6.2440044037800009</v>
      </c>
      <c r="S31" s="214">
        <v>6.3064444478178014</v>
      </c>
      <c r="T31" s="214">
        <v>6.3064444478178014</v>
      </c>
      <c r="U31" s="214">
        <v>6.3695088922959764</v>
      </c>
      <c r="V31" s="214">
        <v>6.3695088922959764</v>
      </c>
      <c r="W31" s="214">
        <v>6.433203981218937</v>
      </c>
      <c r="X31" s="214">
        <v>6.433203981218937</v>
      </c>
      <c r="Y31" s="214">
        <v>6.4975360210311255</v>
      </c>
      <c r="Z31" s="214">
        <v>6.4975360210311255</v>
      </c>
      <c r="AA31" s="214">
        <v>6.5625113812414382</v>
      </c>
      <c r="AB31" s="214">
        <v>6.5625113812414382</v>
      </c>
      <c r="AC31" s="214">
        <v>6.6281364950538517</v>
      </c>
      <c r="AD31" s="214">
        <v>2.2093788316846172</v>
      </c>
      <c r="AE31" s="214">
        <v>0</v>
      </c>
    </row>
    <row r="32" spans="1:31" ht="13.5">
      <c r="A32" s="833"/>
      <c r="B32" s="1000"/>
      <c r="C32" s="1001"/>
      <c r="D32" s="881" t="s">
        <v>386</v>
      </c>
      <c r="E32" s="1001"/>
      <c r="F32" s="1008"/>
      <c r="G32" s="216">
        <v>0</v>
      </c>
      <c r="H32" s="848">
        <f t="shared" si="2"/>
        <v>137.27127320397992</v>
      </c>
      <c r="I32" s="214"/>
      <c r="J32" s="214">
        <v>0</v>
      </c>
      <c r="K32" s="214">
        <v>0</v>
      </c>
      <c r="L32" s="214">
        <v>0</v>
      </c>
      <c r="M32" s="214">
        <v>0</v>
      </c>
      <c r="N32" s="214">
        <v>0</v>
      </c>
      <c r="O32" s="214">
        <v>8.6570519389908096</v>
      </c>
      <c r="P32" s="214">
        <v>8.6570519389908096</v>
      </c>
      <c r="Q32" s="214">
        <v>8.7436224583807167</v>
      </c>
      <c r="R32" s="214">
        <v>8.7436224583807167</v>
      </c>
      <c r="S32" s="214">
        <v>8.8310586829645228</v>
      </c>
      <c r="T32" s="214">
        <v>8.8310586829645228</v>
      </c>
      <c r="U32" s="214">
        <v>8.9193692697941689</v>
      </c>
      <c r="V32" s="214">
        <v>8.9193692697941689</v>
      </c>
      <c r="W32" s="214">
        <v>9.0085629624921122</v>
      </c>
      <c r="X32" s="214">
        <v>9.0085629624921122</v>
      </c>
      <c r="Y32" s="214">
        <v>9.0986485921170317</v>
      </c>
      <c r="Z32" s="214">
        <v>9.0986485921170317</v>
      </c>
      <c r="AA32" s="214">
        <v>9.1896350780382043</v>
      </c>
      <c r="AB32" s="214">
        <v>9.1896350780382043</v>
      </c>
      <c r="AC32" s="214">
        <v>9.2815314288185835</v>
      </c>
      <c r="AD32" s="214">
        <v>3.0938438096061942</v>
      </c>
      <c r="AE32" s="214">
        <v>0</v>
      </c>
    </row>
    <row r="33" spans="1:31" ht="13.5">
      <c r="A33" s="833"/>
      <c r="B33" s="1000"/>
      <c r="C33" s="1001"/>
      <c r="D33" s="881" t="s">
        <v>1894</v>
      </c>
      <c r="E33" s="1001"/>
      <c r="F33" s="1008"/>
      <c r="G33" s="216">
        <v>0</v>
      </c>
      <c r="H33" s="848">
        <f t="shared" si="2"/>
        <v>887.01688554237796</v>
      </c>
      <c r="I33" s="214"/>
      <c r="J33" s="214">
        <v>0</v>
      </c>
      <c r="K33" s="214">
        <v>0</v>
      </c>
      <c r="L33" s="214">
        <v>0</v>
      </c>
      <c r="M33" s="214">
        <v>0</v>
      </c>
      <c r="N33" s="214">
        <v>0</v>
      </c>
      <c r="O33" s="214">
        <v>31.575581800000002</v>
      </c>
      <c r="P33" s="214">
        <v>47.363372700000006</v>
      </c>
      <c r="Q33" s="214">
        <v>49.213005093333322</v>
      </c>
      <c r="R33" s="214">
        <v>50.137821289999991</v>
      </c>
      <c r="S33" s="214">
        <v>52.146258406933335</v>
      </c>
      <c r="T33" s="214">
        <v>53.150476965400003</v>
      </c>
      <c r="U33" s="214">
        <v>55.33307610797867</v>
      </c>
      <c r="V33" s="214">
        <v>56.42437567926801</v>
      </c>
      <c r="W33" s="214">
        <v>58.798019416335585</v>
      </c>
      <c r="X33" s="214">
        <v>59.984841284869375</v>
      </c>
      <c r="Y33" s="214">
        <v>62.568089769479357</v>
      </c>
      <c r="Z33" s="214">
        <v>63.859714011784355</v>
      </c>
      <c r="AA33" s="214">
        <v>66.67297252616774</v>
      </c>
      <c r="AB33" s="214">
        <v>68.079601783359422</v>
      </c>
      <c r="AC33" s="214">
        <v>82.037519336463589</v>
      </c>
      <c r="AD33" s="214">
        <v>29.672159371005225</v>
      </c>
      <c r="AE33" s="214">
        <v>0</v>
      </c>
    </row>
    <row r="34" spans="1:31" ht="13.5">
      <c r="A34" s="833"/>
      <c r="B34" s="1000"/>
      <c r="C34" s="1001"/>
      <c r="D34" s="881" t="s">
        <v>786</v>
      </c>
      <c r="E34" s="1001"/>
      <c r="F34" s="1008"/>
      <c r="G34" s="216">
        <v>0</v>
      </c>
      <c r="H34" s="848">
        <f t="shared" si="2"/>
        <v>3849.1973326407187</v>
      </c>
      <c r="I34" s="214"/>
      <c r="J34" s="214">
        <v>0</v>
      </c>
      <c r="K34" s="214">
        <v>0</v>
      </c>
      <c r="L34" s="214">
        <v>0</v>
      </c>
      <c r="M34" s="214">
        <v>0</v>
      </c>
      <c r="N34" s="214">
        <v>0</v>
      </c>
      <c r="O34" s="214">
        <v>248.946792491439</v>
      </c>
      <c r="P34" s="214">
        <v>247.13117452887158</v>
      </c>
      <c r="Q34" s="214">
        <v>247.63607664982811</v>
      </c>
      <c r="R34" s="214">
        <v>247.88852771030636</v>
      </c>
      <c r="S34" s="214">
        <v>248.30547927974399</v>
      </c>
      <c r="T34" s="214">
        <v>248.51395506446281</v>
      </c>
      <c r="U34" s="214">
        <v>251.38496325835649</v>
      </c>
      <c r="V34" s="214">
        <v>252.82046735530338</v>
      </c>
      <c r="W34" s="214">
        <v>253.02237778237708</v>
      </c>
      <c r="X34" s="214">
        <v>253.12333299591393</v>
      </c>
      <c r="Y34" s="214">
        <v>253.2185632533614</v>
      </c>
      <c r="Z34" s="214">
        <v>253.26617838208512</v>
      </c>
      <c r="AA34" s="214">
        <v>253.24894145563889</v>
      </c>
      <c r="AB34" s="214">
        <v>253.24032299241577</v>
      </c>
      <c r="AC34" s="214">
        <v>253.10459995956734</v>
      </c>
      <c r="AD34" s="214">
        <v>84.345579481047707</v>
      </c>
      <c r="AE34" s="214">
        <v>0</v>
      </c>
    </row>
    <row r="35" spans="1:31" ht="13.5">
      <c r="A35" s="833"/>
      <c r="B35" s="1000"/>
      <c r="C35" s="1001"/>
      <c r="D35" s="881" t="s">
        <v>1587</v>
      </c>
      <c r="E35" s="1001"/>
      <c r="F35" s="1008"/>
      <c r="G35" s="216">
        <v>0</v>
      </c>
      <c r="H35" s="848">
        <f>SUM(J35:AE35)</f>
        <v>254.8754124176385</v>
      </c>
      <c r="I35" s="214"/>
      <c r="J35" s="214">
        <v>0</v>
      </c>
      <c r="K35" s="214">
        <v>0</v>
      </c>
      <c r="L35" s="214">
        <v>0</v>
      </c>
      <c r="M35" s="214">
        <v>0</v>
      </c>
      <c r="N35" s="214">
        <v>0</v>
      </c>
      <c r="O35" s="214">
        <v>12.552682060824115</v>
      </c>
      <c r="P35" s="214">
        <v>13.464235921336993</v>
      </c>
      <c r="Q35" s="214">
        <v>13.244710335663019</v>
      </c>
      <c r="R35" s="214">
        <v>13.464235921336993</v>
      </c>
      <c r="S35" s="214">
        <v>13.244710335663019</v>
      </c>
      <c r="T35" s="214">
        <v>13.464235921336993</v>
      </c>
      <c r="U35" s="214">
        <v>13.244710335663019</v>
      </c>
      <c r="V35" s="214">
        <v>13.464235921336993</v>
      </c>
      <c r="W35" s="214">
        <v>15.677209054122034</v>
      </c>
      <c r="X35" s="214">
        <v>20.580883925847186</v>
      </c>
      <c r="Y35" s="214">
        <v>20.944151076024657</v>
      </c>
      <c r="Z35" s="214">
        <v>21.291291701594126</v>
      </c>
      <c r="AA35" s="214">
        <v>20.944151076024657</v>
      </c>
      <c r="AB35" s="214">
        <v>21.291291701594126</v>
      </c>
      <c r="AC35" s="214">
        <v>20.944151076024657</v>
      </c>
      <c r="AD35" s="214">
        <v>7.0585260532458785</v>
      </c>
      <c r="AE35" s="214">
        <v>0</v>
      </c>
    </row>
    <row r="36" spans="1:31" ht="13.5">
      <c r="A36" s="833"/>
      <c r="B36" s="1000"/>
      <c r="C36" s="1001"/>
      <c r="D36" s="881" t="s">
        <v>1588</v>
      </c>
      <c r="E36" s="1001"/>
      <c r="F36" s="1008"/>
      <c r="G36" s="216">
        <v>0</v>
      </c>
      <c r="H36" s="848">
        <f t="shared" si="2"/>
        <v>1145.5325629999982</v>
      </c>
      <c r="I36" s="214"/>
      <c r="J36" s="214">
        <v>0</v>
      </c>
      <c r="K36" s="214">
        <v>0</v>
      </c>
      <c r="L36" s="214">
        <v>0</v>
      </c>
      <c r="M36" s="214">
        <v>0</v>
      </c>
      <c r="N36" s="214">
        <v>0</v>
      </c>
      <c r="O36" s="214">
        <v>84.913584243880607</v>
      </c>
      <c r="P36" s="214">
        <v>84.913584243880607</v>
      </c>
      <c r="Q36" s="214">
        <v>84.913584243880607</v>
      </c>
      <c r="R36" s="214">
        <v>84.913584243880607</v>
      </c>
      <c r="S36" s="214">
        <v>84.913584243880607</v>
      </c>
      <c r="T36" s="214">
        <v>84.913584243880607</v>
      </c>
      <c r="U36" s="214">
        <v>84.913584243880607</v>
      </c>
      <c r="V36" s="214">
        <v>84.913584243880607</v>
      </c>
      <c r="W36" s="214">
        <v>70.670226714468726</v>
      </c>
      <c r="X36" s="214">
        <v>55.95909025285367</v>
      </c>
      <c r="Y36" s="214">
        <v>53.62019559183674</v>
      </c>
      <c r="Z36" s="214">
        <v>53.62019559183674</v>
      </c>
      <c r="AA36" s="214">
        <v>53.62019559183674</v>
      </c>
      <c r="AB36" s="214">
        <v>53.62019559183674</v>
      </c>
      <c r="AC36" s="214">
        <v>53.62019559183674</v>
      </c>
      <c r="AD36" s="214">
        <v>71.493594122447405</v>
      </c>
      <c r="AE36" s="214">
        <v>0</v>
      </c>
    </row>
    <row r="37" spans="1:31" ht="13.5">
      <c r="A37" s="833"/>
      <c r="B37" s="1000"/>
      <c r="C37" s="1001"/>
      <c r="D37" s="881" t="s">
        <v>1589</v>
      </c>
      <c r="E37" s="1001"/>
      <c r="F37" s="1008"/>
      <c r="G37" s="216">
        <v>0</v>
      </c>
      <c r="H37" s="848">
        <f t="shared" si="2"/>
        <v>930</v>
      </c>
      <c r="I37" s="214"/>
      <c r="J37" s="214">
        <v>0</v>
      </c>
      <c r="K37" s="214">
        <v>0</v>
      </c>
      <c r="L37" s="214">
        <v>0</v>
      </c>
      <c r="M37" s="214">
        <v>0</v>
      </c>
      <c r="N37" s="214">
        <v>0</v>
      </c>
      <c r="O37" s="214">
        <v>330</v>
      </c>
      <c r="P37" s="214">
        <v>100</v>
      </c>
      <c r="Q37" s="214">
        <v>100</v>
      </c>
      <c r="R37" s="214">
        <v>100</v>
      </c>
      <c r="S37" s="214">
        <v>100</v>
      </c>
      <c r="T37" s="214">
        <v>100</v>
      </c>
      <c r="U37" s="214">
        <v>100</v>
      </c>
      <c r="V37" s="214">
        <v>0</v>
      </c>
      <c r="W37" s="214">
        <v>0</v>
      </c>
      <c r="X37" s="214">
        <v>0</v>
      </c>
      <c r="Y37" s="214">
        <v>0</v>
      </c>
      <c r="Z37" s="214">
        <v>0</v>
      </c>
      <c r="AA37" s="214">
        <v>0</v>
      </c>
      <c r="AB37" s="214">
        <v>0</v>
      </c>
      <c r="AC37" s="214">
        <v>0</v>
      </c>
      <c r="AD37" s="214">
        <v>0</v>
      </c>
      <c r="AE37" s="214">
        <v>0</v>
      </c>
    </row>
    <row r="38" spans="1:31" ht="13.5">
      <c r="A38" s="833"/>
      <c r="B38" s="1000"/>
      <c r="C38" s="1001"/>
      <c r="D38" s="881" t="s">
        <v>1590</v>
      </c>
      <c r="E38" s="1001"/>
      <c r="F38" s="1008"/>
      <c r="G38" s="216">
        <v>0</v>
      </c>
      <c r="H38" s="848">
        <f t="shared" si="2"/>
        <v>0</v>
      </c>
      <c r="I38" s="214"/>
      <c r="J38" s="214">
        <v>0</v>
      </c>
      <c r="K38" s="214">
        <v>0</v>
      </c>
      <c r="L38" s="214">
        <v>0</v>
      </c>
      <c r="M38" s="214">
        <v>0</v>
      </c>
      <c r="N38" s="214">
        <v>0</v>
      </c>
      <c r="O38" s="214">
        <v>0</v>
      </c>
      <c r="P38" s="214">
        <v>0</v>
      </c>
      <c r="Q38" s="214">
        <v>0</v>
      </c>
      <c r="R38" s="214">
        <v>0</v>
      </c>
      <c r="S38" s="214">
        <v>0</v>
      </c>
      <c r="T38" s="214">
        <v>0</v>
      </c>
      <c r="U38" s="214">
        <v>0</v>
      </c>
      <c r="V38" s="214">
        <v>0</v>
      </c>
      <c r="W38" s="214">
        <v>0</v>
      </c>
      <c r="X38" s="214">
        <v>0</v>
      </c>
      <c r="Y38" s="214">
        <v>0</v>
      </c>
      <c r="Z38" s="214">
        <v>0</v>
      </c>
      <c r="AA38" s="214">
        <v>0</v>
      </c>
      <c r="AB38" s="214">
        <v>0</v>
      </c>
      <c r="AC38" s="214">
        <v>0</v>
      </c>
      <c r="AD38" s="214">
        <v>0</v>
      </c>
      <c r="AE38" s="214">
        <v>0</v>
      </c>
    </row>
    <row r="39" spans="1:31" s="833" customFormat="1" ht="13.5">
      <c r="B39" s="1000"/>
      <c r="C39" s="1001"/>
      <c r="D39" s="881" t="s">
        <v>1591</v>
      </c>
      <c r="E39" s="1001"/>
      <c r="F39" s="1008"/>
      <c r="G39" s="216">
        <v>0</v>
      </c>
      <c r="H39" s="214">
        <f>SUM(J39:AE39)</f>
        <v>2400</v>
      </c>
      <c r="I39" s="214"/>
      <c r="J39" s="214">
        <v>0</v>
      </c>
      <c r="K39" s="214">
        <v>0</v>
      </c>
      <c r="L39" s="214">
        <v>0</v>
      </c>
      <c r="M39" s="214">
        <v>0</v>
      </c>
      <c r="N39" s="214">
        <v>0</v>
      </c>
      <c r="O39" s="214">
        <v>0</v>
      </c>
      <c r="P39" s="214">
        <v>1400</v>
      </c>
      <c r="Q39" s="214">
        <v>0</v>
      </c>
      <c r="R39" s="214">
        <v>0</v>
      </c>
      <c r="S39" s="214">
        <v>0</v>
      </c>
      <c r="T39" s="214">
        <v>500</v>
      </c>
      <c r="U39" s="214">
        <v>0</v>
      </c>
      <c r="V39" s="214">
        <v>0</v>
      </c>
      <c r="W39" s="214">
        <v>0</v>
      </c>
      <c r="X39" s="214">
        <v>500</v>
      </c>
      <c r="Y39" s="214">
        <v>0</v>
      </c>
      <c r="Z39" s="214">
        <v>0</v>
      </c>
      <c r="AA39" s="214">
        <v>0</v>
      </c>
      <c r="AB39" s="214">
        <v>0</v>
      </c>
      <c r="AC39" s="214">
        <v>0</v>
      </c>
      <c r="AD39" s="214">
        <v>0</v>
      </c>
      <c r="AE39" s="214">
        <v>0</v>
      </c>
    </row>
    <row r="40" spans="1:31" ht="13.5">
      <c r="A40" s="833"/>
      <c r="B40" s="1000"/>
      <c r="C40" s="1001"/>
      <c r="D40" s="881" t="s">
        <v>1895</v>
      </c>
      <c r="E40" s="1001"/>
      <c r="F40" s="1008"/>
      <c r="G40" s="216">
        <v>0</v>
      </c>
      <c r="H40" s="848">
        <f t="shared" si="2"/>
        <v>82954.41219375834</v>
      </c>
      <c r="I40" s="214"/>
      <c r="J40" s="214">
        <v>0</v>
      </c>
      <c r="K40" s="214">
        <v>0</v>
      </c>
      <c r="L40" s="214">
        <v>0</v>
      </c>
      <c r="M40" s="214">
        <v>0</v>
      </c>
      <c r="N40" s="214">
        <v>0</v>
      </c>
      <c r="O40" s="214">
        <v>5410.0703604625005</v>
      </c>
      <c r="P40" s="2360">
        <v>5410.0703604625005</v>
      </c>
      <c r="Q40" s="2360">
        <v>5410.0703604625005</v>
      </c>
      <c r="R40" s="2360">
        <v>5410.0703604625005</v>
      </c>
      <c r="S40" s="2360">
        <v>5410.0703604625005</v>
      </c>
      <c r="T40" s="2360">
        <v>5410.0703604625005</v>
      </c>
      <c r="U40" s="2360">
        <v>5410.0703604625005</v>
      </c>
      <c r="V40" s="2360">
        <v>5410.0703604625005</v>
      </c>
      <c r="W40" s="2360">
        <v>5410.0703604625005</v>
      </c>
      <c r="X40" s="2360">
        <v>5410.0703604625005</v>
      </c>
      <c r="Y40" s="2360">
        <v>5410.0703604625005</v>
      </c>
      <c r="Z40" s="2360">
        <v>5410.0703604625005</v>
      </c>
      <c r="AA40" s="2360">
        <v>5410.0703604625005</v>
      </c>
      <c r="AB40" s="2360">
        <v>5410.0703604625005</v>
      </c>
      <c r="AC40" s="2360">
        <v>5410.0703604625005</v>
      </c>
      <c r="AD40" s="2360">
        <v>1803.3567868208333</v>
      </c>
      <c r="AE40" s="214">
        <v>0</v>
      </c>
    </row>
    <row r="41" spans="1:31" ht="13.5">
      <c r="A41" s="833"/>
      <c r="B41" s="1000"/>
      <c r="C41" s="1001"/>
      <c r="D41" s="881" t="s">
        <v>787</v>
      </c>
      <c r="E41" s="1001"/>
      <c r="F41" s="1008"/>
      <c r="G41" s="216">
        <v>0</v>
      </c>
      <c r="H41" s="848">
        <f t="shared" si="2"/>
        <v>0</v>
      </c>
      <c r="I41" s="214"/>
      <c r="J41" s="214">
        <v>0</v>
      </c>
      <c r="K41" s="214">
        <v>0</v>
      </c>
      <c r="L41" s="214">
        <v>0</v>
      </c>
      <c r="M41" s="214">
        <v>0</v>
      </c>
      <c r="N41" s="214">
        <v>0</v>
      </c>
      <c r="O41" s="214">
        <v>0</v>
      </c>
      <c r="P41" s="214">
        <v>0</v>
      </c>
      <c r="Q41" s="214">
        <v>0</v>
      </c>
      <c r="R41" s="214">
        <v>0</v>
      </c>
      <c r="S41" s="214">
        <v>0</v>
      </c>
      <c r="T41" s="214">
        <v>0</v>
      </c>
      <c r="U41" s="214">
        <v>0</v>
      </c>
      <c r="V41" s="214">
        <v>0</v>
      </c>
      <c r="W41" s="214">
        <v>0</v>
      </c>
      <c r="X41" s="214">
        <v>0</v>
      </c>
      <c r="Y41" s="214">
        <v>0</v>
      </c>
      <c r="Z41" s="214">
        <v>0</v>
      </c>
      <c r="AA41" s="214">
        <v>0</v>
      </c>
      <c r="AB41" s="214">
        <v>0</v>
      </c>
      <c r="AC41" s="214">
        <v>0</v>
      </c>
      <c r="AD41" s="214">
        <v>0</v>
      </c>
      <c r="AE41" s="214">
        <v>0</v>
      </c>
    </row>
    <row r="42" spans="1:31" ht="13.5">
      <c r="A42" s="833"/>
      <c r="B42" s="1000"/>
      <c r="C42" s="1001"/>
      <c r="D42" s="881" t="s">
        <v>788</v>
      </c>
      <c r="E42" s="1001"/>
      <c r="F42" s="1008"/>
      <c r="G42" s="216">
        <v>0</v>
      </c>
      <c r="H42" s="848">
        <f t="shared" si="2"/>
        <v>5836.7768919967421</v>
      </c>
      <c r="I42" s="214"/>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356">
        <v>5836.7768919967421</v>
      </c>
      <c r="AE42" s="214">
        <v>0</v>
      </c>
    </row>
    <row r="43" spans="1:31" ht="13.5">
      <c r="A43" s="833"/>
      <c r="B43" s="1000"/>
      <c r="C43" s="1001"/>
      <c r="D43" s="881" t="s">
        <v>789</v>
      </c>
      <c r="E43" s="1001"/>
      <c r="F43" s="1008"/>
      <c r="G43" s="216">
        <v>0</v>
      </c>
      <c r="H43" s="848">
        <f t="shared" si="2"/>
        <v>59845.154082052737</v>
      </c>
      <c r="I43" s="214"/>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356">
        <v>59845.154082052737</v>
      </c>
      <c r="AE43" s="214">
        <v>0</v>
      </c>
    </row>
    <row r="44" spans="1:31">
      <c r="A44" s="833"/>
      <c r="B44" s="1000"/>
      <c r="C44" s="1001"/>
      <c r="D44" s="1001"/>
      <c r="E44" s="1001"/>
      <c r="F44" s="1008"/>
      <c r="G44" s="216">
        <v>0</v>
      </c>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row>
    <row r="45" spans="1:31" s="1007" customFormat="1" ht="13.5">
      <c r="A45" s="843"/>
      <c r="B45" s="1004"/>
      <c r="C45" s="994" t="s">
        <v>1896</v>
      </c>
      <c r="D45" s="994"/>
      <c r="E45" s="994"/>
      <c r="F45" s="1006"/>
      <c r="G45" s="216">
        <v>0</v>
      </c>
      <c r="H45" s="842">
        <f t="shared" si="2"/>
        <v>586289.53469655989</v>
      </c>
      <c r="I45" s="215"/>
      <c r="J45" s="842">
        <f t="shared" ref="J45:AE45" si="3">J9-J17</f>
        <v>0</v>
      </c>
      <c r="K45" s="842">
        <f t="shared" si="3"/>
        <v>0</v>
      </c>
      <c r="L45" s="842">
        <f t="shared" si="3"/>
        <v>0</v>
      </c>
      <c r="M45" s="842">
        <f t="shared" si="3"/>
        <v>0</v>
      </c>
      <c r="N45" s="842">
        <f t="shared" si="3"/>
        <v>0</v>
      </c>
      <c r="O45" s="842">
        <f t="shared" si="3"/>
        <v>5949.6968579471213</v>
      </c>
      <c r="P45" s="842">
        <f t="shared" si="3"/>
        <v>5566.2358983696759</v>
      </c>
      <c r="Q45" s="842">
        <f t="shared" si="3"/>
        <v>6547.5386159764948</v>
      </c>
      <c r="R45" s="842">
        <f t="shared" si="3"/>
        <v>7361.4680545520714</v>
      </c>
      <c r="S45" s="842">
        <f t="shared" si="3"/>
        <v>6931.4847231194635</v>
      </c>
      <c r="T45" s="842">
        <f t="shared" si="3"/>
        <v>7268.3357368586621</v>
      </c>
      <c r="U45" s="842">
        <f t="shared" si="3"/>
        <v>8027.1306849931425</v>
      </c>
      <c r="V45" s="842">
        <f t="shared" si="3"/>
        <v>9689.1966065922024</v>
      </c>
      <c r="W45" s="842">
        <f t="shared" si="3"/>
        <v>8665.9008656462211</v>
      </c>
      <c r="X45" s="842">
        <f t="shared" si="3"/>
        <v>9881.9641358662702</v>
      </c>
      <c r="Y45" s="842">
        <f t="shared" si="3"/>
        <v>9205.5598991932184</v>
      </c>
      <c r="Z45" s="842">
        <f t="shared" si="3"/>
        <v>10861.883029419218</v>
      </c>
      <c r="AA45" s="842">
        <f t="shared" si="3"/>
        <v>9665.510934335598</v>
      </c>
      <c r="AB45" s="842">
        <f t="shared" si="3"/>
        <v>11368.382353220391</v>
      </c>
      <c r="AC45" s="842">
        <f t="shared" si="3"/>
        <v>10128.096509836452</v>
      </c>
      <c r="AD45" s="842">
        <f>AD9-AD17</f>
        <v>459171.1497906337</v>
      </c>
      <c r="AE45" s="842">
        <f t="shared" si="3"/>
        <v>0</v>
      </c>
    </row>
    <row r="46" spans="1:31">
      <c r="A46" s="833"/>
      <c r="B46" s="1000"/>
      <c r="C46" s="1001"/>
      <c r="D46" s="1001"/>
      <c r="E46" s="1001"/>
      <c r="F46" s="1008"/>
      <c r="G46" s="216">
        <v>0</v>
      </c>
      <c r="H46" s="842"/>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row>
    <row r="47" spans="1:31" s="1007" customFormat="1" ht="13.5">
      <c r="A47" s="843"/>
      <c r="B47" s="1004"/>
      <c r="C47" s="994" t="s">
        <v>1897</v>
      </c>
      <c r="D47" s="994"/>
      <c r="E47" s="994"/>
      <c r="F47" s="1006"/>
      <c r="G47" s="216">
        <v>0</v>
      </c>
      <c r="H47" s="215">
        <f>SUM(J47:AE47)</f>
        <v>4042.7100745725079</v>
      </c>
      <c r="I47" s="215"/>
      <c r="J47" s="215">
        <f>SUM(J49:J49)</f>
        <v>0</v>
      </c>
      <c r="K47" s="215">
        <f>SUM(K49:K49)</f>
        <v>0</v>
      </c>
      <c r="L47" s="215">
        <f t="shared" ref="L47:AE47" si="4">SUM(L49:L49)</f>
        <v>0</v>
      </c>
      <c r="M47" s="215">
        <f t="shared" si="4"/>
        <v>0</v>
      </c>
      <c r="N47" s="215">
        <f t="shared" si="4"/>
        <v>0</v>
      </c>
      <c r="O47" s="215">
        <f t="shared" si="4"/>
        <v>308.43388311412059</v>
      </c>
      <c r="P47" s="1854">
        <f t="shared" si="4"/>
        <v>423.40784525151116</v>
      </c>
      <c r="Q47" s="1854">
        <f t="shared" si="4"/>
        <v>451.63040441635911</v>
      </c>
      <c r="R47" s="1854">
        <f t="shared" si="4"/>
        <v>406.32147692784315</v>
      </c>
      <c r="S47" s="1854">
        <f t="shared" si="4"/>
        <v>365.05223726203195</v>
      </c>
      <c r="T47" s="1854">
        <f t="shared" si="4"/>
        <v>256.53224878202752</v>
      </c>
      <c r="U47" s="1854">
        <f t="shared" si="4"/>
        <v>202.70914751392297</v>
      </c>
      <c r="V47" s="1854">
        <f t="shared" si="4"/>
        <v>199.12025012952665</v>
      </c>
      <c r="W47" s="1854">
        <f t="shared" si="4"/>
        <v>206.07719052508051</v>
      </c>
      <c r="X47" s="1854">
        <f t="shared" si="4"/>
        <v>175.40282321898019</v>
      </c>
      <c r="Y47" s="1854">
        <f t="shared" si="4"/>
        <v>168.84995132312079</v>
      </c>
      <c r="Z47" s="1854">
        <f t="shared" si="4"/>
        <v>197.85703249503243</v>
      </c>
      <c r="AA47" s="1854">
        <f t="shared" si="4"/>
        <v>196.39635909304326</v>
      </c>
      <c r="AB47" s="1854">
        <f t="shared" si="4"/>
        <v>204.9006665778376</v>
      </c>
      <c r="AC47" s="1854">
        <f t="shared" si="4"/>
        <v>203.28365166118817</v>
      </c>
      <c r="AD47" s="1854">
        <f t="shared" si="4"/>
        <v>76.734906280882313</v>
      </c>
      <c r="AE47" s="215">
        <f t="shared" si="4"/>
        <v>0</v>
      </c>
    </row>
    <row r="48" spans="1:31">
      <c r="A48" s="833"/>
      <c r="B48" s="1000"/>
      <c r="C48" s="1001"/>
      <c r="D48" s="1001"/>
      <c r="E48" s="1001"/>
      <c r="F48" s="1008"/>
      <c r="G48" s="216">
        <v>0</v>
      </c>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row>
    <row r="49" spans="1:31" ht="13.5">
      <c r="A49" s="833"/>
      <c r="B49" s="1000"/>
      <c r="C49" s="1001"/>
      <c r="D49" s="881" t="s">
        <v>1898</v>
      </c>
      <c r="E49" s="1001"/>
      <c r="F49" s="1008"/>
      <c r="G49" s="216">
        <v>0</v>
      </c>
      <c r="H49" s="214">
        <f>SUM(J49:AE49)</f>
        <v>4042.7100745725079</v>
      </c>
      <c r="I49" s="214"/>
      <c r="J49" s="214">
        <v>0</v>
      </c>
      <c r="K49" s="214">
        <v>0</v>
      </c>
      <c r="L49" s="214">
        <v>0</v>
      </c>
      <c r="M49" s="214">
        <v>0</v>
      </c>
      <c r="N49" s="214">
        <v>0</v>
      </c>
      <c r="O49" s="214">
        <v>308.43388311412059</v>
      </c>
      <c r="P49" s="214">
        <v>423.40784525151116</v>
      </c>
      <c r="Q49" s="214">
        <v>451.63040441635911</v>
      </c>
      <c r="R49" s="214">
        <v>406.32147692784315</v>
      </c>
      <c r="S49" s="214">
        <v>365.05223726203195</v>
      </c>
      <c r="T49" s="214">
        <v>256.53224878202752</v>
      </c>
      <c r="U49" s="214">
        <v>202.70914751392297</v>
      </c>
      <c r="V49" s="214">
        <v>199.12025012952665</v>
      </c>
      <c r="W49" s="214">
        <v>206.07719052508051</v>
      </c>
      <c r="X49" s="214">
        <v>175.40282321898019</v>
      </c>
      <c r="Y49" s="214">
        <v>168.84995132312079</v>
      </c>
      <c r="Z49" s="214">
        <v>197.85703249503243</v>
      </c>
      <c r="AA49" s="214">
        <v>196.39635909304326</v>
      </c>
      <c r="AB49" s="214">
        <v>204.9006665778376</v>
      </c>
      <c r="AC49" s="214">
        <v>203.28365166118817</v>
      </c>
      <c r="AD49" s="214">
        <v>76.734906280882313</v>
      </c>
      <c r="AE49" s="214">
        <v>0</v>
      </c>
    </row>
    <row r="50" spans="1:31">
      <c r="A50" s="833"/>
      <c r="B50" s="1000"/>
      <c r="C50" s="1001"/>
      <c r="D50" s="1001"/>
      <c r="E50" s="1001"/>
      <c r="F50" s="1008"/>
      <c r="G50" s="216">
        <v>0</v>
      </c>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row>
    <row r="51" spans="1:31" s="1007" customFormat="1" ht="13.5">
      <c r="A51" s="843"/>
      <c r="B51" s="1004"/>
      <c r="C51" s="994" t="s">
        <v>1899</v>
      </c>
      <c r="D51" s="994"/>
      <c r="E51" s="994"/>
      <c r="F51" s="1006"/>
      <c r="G51" s="216">
        <v>0</v>
      </c>
      <c r="H51" s="215">
        <f>SUM(J51:AE51)</f>
        <v>157662.33333333331</v>
      </c>
      <c r="I51" s="215"/>
      <c r="J51" s="215">
        <f t="shared" ref="J51:AE51" si="5">SUM(J53:J60)</f>
        <v>0</v>
      </c>
      <c r="K51" s="215">
        <f t="shared" si="5"/>
        <v>0</v>
      </c>
      <c r="L51" s="215">
        <f t="shared" si="5"/>
        <v>0</v>
      </c>
      <c r="M51" s="215">
        <f t="shared" si="5"/>
        <v>0</v>
      </c>
      <c r="N51" s="215">
        <f t="shared" si="5"/>
        <v>0</v>
      </c>
      <c r="O51" s="215">
        <f t="shared" si="5"/>
        <v>6910.75</v>
      </c>
      <c r="P51" s="1854">
        <f>SUM(P53:P60)</f>
        <v>19264.916666666664</v>
      </c>
      <c r="Q51" s="1854">
        <f t="shared" si="5"/>
        <v>11540</v>
      </c>
      <c r="R51" s="1854">
        <f t="shared" si="5"/>
        <v>11540</v>
      </c>
      <c r="S51" s="1854">
        <f t="shared" si="5"/>
        <v>11540</v>
      </c>
      <c r="T51" s="1854">
        <f t="shared" si="5"/>
        <v>17788.333333333336</v>
      </c>
      <c r="U51" s="1854">
        <f t="shared" si="5"/>
        <v>9197.5</v>
      </c>
      <c r="V51" s="1854">
        <f t="shared" si="5"/>
        <v>9197.5</v>
      </c>
      <c r="W51" s="1854">
        <f t="shared" si="5"/>
        <v>9197.5</v>
      </c>
      <c r="X51" s="1854">
        <f t="shared" si="5"/>
        <v>15619.166666666664</v>
      </c>
      <c r="Y51" s="1854">
        <f t="shared" si="5"/>
        <v>6724.9999999999991</v>
      </c>
      <c r="Z51" s="1854">
        <f t="shared" si="5"/>
        <v>6724.9999999999991</v>
      </c>
      <c r="AA51" s="1854">
        <f t="shared" si="5"/>
        <v>6724.9999999999991</v>
      </c>
      <c r="AB51" s="1854">
        <f t="shared" si="5"/>
        <v>6724.9999999999991</v>
      </c>
      <c r="AC51" s="1854">
        <f t="shared" si="5"/>
        <v>6724.9999999999991</v>
      </c>
      <c r="AD51" s="1854">
        <f t="shared" si="5"/>
        <v>2241.6666666666665</v>
      </c>
      <c r="AE51" s="215">
        <f t="shared" si="5"/>
        <v>0</v>
      </c>
    </row>
    <row r="52" spans="1:31">
      <c r="A52" s="833"/>
      <c r="B52" s="1000"/>
      <c r="C52" s="1001"/>
      <c r="D52" s="1001"/>
      <c r="E52" s="1001"/>
      <c r="F52" s="1008"/>
      <c r="G52" s="216">
        <v>0</v>
      </c>
      <c r="H52" s="214"/>
      <c r="I52" s="214"/>
      <c r="J52" s="214"/>
      <c r="K52" s="214"/>
      <c r="L52" s="214"/>
      <c r="M52" s="214"/>
      <c r="N52" s="214"/>
      <c r="O52" s="214"/>
      <c r="P52" s="214"/>
      <c r="Q52" s="214"/>
      <c r="R52" s="214"/>
      <c r="S52" s="214"/>
      <c r="T52" s="214"/>
      <c r="U52" s="214"/>
      <c r="V52" s="214"/>
      <c r="W52" s="214"/>
      <c r="X52" s="214"/>
      <c r="Y52" s="214"/>
      <c r="Z52" s="214"/>
      <c r="AA52" s="214"/>
      <c r="AB52" s="214"/>
      <c r="AC52" s="214"/>
      <c r="AD52" s="214"/>
      <c r="AE52" s="214"/>
    </row>
    <row r="53" spans="1:31" ht="13.5">
      <c r="A53" s="833"/>
      <c r="B53" s="1000"/>
      <c r="C53" s="1001"/>
      <c r="D53" s="881" t="s">
        <v>795</v>
      </c>
      <c r="E53" s="1001"/>
      <c r="F53" s="1008"/>
      <c r="G53" s="216">
        <v>0</v>
      </c>
      <c r="H53" s="214">
        <f t="shared" ref="H53:H58" si="6">SUM(J53:AE53)</f>
        <v>118218.33333333333</v>
      </c>
      <c r="I53" s="214"/>
      <c r="J53" s="214">
        <v>0</v>
      </c>
      <c r="K53" s="214">
        <v>0</v>
      </c>
      <c r="L53" s="214">
        <v>0</v>
      </c>
      <c r="M53" s="214">
        <v>0</v>
      </c>
      <c r="N53" s="214">
        <v>0</v>
      </c>
      <c r="O53" s="214">
        <v>5548.75</v>
      </c>
      <c r="P53" s="214">
        <v>8329.5833333333321</v>
      </c>
      <c r="Q53" s="214">
        <v>9720</v>
      </c>
      <c r="R53" s="214">
        <v>9720</v>
      </c>
      <c r="S53" s="214">
        <v>9720</v>
      </c>
      <c r="T53" s="214">
        <v>8505</v>
      </c>
      <c r="U53" s="214">
        <v>7897.5</v>
      </c>
      <c r="V53" s="214">
        <v>7897.5</v>
      </c>
      <c r="W53" s="214">
        <v>7897.5</v>
      </c>
      <c r="X53" s="214">
        <v>7115.8333333333321</v>
      </c>
      <c r="Y53" s="214">
        <v>6724.9999999999991</v>
      </c>
      <c r="Z53" s="214">
        <v>6724.9999999999991</v>
      </c>
      <c r="AA53" s="214">
        <v>6724.9999999999991</v>
      </c>
      <c r="AB53" s="214">
        <v>6724.9999999999991</v>
      </c>
      <c r="AC53" s="214">
        <v>6724.9999999999991</v>
      </c>
      <c r="AD53" s="214">
        <v>2241.6666666666665</v>
      </c>
      <c r="AE53" s="214">
        <v>0</v>
      </c>
    </row>
    <row r="54" spans="1:31" s="833" customFormat="1" ht="13.5">
      <c r="B54" s="1000"/>
      <c r="C54" s="1001"/>
      <c r="D54" s="881" t="s">
        <v>796</v>
      </c>
      <c r="E54" s="1001"/>
      <c r="F54" s="1008"/>
      <c r="G54" s="216">
        <v>0</v>
      </c>
      <c r="H54" s="214">
        <f t="shared" si="6"/>
        <v>14296.000000000002</v>
      </c>
      <c r="I54" s="214"/>
      <c r="J54" s="214">
        <v>0</v>
      </c>
      <c r="K54" s="214">
        <v>0</v>
      </c>
      <c r="L54" s="214">
        <v>0</v>
      </c>
      <c r="M54" s="214">
        <v>0</v>
      </c>
      <c r="N54" s="214">
        <v>0</v>
      </c>
      <c r="O54" s="214">
        <v>1362</v>
      </c>
      <c r="P54" s="214">
        <v>1667.3333333333335</v>
      </c>
      <c r="Q54" s="214">
        <v>1820.0000000000005</v>
      </c>
      <c r="R54" s="214">
        <v>1820.0000000000005</v>
      </c>
      <c r="S54" s="214">
        <v>1820.0000000000005</v>
      </c>
      <c r="T54" s="214">
        <v>1473.3333333333335</v>
      </c>
      <c r="U54" s="214">
        <v>1300</v>
      </c>
      <c r="V54" s="214">
        <v>1300</v>
      </c>
      <c r="W54" s="214">
        <v>1300</v>
      </c>
      <c r="X54" s="214">
        <v>433.33333333333331</v>
      </c>
      <c r="Y54" s="214">
        <v>0</v>
      </c>
      <c r="Z54" s="214">
        <v>0</v>
      </c>
      <c r="AA54" s="214">
        <v>0</v>
      </c>
      <c r="AB54" s="214">
        <v>0</v>
      </c>
      <c r="AC54" s="214">
        <v>0</v>
      </c>
      <c r="AD54" s="214">
        <v>0</v>
      </c>
      <c r="AE54" s="214">
        <v>0</v>
      </c>
    </row>
    <row r="55" spans="1:31" s="833" customFormat="1" ht="13.5">
      <c r="B55" s="1000"/>
      <c r="C55" s="1001"/>
      <c r="D55" s="881" t="s">
        <v>797</v>
      </c>
      <c r="E55" s="1001"/>
      <c r="F55" s="1008"/>
      <c r="G55" s="216">
        <v>0</v>
      </c>
      <c r="H55" s="214">
        <f t="shared" si="6"/>
        <v>0</v>
      </c>
      <c r="I55" s="214"/>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row>
    <row r="56" spans="1:31" s="833" customFormat="1" ht="13.5">
      <c r="B56" s="1000"/>
      <c r="C56" s="1001"/>
      <c r="D56" s="881" t="s">
        <v>798</v>
      </c>
      <c r="E56" s="1001"/>
      <c r="F56" s="1008"/>
      <c r="G56" s="216">
        <v>0</v>
      </c>
      <c r="H56" s="214">
        <f t="shared" si="6"/>
        <v>0</v>
      </c>
      <c r="I56" s="214"/>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row>
    <row r="57" spans="1:31" s="833" customFormat="1" ht="13.5">
      <c r="B57" s="1000"/>
      <c r="C57" s="1001"/>
      <c r="D57" s="881" t="s">
        <v>1592</v>
      </c>
      <c r="E57" s="1001"/>
      <c r="F57" s="1008"/>
      <c r="G57" s="216">
        <v>0</v>
      </c>
      <c r="H57" s="214">
        <f t="shared" si="6"/>
        <v>0</v>
      </c>
      <c r="I57" s="214"/>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row>
    <row r="58" spans="1:31" s="833" customFormat="1" ht="13.5">
      <c r="B58" s="1000"/>
      <c r="C58" s="1001"/>
      <c r="D58" s="881" t="s">
        <v>1593</v>
      </c>
      <c r="E58" s="1001"/>
      <c r="F58" s="1008"/>
      <c r="G58" s="216">
        <v>0</v>
      </c>
      <c r="H58" s="214">
        <f t="shared" si="6"/>
        <v>24108</v>
      </c>
      <c r="I58" s="214"/>
      <c r="J58" s="214">
        <v>0</v>
      </c>
      <c r="K58" s="214">
        <v>0</v>
      </c>
      <c r="L58" s="214">
        <v>0</v>
      </c>
      <c r="M58" s="214">
        <v>0</v>
      </c>
      <c r="N58" s="214">
        <v>0</v>
      </c>
      <c r="O58" s="214">
        <v>0</v>
      </c>
      <c r="P58" s="214">
        <v>8748</v>
      </c>
      <c r="Q58" s="214">
        <v>0</v>
      </c>
      <c r="R58" s="214">
        <v>0</v>
      </c>
      <c r="S58" s="214">
        <v>0</v>
      </c>
      <c r="T58" s="214">
        <v>7290</v>
      </c>
      <c r="U58" s="214">
        <v>0</v>
      </c>
      <c r="V58" s="214">
        <v>0</v>
      </c>
      <c r="W58" s="214">
        <v>0</v>
      </c>
      <c r="X58" s="214">
        <v>8070</v>
      </c>
      <c r="Y58" s="214">
        <v>0</v>
      </c>
      <c r="Z58" s="214">
        <v>0</v>
      </c>
      <c r="AA58" s="214">
        <v>0</v>
      </c>
      <c r="AB58" s="214">
        <v>0</v>
      </c>
      <c r="AC58" s="214">
        <v>0</v>
      </c>
      <c r="AD58" s="214">
        <v>0</v>
      </c>
      <c r="AE58" s="214">
        <v>0</v>
      </c>
    </row>
    <row r="59" spans="1:31" s="833" customFormat="1" ht="13.5">
      <c r="B59" s="1000"/>
      <c r="C59" s="1001"/>
      <c r="D59" s="881" t="s">
        <v>1594</v>
      </c>
      <c r="E59" s="1001"/>
      <c r="F59" s="1008"/>
      <c r="G59" s="216">
        <v>0</v>
      </c>
      <c r="H59" s="214">
        <f>SUM(J59:AE59)</f>
        <v>1040</v>
      </c>
      <c r="I59" s="214"/>
      <c r="J59" s="214">
        <v>0</v>
      </c>
      <c r="K59" s="214">
        <v>0</v>
      </c>
      <c r="L59" s="214">
        <v>0</v>
      </c>
      <c r="M59" s="214">
        <v>0</v>
      </c>
      <c r="N59" s="214">
        <v>0</v>
      </c>
      <c r="O59" s="214">
        <v>0</v>
      </c>
      <c r="P59" s="214">
        <v>520</v>
      </c>
      <c r="Q59" s="214">
        <v>0</v>
      </c>
      <c r="R59" s="214">
        <v>0</v>
      </c>
      <c r="S59" s="214">
        <v>0</v>
      </c>
      <c r="T59" s="214">
        <v>520</v>
      </c>
      <c r="U59" s="214">
        <v>0</v>
      </c>
      <c r="V59" s="214">
        <v>0</v>
      </c>
      <c r="W59" s="214">
        <v>0</v>
      </c>
      <c r="X59" s="214">
        <v>0</v>
      </c>
      <c r="Y59" s="214">
        <v>0</v>
      </c>
      <c r="Z59" s="214">
        <v>0</v>
      </c>
      <c r="AA59" s="214">
        <v>0</v>
      </c>
      <c r="AB59" s="214">
        <v>0</v>
      </c>
      <c r="AC59" s="214">
        <v>0</v>
      </c>
      <c r="AD59" s="214">
        <v>0</v>
      </c>
      <c r="AE59" s="214">
        <v>0</v>
      </c>
    </row>
    <row r="60" spans="1:31" s="833" customFormat="1">
      <c r="B60" s="1000"/>
      <c r="C60" s="1001"/>
      <c r="D60" s="1001"/>
      <c r="E60" s="1001"/>
      <c r="F60" s="1008"/>
      <c r="G60" s="216">
        <v>0</v>
      </c>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14"/>
    </row>
    <row r="61" spans="1:31" s="843" customFormat="1" ht="13.5">
      <c r="B61" s="1004"/>
      <c r="C61" s="994" t="s">
        <v>1900</v>
      </c>
      <c r="D61" s="994"/>
      <c r="E61" s="994"/>
      <c r="F61" s="1006"/>
      <c r="G61" s="216">
        <v>0</v>
      </c>
      <c r="H61" s="842">
        <f>SUM(J61:AE61)</f>
        <v>432669.91143779905</v>
      </c>
      <c r="I61" s="215"/>
      <c r="J61" s="842">
        <f t="shared" ref="J61:AE61" si="7">J45+J47-J51</f>
        <v>0</v>
      </c>
      <c r="K61" s="842">
        <f t="shared" si="7"/>
        <v>0</v>
      </c>
      <c r="L61" s="842">
        <f t="shared" si="7"/>
        <v>0</v>
      </c>
      <c r="M61" s="842">
        <f t="shared" si="7"/>
        <v>0</v>
      </c>
      <c r="N61" s="842">
        <f t="shared" si="7"/>
        <v>0</v>
      </c>
      <c r="O61" s="842">
        <f>O45+O47-O51</f>
        <v>-652.61925893875832</v>
      </c>
      <c r="P61" s="842">
        <f t="shared" si="7"/>
        <v>-13275.272923045477</v>
      </c>
      <c r="Q61" s="842">
        <f t="shared" si="7"/>
        <v>-4540.8309796071462</v>
      </c>
      <c r="R61" s="842">
        <f t="shared" si="7"/>
        <v>-3772.2104685200857</v>
      </c>
      <c r="S61" s="842">
        <f t="shared" si="7"/>
        <v>-4243.4630396185048</v>
      </c>
      <c r="T61" s="842">
        <f t="shared" si="7"/>
        <v>-10263.465347692647</v>
      </c>
      <c r="U61" s="842">
        <f t="shared" si="7"/>
        <v>-967.66016749293522</v>
      </c>
      <c r="V61" s="842">
        <f t="shared" si="7"/>
        <v>690.81685672172898</v>
      </c>
      <c r="W61" s="842">
        <f t="shared" si="7"/>
        <v>-325.52194382869857</v>
      </c>
      <c r="X61" s="842">
        <f t="shared" si="7"/>
        <v>-5561.7997075814146</v>
      </c>
      <c r="Y61" s="842">
        <f t="shared" si="7"/>
        <v>2649.4098505163392</v>
      </c>
      <c r="Z61" s="842">
        <f t="shared" si="7"/>
        <v>4334.7400619142509</v>
      </c>
      <c r="AA61" s="842">
        <f t="shared" si="7"/>
        <v>3136.9072934286423</v>
      </c>
      <c r="AB61" s="842">
        <f t="shared" si="7"/>
        <v>4848.2830197982303</v>
      </c>
      <c r="AC61" s="842">
        <f t="shared" si="7"/>
        <v>3606.380161497641</v>
      </c>
      <c r="AD61" s="842">
        <f t="shared" si="7"/>
        <v>457006.2180302479</v>
      </c>
      <c r="AE61" s="842">
        <f t="shared" si="7"/>
        <v>0</v>
      </c>
    </row>
    <row r="62" spans="1:31" s="833" customFormat="1">
      <c r="B62" s="1000"/>
      <c r="C62" s="1001"/>
      <c r="D62" s="1001"/>
      <c r="E62" s="1001"/>
      <c r="F62" s="1008"/>
      <c r="G62" s="216">
        <v>0</v>
      </c>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14"/>
    </row>
    <row r="63" spans="1:31" s="843" customFormat="1" ht="13.5">
      <c r="B63" s="1004"/>
      <c r="C63" s="881" t="s">
        <v>1901</v>
      </c>
      <c r="D63" s="881"/>
      <c r="E63" s="994"/>
      <c r="F63" s="1006"/>
      <c r="G63" s="216">
        <v>0</v>
      </c>
      <c r="H63" s="848">
        <f>SUM(J63:AE63)</f>
        <v>0</v>
      </c>
      <c r="I63" s="214"/>
      <c r="J63" s="215">
        <v>0</v>
      </c>
      <c r="K63" s="215">
        <v>0</v>
      </c>
      <c r="L63" s="215">
        <v>0</v>
      </c>
      <c r="M63" s="215">
        <v>0</v>
      </c>
      <c r="N63" s="215">
        <v>0</v>
      </c>
      <c r="O63" s="215">
        <v>0</v>
      </c>
      <c r="P63" s="215">
        <v>0</v>
      </c>
      <c r="Q63" s="215">
        <v>0</v>
      </c>
      <c r="R63" s="215">
        <v>0</v>
      </c>
      <c r="S63" s="215">
        <v>0</v>
      </c>
      <c r="T63" s="215">
        <v>0</v>
      </c>
      <c r="U63" s="215">
        <v>0</v>
      </c>
      <c r="V63" s="215">
        <v>0</v>
      </c>
      <c r="W63" s="215">
        <v>0</v>
      </c>
      <c r="X63" s="215">
        <v>0</v>
      </c>
      <c r="Y63" s="215">
        <v>0</v>
      </c>
      <c r="Z63" s="215">
        <v>0</v>
      </c>
      <c r="AA63" s="215">
        <v>0</v>
      </c>
      <c r="AB63" s="215">
        <v>0</v>
      </c>
      <c r="AC63" s="215">
        <v>0</v>
      </c>
      <c r="AD63" s="215">
        <v>0</v>
      </c>
      <c r="AE63" s="215">
        <v>0</v>
      </c>
    </row>
    <row r="64" spans="1:31" s="833" customFormat="1">
      <c r="B64" s="1000"/>
      <c r="C64" s="1001"/>
      <c r="D64" s="1001"/>
      <c r="E64" s="1001"/>
      <c r="F64" s="1008"/>
      <c r="G64" s="226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c r="AE64" s="214"/>
    </row>
    <row r="65" spans="2:31" s="843" customFormat="1" ht="13.5">
      <c r="B65" s="1004"/>
      <c r="C65" s="994" t="s">
        <v>1902</v>
      </c>
      <c r="D65" s="994"/>
      <c r="E65" s="994"/>
      <c r="F65" s="1006"/>
      <c r="G65" s="216">
        <v>0</v>
      </c>
      <c r="H65" s="842">
        <f>SUM(J65:AE65)</f>
        <v>432669.91143779905</v>
      </c>
      <c r="I65" s="214"/>
      <c r="J65" s="842">
        <f>J61-J63</f>
        <v>0</v>
      </c>
      <c r="K65" s="842">
        <f>K61-K63</f>
        <v>0</v>
      </c>
      <c r="L65" s="842">
        <f t="shared" ref="L65:AE65" si="8">L61-L63</f>
        <v>0</v>
      </c>
      <c r="M65" s="842">
        <f t="shared" si="8"/>
        <v>0</v>
      </c>
      <c r="N65" s="842">
        <f t="shared" si="8"/>
        <v>0</v>
      </c>
      <c r="O65" s="842">
        <f t="shared" si="8"/>
        <v>-652.61925893875832</v>
      </c>
      <c r="P65" s="842">
        <f t="shared" si="8"/>
        <v>-13275.272923045477</v>
      </c>
      <c r="Q65" s="842">
        <f t="shared" si="8"/>
        <v>-4540.8309796071462</v>
      </c>
      <c r="R65" s="842">
        <f t="shared" si="8"/>
        <v>-3772.2104685200857</v>
      </c>
      <c r="S65" s="842">
        <f t="shared" si="8"/>
        <v>-4243.4630396185048</v>
      </c>
      <c r="T65" s="842">
        <f t="shared" si="8"/>
        <v>-10263.465347692647</v>
      </c>
      <c r="U65" s="842">
        <f t="shared" si="8"/>
        <v>-967.66016749293522</v>
      </c>
      <c r="V65" s="842">
        <f t="shared" si="8"/>
        <v>690.81685672172898</v>
      </c>
      <c r="W65" s="842">
        <f t="shared" si="8"/>
        <v>-325.52194382869857</v>
      </c>
      <c r="X65" s="842">
        <f t="shared" si="8"/>
        <v>-5561.7997075814146</v>
      </c>
      <c r="Y65" s="842">
        <f t="shared" si="8"/>
        <v>2649.4098505163392</v>
      </c>
      <c r="Z65" s="842">
        <f t="shared" si="8"/>
        <v>4334.7400619142509</v>
      </c>
      <c r="AA65" s="842">
        <f t="shared" si="8"/>
        <v>3136.9072934286423</v>
      </c>
      <c r="AB65" s="842">
        <f t="shared" si="8"/>
        <v>4848.2830197982303</v>
      </c>
      <c r="AC65" s="842">
        <f t="shared" si="8"/>
        <v>3606.380161497641</v>
      </c>
      <c r="AD65" s="842">
        <f>AD61-AD63</f>
        <v>457006.2180302479</v>
      </c>
      <c r="AE65" s="842">
        <f t="shared" si="8"/>
        <v>0</v>
      </c>
    </row>
    <row r="66" spans="2:31" s="833" customFormat="1">
      <c r="B66" s="1013"/>
      <c r="C66" s="1014"/>
      <c r="D66" s="1014"/>
      <c r="E66" s="1014"/>
      <c r="F66" s="861"/>
      <c r="G66" s="1014"/>
      <c r="H66" s="217"/>
      <c r="I66" s="214"/>
      <c r="J66" s="217"/>
      <c r="K66" s="217"/>
      <c r="L66" s="217"/>
      <c r="M66" s="217"/>
      <c r="N66" s="217"/>
      <c r="O66" s="217"/>
      <c r="P66" s="217"/>
      <c r="Q66" s="217"/>
      <c r="R66" s="217"/>
      <c r="S66" s="217"/>
      <c r="T66" s="217"/>
      <c r="U66" s="217"/>
      <c r="V66" s="217"/>
      <c r="W66" s="217"/>
      <c r="X66" s="217"/>
      <c r="Y66" s="217"/>
      <c r="Z66" s="217"/>
      <c r="AA66" s="217"/>
      <c r="AB66" s="217"/>
      <c r="AC66" s="217"/>
      <c r="AD66" s="217"/>
      <c r="AE66" s="217"/>
    </row>
    <row r="67" spans="2:31" s="833" customFormat="1"/>
    <row r="68" spans="2:31" s="833" customFormat="1" ht="13.5">
      <c r="C68" s="843" t="s">
        <v>1903</v>
      </c>
    </row>
    <row r="69" spans="2:31" s="219" customFormat="1" ht="13.5">
      <c r="B69" s="1059"/>
      <c r="C69" s="1060"/>
      <c r="D69" s="1060"/>
      <c r="E69" s="1060" t="s">
        <v>195</v>
      </c>
      <c r="F69" s="1060"/>
      <c r="G69" s="1060"/>
      <c r="H69" s="1061" t="s">
        <v>196</v>
      </c>
      <c r="I69" s="218"/>
      <c r="J69" s="1062">
        <f t="shared" ref="J69:AE70" si="9">J6</f>
        <v>1</v>
      </c>
      <c r="K69" s="1062">
        <f t="shared" si="9"/>
        <v>2</v>
      </c>
      <c r="L69" s="1062">
        <f t="shared" si="9"/>
        <v>3</v>
      </c>
      <c r="M69" s="1062">
        <f t="shared" si="9"/>
        <v>4</v>
      </c>
      <c r="N69" s="1062">
        <f t="shared" si="9"/>
        <v>5</v>
      </c>
      <c r="O69" s="1062">
        <f t="shared" si="9"/>
        <v>6</v>
      </c>
      <c r="P69" s="1062">
        <f t="shared" si="9"/>
        <v>7</v>
      </c>
      <c r="Q69" s="1062">
        <f t="shared" si="9"/>
        <v>8</v>
      </c>
      <c r="R69" s="1062">
        <f t="shared" si="9"/>
        <v>9</v>
      </c>
      <c r="S69" s="1062">
        <f t="shared" si="9"/>
        <v>10</v>
      </c>
      <c r="T69" s="1062">
        <f t="shared" si="9"/>
        <v>11</v>
      </c>
      <c r="U69" s="1062">
        <f t="shared" si="9"/>
        <v>12</v>
      </c>
      <c r="V69" s="1062">
        <f t="shared" si="9"/>
        <v>13</v>
      </c>
      <c r="W69" s="1062">
        <f t="shared" si="9"/>
        <v>14</v>
      </c>
      <c r="X69" s="1062">
        <f t="shared" si="9"/>
        <v>15</v>
      </c>
      <c r="Y69" s="1062">
        <f t="shared" si="9"/>
        <v>16</v>
      </c>
      <c r="Z69" s="1062">
        <f t="shared" si="9"/>
        <v>17</v>
      </c>
      <c r="AA69" s="1062">
        <f t="shared" si="9"/>
        <v>18</v>
      </c>
      <c r="AB69" s="1062">
        <f t="shared" si="9"/>
        <v>19</v>
      </c>
      <c r="AC69" s="1062">
        <f t="shared" si="9"/>
        <v>20</v>
      </c>
      <c r="AD69" s="1062">
        <f t="shared" si="9"/>
        <v>21</v>
      </c>
      <c r="AE69" s="1062">
        <f t="shared" si="9"/>
        <v>-1</v>
      </c>
    </row>
    <row r="70" spans="2:31" s="219" customFormat="1">
      <c r="B70" s="220"/>
      <c r="C70" s="221"/>
      <c r="D70" s="221"/>
      <c r="E70" s="221"/>
      <c r="F70" s="221"/>
      <c r="G70" s="221"/>
      <c r="H70" s="222"/>
      <c r="I70" s="223"/>
      <c r="J70" s="834">
        <f t="shared" si="9"/>
        <v>44500</v>
      </c>
      <c r="K70" s="834">
        <f t="shared" si="9"/>
        <v>44681</v>
      </c>
      <c r="L70" s="834">
        <f t="shared" si="9"/>
        <v>44865</v>
      </c>
      <c r="M70" s="834">
        <f t="shared" si="9"/>
        <v>45046</v>
      </c>
      <c r="N70" s="834">
        <f t="shared" si="9"/>
        <v>45230</v>
      </c>
      <c r="O70" s="834">
        <f t="shared" si="9"/>
        <v>45412</v>
      </c>
      <c r="P70" s="834">
        <f t="shared" si="9"/>
        <v>45596</v>
      </c>
      <c r="Q70" s="834">
        <f t="shared" si="9"/>
        <v>45777</v>
      </c>
      <c r="R70" s="834">
        <f t="shared" si="9"/>
        <v>45961</v>
      </c>
      <c r="S70" s="834">
        <f t="shared" si="9"/>
        <v>46142</v>
      </c>
      <c r="T70" s="834">
        <f t="shared" si="9"/>
        <v>46326</v>
      </c>
      <c r="U70" s="834">
        <f t="shared" si="9"/>
        <v>46507</v>
      </c>
      <c r="V70" s="834">
        <f t="shared" si="9"/>
        <v>46691</v>
      </c>
      <c r="W70" s="834">
        <f t="shared" si="9"/>
        <v>46873</v>
      </c>
      <c r="X70" s="834">
        <f t="shared" si="9"/>
        <v>47057</v>
      </c>
      <c r="Y70" s="834">
        <f t="shared" si="9"/>
        <v>47238</v>
      </c>
      <c r="Z70" s="834">
        <f t="shared" si="9"/>
        <v>47422</v>
      </c>
      <c r="AA70" s="834">
        <f t="shared" si="9"/>
        <v>47603</v>
      </c>
      <c r="AB70" s="834">
        <f t="shared" si="9"/>
        <v>47787</v>
      </c>
      <c r="AC70" s="834">
        <f t="shared" si="9"/>
        <v>47968</v>
      </c>
      <c r="AD70" s="834">
        <f t="shared" si="9"/>
        <v>48029</v>
      </c>
      <c r="AE70" s="834">
        <f t="shared" si="9"/>
        <v>0</v>
      </c>
    </row>
    <row r="71" spans="2:31" s="219" customFormat="1">
      <c r="B71" s="224"/>
      <c r="C71" s="218"/>
      <c r="D71" s="218"/>
      <c r="E71" s="218"/>
      <c r="F71" s="218"/>
      <c r="G71" s="218"/>
      <c r="H71" s="225"/>
      <c r="I71" s="218"/>
      <c r="J71" s="226"/>
      <c r="K71" s="226"/>
      <c r="L71" s="226"/>
      <c r="M71" s="226"/>
      <c r="N71" s="226"/>
      <c r="O71" s="226"/>
      <c r="P71" s="226"/>
      <c r="Q71" s="226"/>
      <c r="R71" s="226"/>
      <c r="S71" s="226"/>
      <c r="T71" s="226"/>
      <c r="U71" s="226"/>
      <c r="V71" s="226"/>
      <c r="W71" s="226"/>
      <c r="X71" s="226"/>
      <c r="Y71" s="226"/>
      <c r="Z71" s="226"/>
      <c r="AA71" s="226"/>
      <c r="AB71" s="226"/>
      <c r="AC71" s="226"/>
      <c r="AD71" s="226"/>
      <c r="AE71" s="226"/>
    </row>
    <row r="72" spans="2:31" s="219" customFormat="1" ht="13.5">
      <c r="B72" s="224"/>
      <c r="C72" s="218" t="s">
        <v>1904</v>
      </c>
      <c r="D72" s="218"/>
      <c r="E72" s="218"/>
      <c r="F72" s="218"/>
      <c r="G72" s="218"/>
      <c r="H72" s="848">
        <f>SUM(J72:AE72)</f>
        <v>432669.91143779905</v>
      </c>
      <c r="I72" s="218"/>
      <c r="J72" s="848">
        <f t="shared" ref="J72:AE72" si="10">J61</f>
        <v>0</v>
      </c>
      <c r="K72" s="848">
        <f t="shared" si="10"/>
        <v>0</v>
      </c>
      <c r="L72" s="848">
        <f t="shared" si="10"/>
        <v>0</v>
      </c>
      <c r="M72" s="848">
        <f t="shared" si="10"/>
        <v>0</v>
      </c>
      <c r="N72" s="848">
        <f t="shared" si="10"/>
        <v>0</v>
      </c>
      <c r="O72" s="848">
        <f t="shared" si="10"/>
        <v>-652.61925893875832</v>
      </c>
      <c r="P72" s="848">
        <f t="shared" si="10"/>
        <v>-13275.272923045477</v>
      </c>
      <c r="Q72" s="848">
        <f t="shared" si="10"/>
        <v>-4540.8309796071462</v>
      </c>
      <c r="R72" s="848">
        <f t="shared" si="10"/>
        <v>-3772.2104685200857</v>
      </c>
      <c r="S72" s="848">
        <f t="shared" si="10"/>
        <v>-4243.4630396185048</v>
      </c>
      <c r="T72" s="848">
        <f t="shared" si="10"/>
        <v>-10263.465347692647</v>
      </c>
      <c r="U72" s="848">
        <f t="shared" si="10"/>
        <v>-967.66016749293522</v>
      </c>
      <c r="V72" s="848">
        <f t="shared" si="10"/>
        <v>690.81685672172898</v>
      </c>
      <c r="W72" s="848">
        <f t="shared" si="10"/>
        <v>-325.52194382869857</v>
      </c>
      <c r="X72" s="848">
        <f t="shared" si="10"/>
        <v>-5561.7997075814146</v>
      </c>
      <c r="Y72" s="848">
        <f t="shared" si="10"/>
        <v>2649.4098505163392</v>
      </c>
      <c r="Z72" s="848">
        <f t="shared" si="10"/>
        <v>4334.7400619142509</v>
      </c>
      <c r="AA72" s="848">
        <f t="shared" si="10"/>
        <v>3136.9072934286423</v>
      </c>
      <c r="AB72" s="848">
        <f t="shared" si="10"/>
        <v>4848.2830197982303</v>
      </c>
      <c r="AC72" s="848">
        <f t="shared" si="10"/>
        <v>3606.380161497641</v>
      </c>
      <c r="AD72" s="848">
        <f t="shared" si="10"/>
        <v>457006.2180302479</v>
      </c>
      <c r="AE72" s="848">
        <f t="shared" si="10"/>
        <v>0</v>
      </c>
    </row>
    <row r="73" spans="2:31" s="219" customFormat="1">
      <c r="B73" s="224"/>
      <c r="C73" s="218"/>
      <c r="D73" s="218"/>
      <c r="E73" s="218"/>
      <c r="F73" s="218"/>
      <c r="G73" s="218"/>
      <c r="H73" s="227"/>
      <c r="I73" s="218"/>
      <c r="J73" s="228"/>
      <c r="K73" s="228"/>
      <c r="L73" s="228"/>
      <c r="M73" s="228"/>
      <c r="N73" s="228"/>
      <c r="O73" s="228"/>
      <c r="P73" s="228"/>
      <c r="Q73" s="228"/>
      <c r="R73" s="228"/>
      <c r="S73" s="228"/>
      <c r="T73" s="228"/>
      <c r="U73" s="228"/>
      <c r="V73" s="228"/>
      <c r="W73" s="228"/>
      <c r="X73" s="228"/>
      <c r="Y73" s="228"/>
      <c r="Z73" s="228"/>
      <c r="AA73" s="228"/>
      <c r="AB73" s="228"/>
      <c r="AC73" s="228"/>
      <c r="AD73" s="228"/>
      <c r="AE73" s="228"/>
    </row>
    <row r="74" spans="2:31" s="219" customFormat="1" ht="13.5">
      <c r="B74" s="224"/>
      <c r="C74" s="218"/>
      <c r="D74" s="229" t="s">
        <v>1905</v>
      </c>
      <c r="E74" s="230"/>
      <c r="F74" s="230"/>
      <c r="G74" s="230"/>
      <c r="H74" s="231">
        <f>SUM(J74:AE74)</f>
        <v>0</v>
      </c>
      <c r="I74" s="230"/>
      <c r="J74" s="232">
        <f>SUM(J75:J78)</f>
        <v>0</v>
      </c>
      <c r="K74" s="232">
        <f>SUM(K75:K78)</f>
        <v>0</v>
      </c>
      <c r="L74" s="232">
        <f t="shared" ref="L74:AE74" si="11">SUM(L75:L78)</f>
        <v>0</v>
      </c>
      <c r="M74" s="232">
        <f t="shared" si="11"/>
        <v>0</v>
      </c>
      <c r="N74" s="232">
        <f t="shared" si="11"/>
        <v>0</v>
      </c>
      <c r="O74" s="232">
        <f t="shared" si="11"/>
        <v>0</v>
      </c>
      <c r="P74" s="232">
        <f t="shared" si="11"/>
        <v>0</v>
      </c>
      <c r="Q74" s="232">
        <f t="shared" si="11"/>
        <v>0</v>
      </c>
      <c r="R74" s="232">
        <f t="shared" si="11"/>
        <v>0</v>
      </c>
      <c r="S74" s="232">
        <f t="shared" si="11"/>
        <v>0</v>
      </c>
      <c r="T74" s="232">
        <f t="shared" si="11"/>
        <v>0</v>
      </c>
      <c r="U74" s="232">
        <f t="shared" si="11"/>
        <v>0</v>
      </c>
      <c r="V74" s="232">
        <f t="shared" si="11"/>
        <v>0</v>
      </c>
      <c r="W74" s="232">
        <f t="shared" si="11"/>
        <v>0</v>
      </c>
      <c r="X74" s="232">
        <f t="shared" si="11"/>
        <v>0</v>
      </c>
      <c r="Y74" s="232">
        <f t="shared" si="11"/>
        <v>0</v>
      </c>
      <c r="Z74" s="232">
        <f t="shared" si="11"/>
        <v>0</v>
      </c>
      <c r="AA74" s="232">
        <f t="shared" si="11"/>
        <v>0</v>
      </c>
      <c r="AB74" s="232">
        <f t="shared" si="11"/>
        <v>0</v>
      </c>
      <c r="AC74" s="232">
        <f t="shared" si="11"/>
        <v>0</v>
      </c>
      <c r="AD74" s="232">
        <f t="shared" si="11"/>
        <v>0</v>
      </c>
      <c r="AE74" s="232">
        <f t="shared" si="11"/>
        <v>0</v>
      </c>
    </row>
    <row r="75" spans="2:31" s="219" customFormat="1" ht="13.5" hidden="1" outlineLevel="1">
      <c r="B75" s="845"/>
      <c r="C75" s="218"/>
      <c r="D75" s="233" t="s">
        <v>197</v>
      </c>
      <c r="E75" s="218"/>
      <c r="F75" s="218"/>
      <c r="G75" s="218"/>
      <c r="H75" s="227">
        <f>SUM(J75:AE75)</f>
        <v>0</v>
      </c>
      <c r="I75" s="218"/>
      <c r="J75" s="234"/>
      <c r="K75" s="234"/>
      <c r="L75" s="234"/>
      <c r="M75" s="234"/>
      <c r="N75" s="234"/>
      <c r="O75" s="234"/>
      <c r="P75" s="234"/>
      <c r="Q75" s="234"/>
      <c r="R75" s="234"/>
      <c r="S75" s="234"/>
      <c r="T75" s="234"/>
      <c r="U75" s="234"/>
      <c r="V75" s="234"/>
      <c r="W75" s="234"/>
      <c r="X75" s="234"/>
      <c r="Y75" s="234"/>
      <c r="Z75" s="234"/>
      <c r="AA75" s="234"/>
      <c r="AB75" s="234"/>
      <c r="AC75" s="234"/>
      <c r="AD75" s="234"/>
      <c r="AE75" s="234"/>
    </row>
    <row r="76" spans="2:31" s="219" customFormat="1" ht="13.5" hidden="1" outlineLevel="1">
      <c r="B76" s="845"/>
      <c r="C76" s="218"/>
      <c r="D76" s="233" t="s">
        <v>198</v>
      </c>
      <c r="E76" s="218"/>
      <c r="F76" s="218"/>
      <c r="G76" s="218"/>
      <c r="H76" s="227">
        <f>SUM(J76:AE76)</f>
        <v>0</v>
      </c>
      <c r="I76" s="218"/>
      <c r="J76" s="234"/>
      <c r="K76" s="234"/>
      <c r="L76" s="234"/>
      <c r="M76" s="234"/>
      <c r="N76" s="234"/>
      <c r="O76" s="234"/>
      <c r="P76" s="234"/>
      <c r="Q76" s="234"/>
      <c r="R76" s="234"/>
      <c r="S76" s="234"/>
      <c r="T76" s="234"/>
      <c r="U76" s="234"/>
      <c r="V76" s="234"/>
      <c r="W76" s="234"/>
      <c r="X76" s="234"/>
      <c r="Y76" s="234"/>
      <c r="Z76" s="234"/>
      <c r="AA76" s="234"/>
      <c r="AB76" s="234"/>
      <c r="AC76" s="234"/>
      <c r="AD76" s="234"/>
      <c r="AE76" s="234"/>
    </row>
    <row r="77" spans="2:31" s="219" customFormat="1" ht="13.5" hidden="1" outlineLevel="1">
      <c r="B77" s="845"/>
      <c r="C77" s="218"/>
      <c r="D77" s="233" t="s">
        <v>199</v>
      </c>
      <c r="E77" s="218"/>
      <c r="F77" s="218"/>
      <c r="G77" s="218"/>
      <c r="H77" s="227">
        <f>SUM(J77:AE77)</f>
        <v>0</v>
      </c>
      <c r="I77" s="218"/>
      <c r="J77" s="234"/>
      <c r="K77" s="234"/>
      <c r="L77" s="234"/>
      <c r="M77" s="234"/>
      <c r="N77" s="234"/>
      <c r="O77" s="234"/>
      <c r="P77" s="234"/>
      <c r="Q77" s="234"/>
      <c r="R77" s="234"/>
      <c r="S77" s="234"/>
      <c r="T77" s="234"/>
      <c r="U77" s="234"/>
      <c r="V77" s="234"/>
      <c r="W77" s="234"/>
      <c r="X77" s="234"/>
      <c r="Y77" s="234"/>
      <c r="Z77" s="234"/>
      <c r="AA77" s="234"/>
      <c r="AB77" s="234"/>
      <c r="AC77" s="234"/>
      <c r="AD77" s="234"/>
      <c r="AE77" s="234"/>
    </row>
    <row r="78" spans="2:31" s="219" customFormat="1" hidden="1" outlineLevel="1">
      <c r="B78" s="845"/>
      <c r="C78" s="218"/>
      <c r="D78" s="233"/>
      <c r="E78" s="218"/>
      <c r="F78" s="218"/>
      <c r="G78" s="218"/>
      <c r="H78" s="227"/>
      <c r="I78" s="218"/>
      <c r="J78" s="234"/>
      <c r="K78" s="234"/>
      <c r="L78" s="234"/>
      <c r="M78" s="234"/>
      <c r="N78" s="234"/>
      <c r="O78" s="234"/>
      <c r="P78" s="234"/>
      <c r="Q78" s="234"/>
      <c r="R78" s="234"/>
      <c r="S78" s="234"/>
      <c r="T78" s="234"/>
      <c r="U78" s="234"/>
      <c r="V78" s="234"/>
      <c r="W78" s="234"/>
      <c r="X78" s="234"/>
      <c r="Y78" s="234"/>
      <c r="Z78" s="234"/>
      <c r="AA78" s="234"/>
      <c r="AB78" s="234"/>
      <c r="AC78" s="234"/>
      <c r="AD78" s="234"/>
      <c r="AE78" s="234"/>
    </row>
    <row r="79" spans="2:31" s="219" customFormat="1" ht="13.5" collapsed="1">
      <c r="B79" s="845"/>
      <c r="C79" s="218"/>
      <c r="D79" s="229" t="s">
        <v>1906</v>
      </c>
      <c r="E79" s="230"/>
      <c r="F79" s="230"/>
      <c r="G79" s="230"/>
      <c r="H79" s="231">
        <f>SUM(J79:AE79)</f>
        <v>0</v>
      </c>
      <c r="I79" s="230"/>
      <c r="J79" s="235">
        <f>SUM(J80:J83)</f>
        <v>0</v>
      </c>
      <c r="K79" s="235">
        <f>SUM(K80:K83)</f>
        <v>0</v>
      </c>
      <c r="L79" s="235">
        <f t="shared" ref="L79:AE79" si="12">SUM(L80:L83)</f>
        <v>0</v>
      </c>
      <c r="M79" s="235">
        <f t="shared" si="12"/>
        <v>0</v>
      </c>
      <c r="N79" s="235">
        <f t="shared" si="12"/>
        <v>0</v>
      </c>
      <c r="O79" s="235">
        <f t="shared" si="12"/>
        <v>0</v>
      </c>
      <c r="P79" s="235">
        <f t="shared" si="12"/>
        <v>0</v>
      </c>
      <c r="Q79" s="235">
        <f t="shared" si="12"/>
        <v>0</v>
      </c>
      <c r="R79" s="235">
        <f t="shared" si="12"/>
        <v>0</v>
      </c>
      <c r="S79" s="235">
        <f t="shared" si="12"/>
        <v>0</v>
      </c>
      <c r="T79" s="235">
        <f t="shared" si="12"/>
        <v>0</v>
      </c>
      <c r="U79" s="235">
        <f t="shared" si="12"/>
        <v>0</v>
      </c>
      <c r="V79" s="235">
        <f t="shared" si="12"/>
        <v>0</v>
      </c>
      <c r="W79" s="235">
        <f t="shared" si="12"/>
        <v>0</v>
      </c>
      <c r="X79" s="235">
        <f t="shared" si="12"/>
        <v>0</v>
      </c>
      <c r="Y79" s="235">
        <f t="shared" si="12"/>
        <v>0</v>
      </c>
      <c r="Z79" s="235">
        <f t="shared" si="12"/>
        <v>0</v>
      </c>
      <c r="AA79" s="235">
        <f t="shared" si="12"/>
        <v>0</v>
      </c>
      <c r="AB79" s="235">
        <f t="shared" si="12"/>
        <v>0</v>
      </c>
      <c r="AC79" s="235">
        <f t="shared" si="12"/>
        <v>0</v>
      </c>
      <c r="AD79" s="235">
        <f t="shared" si="12"/>
        <v>0</v>
      </c>
      <c r="AE79" s="235">
        <f t="shared" si="12"/>
        <v>0</v>
      </c>
    </row>
    <row r="80" spans="2:31" s="219" customFormat="1" ht="13.5" hidden="1" outlineLevel="1">
      <c r="B80" s="224"/>
      <c r="C80" s="218"/>
      <c r="D80" s="233" t="s">
        <v>197</v>
      </c>
      <c r="E80" s="218"/>
      <c r="F80" s="218"/>
      <c r="G80" s="218"/>
      <c r="H80" s="227">
        <f>SUM(J80:AE80)</f>
        <v>0</v>
      </c>
      <c r="I80" s="218"/>
      <c r="J80" s="228"/>
      <c r="K80" s="228"/>
      <c r="L80" s="228"/>
      <c r="M80" s="228"/>
      <c r="N80" s="228"/>
      <c r="O80" s="228"/>
      <c r="P80" s="228"/>
      <c r="Q80" s="228"/>
      <c r="R80" s="228"/>
      <c r="S80" s="228"/>
      <c r="T80" s="228"/>
      <c r="U80" s="228"/>
      <c r="V80" s="228"/>
      <c r="W80" s="228"/>
      <c r="X80" s="228"/>
      <c r="Y80" s="228"/>
      <c r="Z80" s="228"/>
      <c r="AA80" s="228"/>
      <c r="AB80" s="228"/>
      <c r="AC80" s="228"/>
      <c r="AD80" s="228"/>
      <c r="AE80" s="228"/>
    </row>
    <row r="81" spans="2:31" s="219" customFormat="1" ht="13.5" hidden="1" outlineLevel="1">
      <c r="B81" s="224"/>
      <c r="C81" s="218"/>
      <c r="D81" s="233" t="s">
        <v>198</v>
      </c>
      <c r="E81" s="218"/>
      <c r="F81" s="218"/>
      <c r="G81" s="218"/>
      <c r="H81" s="227">
        <f>SUM(J81:AE81)</f>
        <v>0</v>
      </c>
      <c r="I81" s="218"/>
      <c r="J81" s="228"/>
      <c r="K81" s="228"/>
      <c r="L81" s="228"/>
      <c r="M81" s="228"/>
      <c r="N81" s="228"/>
      <c r="O81" s="228"/>
      <c r="P81" s="228"/>
      <c r="Q81" s="228"/>
      <c r="R81" s="228"/>
      <c r="S81" s="228"/>
      <c r="T81" s="228"/>
      <c r="U81" s="228"/>
      <c r="V81" s="228"/>
      <c r="W81" s="228"/>
      <c r="X81" s="228"/>
      <c r="Y81" s="228"/>
      <c r="Z81" s="228"/>
      <c r="AA81" s="228"/>
      <c r="AB81" s="228"/>
      <c r="AC81" s="228"/>
      <c r="AD81" s="228"/>
      <c r="AE81" s="228"/>
    </row>
    <row r="82" spans="2:31" s="219" customFormat="1" ht="13.5" hidden="1" outlineLevel="1">
      <c r="B82" s="224"/>
      <c r="C82" s="218"/>
      <c r="D82" s="233" t="s">
        <v>199</v>
      </c>
      <c r="E82" s="218"/>
      <c r="F82" s="218"/>
      <c r="G82" s="218"/>
      <c r="H82" s="227">
        <f>SUM(J82:AE82)</f>
        <v>0</v>
      </c>
      <c r="I82" s="218"/>
      <c r="J82" s="228"/>
      <c r="K82" s="228"/>
      <c r="L82" s="228"/>
      <c r="M82" s="228"/>
      <c r="N82" s="228"/>
      <c r="O82" s="228"/>
      <c r="P82" s="228"/>
      <c r="Q82" s="228"/>
      <c r="R82" s="228"/>
      <c r="S82" s="228"/>
      <c r="T82" s="228"/>
      <c r="U82" s="228"/>
      <c r="V82" s="228"/>
      <c r="W82" s="228"/>
      <c r="X82" s="228"/>
      <c r="Y82" s="228"/>
      <c r="Z82" s="228"/>
      <c r="AA82" s="228"/>
      <c r="AB82" s="228"/>
      <c r="AC82" s="228"/>
      <c r="AD82" s="228"/>
      <c r="AE82" s="228"/>
    </row>
    <row r="83" spans="2:31" s="219" customFormat="1" hidden="1" outlineLevel="1">
      <c r="B83" s="224"/>
      <c r="C83" s="218"/>
      <c r="D83" s="236"/>
      <c r="E83" s="237"/>
      <c r="F83" s="237"/>
      <c r="G83" s="237"/>
      <c r="H83" s="238"/>
      <c r="I83" s="237"/>
      <c r="J83" s="239"/>
      <c r="K83" s="239"/>
      <c r="L83" s="239"/>
      <c r="M83" s="239"/>
      <c r="N83" s="239"/>
      <c r="O83" s="239"/>
      <c r="P83" s="239"/>
      <c r="Q83" s="239"/>
      <c r="R83" s="239"/>
      <c r="S83" s="239"/>
      <c r="T83" s="239"/>
      <c r="U83" s="239"/>
      <c r="V83" s="239"/>
      <c r="W83" s="239"/>
      <c r="X83" s="239"/>
      <c r="Y83" s="239"/>
      <c r="Z83" s="239"/>
      <c r="AA83" s="239"/>
      <c r="AB83" s="239"/>
      <c r="AC83" s="239"/>
      <c r="AD83" s="239"/>
      <c r="AE83" s="239"/>
    </row>
    <row r="84" spans="2:31" s="219" customFormat="1" collapsed="1">
      <c r="B84" s="224"/>
      <c r="C84" s="218"/>
      <c r="D84" s="230"/>
      <c r="E84" s="230"/>
      <c r="F84" s="230"/>
      <c r="G84" s="230"/>
      <c r="H84" s="231"/>
      <c r="I84" s="218"/>
      <c r="J84" s="235"/>
      <c r="K84" s="235"/>
      <c r="L84" s="235"/>
      <c r="M84" s="235"/>
      <c r="N84" s="235"/>
      <c r="O84" s="235"/>
      <c r="P84" s="235"/>
      <c r="Q84" s="235"/>
      <c r="R84" s="235"/>
      <c r="S84" s="235"/>
      <c r="T84" s="235"/>
      <c r="U84" s="235"/>
      <c r="V84" s="235"/>
      <c r="W84" s="235"/>
      <c r="X84" s="235"/>
      <c r="Y84" s="235"/>
      <c r="Z84" s="235"/>
      <c r="AA84" s="235"/>
      <c r="AB84" s="235"/>
      <c r="AC84" s="235"/>
      <c r="AD84" s="235"/>
      <c r="AE84" s="235"/>
    </row>
    <row r="85" spans="2:31" s="219" customFormat="1" ht="13.5">
      <c r="B85" s="224"/>
      <c r="C85" s="2265" t="s">
        <v>1907</v>
      </c>
      <c r="D85" s="218"/>
      <c r="E85" s="218"/>
      <c r="F85" s="218"/>
      <c r="G85" s="2266" t="s">
        <v>1908</v>
      </c>
      <c r="H85" s="848">
        <f>SUM(J85:AE85)</f>
        <v>432669.91143779905</v>
      </c>
      <c r="I85" s="218"/>
      <c r="J85" s="848">
        <f>J72+J74-J79</f>
        <v>0</v>
      </c>
      <c r="K85" s="848">
        <f>K72+K74-K79</f>
        <v>0</v>
      </c>
      <c r="L85" s="848">
        <f t="shared" ref="L85:AE85" si="13">L72+L74-L79</f>
        <v>0</v>
      </c>
      <c r="M85" s="848">
        <f t="shared" si="13"/>
        <v>0</v>
      </c>
      <c r="N85" s="848">
        <f t="shared" si="13"/>
        <v>0</v>
      </c>
      <c r="O85" s="848">
        <f t="shared" si="13"/>
        <v>-652.61925893875832</v>
      </c>
      <c r="P85" s="848">
        <f t="shared" si="13"/>
        <v>-13275.272923045477</v>
      </c>
      <c r="Q85" s="848">
        <f t="shared" si="13"/>
        <v>-4540.8309796071462</v>
      </c>
      <c r="R85" s="848">
        <f t="shared" si="13"/>
        <v>-3772.2104685200857</v>
      </c>
      <c r="S85" s="848">
        <f t="shared" si="13"/>
        <v>-4243.4630396185048</v>
      </c>
      <c r="T85" s="848">
        <f t="shared" si="13"/>
        <v>-10263.465347692647</v>
      </c>
      <c r="U85" s="848">
        <f t="shared" si="13"/>
        <v>-967.66016749293522</v>
      </c>
      <c r="V85" s="848">
        <f t="shared" si="13"/>
        <v>690.81685672172898</v>
      </c>
      <c r="W85" s="848">
        <f t="shared" si="13"/>
        <v>-325.52194382869857</v>
      </c>
      <c r="X85" s="848">
        <f t="shared" si="13"/>
        <v>-5561.7997075814146</v>
      </c>
      <c r="Y85" s="848">
        <f t="shared" si="13"/>
        <v>2649.4098505163392</v>
      </c>
      <c r="Z85" s="848">
        <f t="shared" si="13"/>
        <v>4334.7400619142509</v>
      </c>
      <c r="AA85" s="848">
        <f t="shared" si="13"/>
        <v>3136.9072934286423</v>
      </c>
      <c r="AB85" s="848">
        <f t="shared" si="13"/>
        <v>4848.2830197982303</v>
      </c>
      <c r="AC85" s="848">
        <f t="shared" si="13"/>
        <v>3606.380161497641</v>
      </c>
      <c r="AD85" s="848">
        <f t="shared" si="13"/>
        <v>457006.2180302479</v>
      </c>
      <c r="AE85" s="848">
        <f t="shared" si="13"/>
        <v>0</v>
      </c>
    </row>
    <row r="86" spans="2:31" s="219" customFormat="1">
      <c r="B86" s="220"/>
      <c r="C86" s="221"/>
      <c r="D86" s="221"/>
      <c r="E86" s="221"/>
      <c r="F86" s="221"/>
      <c r="G86" s="221"/>
      <c r="H86" s="240"/>
      <c r="I86" s="218"/>
      <c r="J86" s="241"/>
      <c r="K86" s="241"/>
      <c r="L86" s="241"/>
      <c r="M86" s="241"/>
      <c r="N86" s="241"/>
      <c r="O86" s="241"/>
      <c r="P86" s="241"/>
      <c r="Q86" s="241"/>
      <c r="R86" s="241"/>
      <c r="S86" s="241"/>
      <c r="T86" s="241"/>
      <c r="U86" s="241"/>
      <c r="V86" s="241"/>
      <c r="W86" s="241"/>
      <c r="X86" s="241"/>
      <c r="Y86" s="241"/>
      <c r="Z86" s="241"/>
      <c r="AA86" s="241"/>
      <c r="AB86" s="241"/>
      <c r="AC86" s="241"/>
      <c r="AD86" s="241"/>
      <c r="AE86" s="241"/>
    </row>
    <row r="87" spans="2:31" s="219" customFormat="1">
      <c r="B87" s="224"/>
      <c r="C87" s="218"/>
      <c r="D87" s="218"/>
      <c r="E87" s="218"/>
      <c r="F87" s="218"/>
      <c r="G87" s="218"/>
      <c r="H87" s="225"/>
      <c r="I87" s="218"/>
      <c r="J87" s="226"/>
      <c r="K87" s="226"/>
      <c r="L87" s="226"/>
      <c r="M87" s="226"/>
      <c r="N87" s="226"/>
      <c r="O87" s="226"/>
      <c r="P87" s="226"/>
      <c r="Q87" s="226"/>
      <c r="R87" s="226"/>
      <c r="S87" s="226"/>
      <c r="T87" s="226"/>
      <c r="U87" s="226"/>
      <c r="V87" s="226"/>
      <c r="W87" s="226"/>
      <c r="X87" s="226"/>
      <c r="Y87" s="226"/>
      <c r="Z87" s="226"/>
      <c r="AA87" s="226"/>
      <c r="AB87" s="226"/>
      <c r="AC87" s="226"/>
      <c r="AD87" s="226"/>
      <c r="AE87" s="226"/>
    </row>
    <row r="88" spans="2:31" s="219" customFormat="1" ht="13.5">
      <c r="B88" s="224"/>
      <c r="C88" s="218" t="s">
        <v>1909</v>
      </c>
      <c r="D88" s="218"/>
      <c r="E88" s="218"/>
      <c r="F88" s="218"/>
      <c r="G88" s="218"/>
      <c r="H88" s="225"/>
      <c r="I88" s="218"/>
      <c r="J88" s="226"/>
      <c r="K88" s="226"/>
      <c r="L88" s="226"/>
      <c r="M88" s="226"/>
      <c r="N88" s="226"/>
      <c r="O88" s="226"/>
      <c r="P88" s="226"/>
      <c r="Q88" s="226"/>
      <c r="R88" s="226"/>
      <c r="S88" s="226"/>
      <c r="T88" s="226"/>
      <c r="U88" s="226"/>
      <c r="V88" s="226"/>
      <c r="W88" s="226"/>
      <c r="X88" s="226"/>
      <c r="Y88" s="226"/>
      <c r="Z88" s="226"/>
      <c r="AA88" s="226"/>
      <c r="AB88" s="226"/>
      <c r="AC88" s="226"/>
      <c r="AD88" s="226"/>
      <c r="AE88" s="226"/>
    </row>
    <row r="89" spans="2:31" s="219" customFormat="1" outlineLevel="1">
      <c r="B89" s="224"/>
      <c r="C89" s="218"/>
      <c r="D89" s="218"/>
      <c r="E89" s="218"/>
      <c r="F89" s="218"/>
      <c r="G89" s="218"/>
      <c r="H89" s="225"/>
      <c r="I89" s="218"/>
      <c r="J89" s="226"/>
      <c r="K89" s="226"/>
      <c r="L89" s="226"/>
      <c r="M89" s="226"/>
      <c r="N89" s="226"/>
      <c r="O89" s="226"/>
      <c r="P89" s="226"/>
      <c r="Q89" s="226"/>
      <c r="R89" s="226"/>
      <c r="S89" s="226"/>
      <c r="T89" s="226"/>
      <c r="U89" s="226"/>
      <c r="V89" s="226"/>
      <c r="W89" s="226"/>
      <c r="X89" s="226"/>
      <c r="Y89" s="226"/>
      <c r="Z89" s="226"/>
      <c r="AA89" s="226"/>
      <c r="AB89" s="226"/>
      <c r="AC89" s="226"/>
      <c r="AD89" s="226"/>
      <c r="AE89" s="226"/>
    </row>
    <row r="90" spans="2:31" s="218" customFormat="1" ht="13.5" outlineLevel="1">
      <c r="B90" s="224"/>
      <c r="D90" s="2267" t="s">
        <v>1910</v>
      </c>
      <c r="E90" s="2267"/>
      <c r="F90" s="2267" t="s">
        <v>1911</v>
      </c>
      <c r="H90" s="848">
        <f t="shared" ref="H90:H101" si="14">SUM(J90:AE90)</f>
        <v>0</v>
      </c>
      <c r="J90" s="848">
        <f>IF(I$85+SUM(I$90:I90)&gt;0,IF(I$85+SUM(I$90:I91)&gt;0,0,I$85+SUM(I$90:I91)),I91)</f>
        <v>0</v>
      </c>
      <c r="K90" s="848">
        <f>IF(J$85+SUM(J$90:J90)&gt;0,IF(J$85+SUM(J$90:J91)&gt;0,0,J$85+SUM(J$90:J91)),J91)</f>
        <v>0</v>
      </c>
      <c r="L90" s="848">
        <f>IF(K$85+SUM(K$90:K90)&gt;0,IF(K$85+SUM(K$90:K91)&gt;0,0,K$85+SUM(K$90:K91)),K91)</f>
        <v>0</v>
      </c>
      <c r="M90" s="848">
        <f>IF(L$85+SUM(L$90:L90)&gt;0,IF(L$85+SUM(L$90:L91)&gt;0,0,L$85+SUM(L$90:L91)),L91)</f>
        <v>0</v>
      </c>
      <c r="N90" s="848">
        <f>IF(M$85+SUM(M$90:M90)&gt;0,IF(M$85+SUM(M$90:M91)&gt;0,0,M$85+SUM(M$90:M91)),M91)</f>
        <v>0</v>
      </c>
      <c r="O90" s="848">
        <f>IF(N$85+SUM(N$90:N90)&gt;0,IF(N$85+SUM(N$90:N91)&gt;0,0,N$85+SUM(N$90:N91)),N91)</f>
        <v>0</v>
      </c>
      <c r="P90" s="848">
        <f>IF(O$85+SUM(O$90:O90)&gt;0,IF(O$85+SUM(O$90:O91)&gt;0,0,O$85+SUM(O$90:O91)),O91)</f>
        <v>0</v>
      </c>
      <c r="Q90" s="848">
        <f>IF(P$85+SUM(P$90:P90)&gt;0,IF(P$85+SUM(P$90:P91)&gt;0,0,P$85+SUM(P$90:P91)),P91)</f>
        <v>0</v>
      </c>
      <c r="R90" s="848">
        <f>IF(Q$85+SUM(Q$90:Q90)&gt;0,IF(Q$85+SUM(Q$90:Q91)&gt;0,0,Q$85+SUM(Q$90:Q91)),Q91)</f>
        <v>0</v>
      </c>
      <c r="S90" s="848">
        <f>IF(R$85+SUM(R$90:R90)&gt;0,IF(R$85+SUM(R$90:R91)&gt;0,0,R$85+SUM(R$90:R91)),R91)</f>
        <v>0</v>
      </c>
      <c r="T90" s="848">
        <f>IF(S$85+SUM(S$90:S90)&gt;0,IF(S$85+SUM(S$90:S91)&gt;0,0,S$85+SUM(S$90:S91)),S91)</f>
        <v>0</v>
      </c>
      <c r="U90" s="848">
        <f>IF(T$85+SUM(T$90:T90)&gt;0,IF(T$85+SUM(T$90:T91)&gt;0,0,T$85+SUM(T$90:T91)),T91)</f>
        <v>0</v>
      </c>
      <c r="V90" s="848">
        <f>IF(U$85+SUM(U$90:U90)&gt;0,IF(U$85+SUM(U$90:U91)&gt;0,0,U$85+SUM(U$90:U91)),U91)</f>
        <v>0</v>
      </c>
      <c r="W90" s="848">
        <f>IF(V$85+SUM(V$90:V90)&gt;0,IF(V$85+SUM(V$90:V91)&gt;0,0,V$85+SUM(V$90:V91)),V91)</f>
        <v>0</v>
      </c>
      <c r="X90" s="848">
        <f>IF(W$85+SUM(W$90:W90)&gt;0,IF(W$85+SUM(W$90:W91)&gt;0,0,W$85+SUM(W$90:W91)),W91)</f>
        <v>0</v>
      </c>
      <c r="Y90" s="848">
        <f>IF(X$85+SUM(X$90:X90)&gt;0,IF(X$85+SUM(X$90:X91)&gt;0,0,X$85+SUM(X$90:X91)),X91)</f>
        <v>0</v>
      </c>
      <c r="Z90" s="848">
        <f>IF(Y$85+SUM(Y$90:Y90)&gt;0,IF(Y$85+SUM(Y$90:Y91)&gt;0,0,Y$85+SUM(Y$90:Y91)),Y91)</f>
        <v>0</v>
      </c>
      <c r="AA90" s="848">
        <f>IF(Z$85+SUM(Z$90:Z90)&gt;0,IF(Z$85+SUM(Z$90:Z91)&gt;0,0,Z$85+SUM(Z$90:Z91)),Z91)</f>
        <v>0</v>
      </c>
      <c r="AB90" s="848">
        <f>IF(AA$85+SUM(AA$90:AA90)&gt;0,IF(AA$85+SUM(AA$90:AA91)&gt;0,0,AA$85+SUM(AA$90:AA91)),AA91)</f>
        <v>0</v>
      </c>
      <c r="AC90" s="848">
        <f>IF(AB$85+SUM(AB$90:AB90)&gt;0,IF(AB$85+SUM(AB$90:AB91)&gt;0,0,AB$85+SUM(AB$90:AB91)),AB91)</f>
        <v>0</v>
      </c>
      <c r="AD90" s="848">
        <f>IF(AC$85+SUM(AC$90:AC90)&gt;0,IF(AC$85+SUM(AC$90:AC91)&gt;0,0,AC$85+SUM(AC$90:AC91)),AC91)</f>
        <v>0</v>
      </c>
      <c r="AE90" s="848">
        <f>IF(AD$85+SUM(AD$90:AD90)&gt;0,IF(AD$85+SUM(AD$90:AD91)&gt;0,0,AD$85+SUM(AD$90:AD91)),AD91)</f>
        <v>0</v>
      </c>
    </row>
    <row r="91" spans="2:31" s="218" customFormat="1" ht="13.5" outlineLevel="1">
      <c r="B91" s="224"/>
      <c r="D91" s="2267" t="s">
        <v>1912</v>
      </c>
      <c r="E91" s="2267"/>
      <c r="F91" s="2267" t="s">
        <v>1911</v>
      </c>
      <c r="H91" s="848">
        <f t="shared" si="14"/>
        <v>0</v>
      </c>
      <c r="J91" s="848">
        <f>IF(I$85+SUM(I$90:I91)&gt;0,IF(I$85+SUM(I$90:I92)&gt;0,0,I$85+SUM(I$90:I92)),I92)</f>
        <v>0</v>
      </c>
      <c r="K91" s="848">
        <f>IF(J$85+SUM(J$90:J91)&gt;0,IF(J$85+SUM(J$90:J92)&gt;0,0,J$85+SUM(J$90:J92)),J92)</f>
        <v>0</v>
      </c>
      <c r="L91" s="848">
        <f>IF(K$85+SUM(K$90:K91)&gt;0,IF(K$85+SUM(K$90:K92)&gt;0,0,K$85+SUM(K$90:K92)),K92)</f>
        <v>0</v>
      </c>
      <c r="M91" s="848">
        <f>IF(L$85+SUM(L$90:L91)&gt;0,IF(L$85+SUM(L$90:L92)&gt;0,0,L$85+SUM(L$90:L92)),L92)</f>
        <v>0</v>
      </c>
      <c r="N91" s="848">
        <f>IF(M$85+SUM(M$90:M91)&gt;0,IF(M$85+SUM(M$90:M92)&gt;0,0,M$85+SUM(M$90:M92)),M92)</f>
        <v>0</v>
      </c>
      <c r="O91" s="848">
        <f>IF(N$85+SUM(N$90:N91)&gt;0,IF(N$85+SUM(N$90:N92)&gt;0,0,N$85+SUM(N$90:N92)),N92)</f>
        <v>0</v>
      </c>
      <c r="P91" s="848">
        <f>IF(O$85+SUM(O$90:O91)&gt;0,IF(O$85+SUM(O$90:O92)&gt;0,0,O$85+SUM(O$90:O92)),O92)</f>
        <v>0</v>
      </c>
      <c r="Q91" s="848">
        <f>IF(P$85+SUM(P$90:P91)&gt;0,IF(P$85+SUM(P$90:P92)&gt;0,0,P$85+SUM(P$90:P92)),P92)</f>
        <v>0</v>
      </c>
      <c r="R91" s="848">
        <f>IF(Q$85+SUM(Q$90:Q91)&gt;0,IF(Q$85+SUM(Q$90:Q92)&gt;0,0,Q$85+SUM(Q$90:Q92)),Q92)</f>
        <v>0</v>
      </c>
      <c r="S91" s="848">
        <f>IF(R$85+SUM(R$90:R91)&gt;0,IF(R$85+SUM(R$90:R92)&gt;0,0,R$85+SUM(R$90:R92)),R92)</f>
        <v>0</v>
      </c>
      <c r="T91" s="848">
        <f>IF(S$85+SUM(S$90:S91)&gt;0,IF(S$85+SUM(S$90:S92)&gt;0,0,S$85+SUM(S$90:S92)),S92)</f>
        <v>0</v>
      </c>
      <c r="U91" s="848">
        <f>IF(T$85+SUM(T$90:T91)&gt;0,IF(T$85+SUM(T$90:T92)&gt;0,0,T$85+SUM(T$90:T92)),T92)</f>
        <v>0</v>
      </c>
      <c r="V91" s="848">
        <f>IF(U$85+SUM(U$90:U91)&gt;0,IF(U$85+SUM(U$90:U92)&gt;0,0,U$85+SUM(U$90:U92)),U92)</f>
        <v>0</v>
      </c>
      <c r="W91" s="848">
        <f>IF(V$85+SUM(V$90:V91)&gt;0,IF(V$85+SUM(V$90:V92)&gt;0,0,V$85+SUM(V$90:V92)),V92)</f>
        <v>0</v>
      </c>
      <c r="X91" s="848">
        <f>IF(W$85+SUM(W$90:W91)&gt;0,IF(W$85+SUM(W$90:W92)&gt;0,0,W$85+SUM(W$90:W92)),W92)</f>
        <v>0</v>
      </c>
      <c r="Y91" s="848">
        <f>IF(X$85+SUM(X$90:X91)&gt;0,IF(X$85+SUM(X$90:X92)&gt;0,0,X$85+SUM(X$90:X92)),X92)</f>
        <v>0</v>
      </c>
      <c r="Z91" s="848">
        <f>IF(Y$85+SUM(Y$90:Y91)&gt;0,IF(Y$85+SUM(Y$90:Y92)&gt;0,0,Y$85+SUM(Y$90:Y92)),Y92)</f>
        <v>0</v>
      </c>
      <c r="AA91" s="848">
        <f>IF(Z$85+SUM(Z$90:Z91)&gt;0,IF(Z$85+SUM(Z$90:Z92)&gt;0,0,Z$85+SUM(Z$90:Z92)),Z92)</f>
        <v>0</v>
      </c>
      <c r="AB91" s="848">
        <f>IF(AA$85+SUM(AA$90:AA91)&gt;0,IF(AA$85+SUM(AA$90:AA92)&gt;0,0,AA$85+SUM(AA$90:AA92)),AA92)</f>
        <v>0</v>
      </c>
      <c r="AC91" s="848">
        <f>IF(AB$85+SUM(AB$90:AB91)&gt;0,IF(AB$85+SUM(AB$90:AB92)&gt;0,0,AB$85+SUM(AB$90:AB92)),AB92)</f>
        <v>0</v>
      </c>
      <c r="AD91" s="848">
        <f>IF(AC$85+SUM(AC$90:AC91)&gt;0,IF(AC$85+SUM(AC$90:AC92)&gt;0,0,AC$85+SUM(AC$90:AC92)),AC92)</f>
        <v>0</v>
      </c>
      <c r="AE91" s="848">
        <f>IF(AD$85+SUM(AD$90:AD91)&gt;0,IF(AD$85+SUM(AD$90:AD92)&gt;0,0,AD$85+SUM(AD$90:AD92)),AD92)</f>
        <v>0</v>
      </c>
    </row>
    <row r="92" spans="2:31" s="218" customFormat="1" ht="13.5" outlineLevel="1">
      <c r="B92" s="224"/>
      <c r="D92" s="2267" t="s">
        <v>1913</v>
      </c>
      <c r="E92" s="2267"/>
      <c r="F92" s="2267" t="s">
        <v>1914</v>
      </c>
      <c r="H92" s="848">
        <f t="shared" si="14"/>
        <v>0</v>
      </c>
      <c r="J92" s="848">
        <f>IF(I$85+SUM(I$90:I92)&gt;0,IF(I$85+SUM(I$90:I93)&gt;0,0,I$85+SUM(I$90:I93)),I93)</f>
        <v>0</v>
      </c>
      <c r="K92" s="848">
        <f>IF(J$85+SUM(J$90:J92)&gt;0,IF(J$85+SUM(J$90:J93)&gt;0,0,J$85+SUM(J$90:J93)),J93)</f>
        <v>0</v>
      </c>
      <c r="L92" s="848">
        <f>IF(K$85+SUM(K$90:K92)&gt;0,IF(K$85+SUM(K$90:K93)&gt;0,0,K$85+SUM(K$90:K93)),K93)</f>
        <v>0</v>
      </c>
      <c r="M92" s="848">
        <f>IF(L$85+SUM(L$90:L92)&gt;0,IF(L$85+SUM(L$90:L93)&gt;0,0,L$85+SUM(L$90:L93)),L93)</f>
        <v>0</v>
      </c>
      <c r="N92" s="848">
        <f>IF(M$85+SUM(M$90:M92)&gt;0,IF(M$85+SUM(M$90:M93)&gt;0,0,M$85+SUM(M$90:M93)),M93)</f>
        <v>0</v>
      </c>
      <c r="O92" s="848">
        <f>IF(N$85+SUM(N$90:N92)&gt;0,IF(N$85+SUM(N$90:N93)&gt;0,0,N$85+SUM(N$90:N93)),N93)</f>
        <v>0</v>
      </c>
      <c r="P92" s="848">
        <f>IF(O$85+SUM(O$90:O92)&gt;0,IF(O$85+SUM(O$90:O93)&gt;0,0,O$85+SUM(O$90:O93)),O93)</f>
        <v>0</v>
      </c>
      <c r="Q92" s="848">
        <f>IF(P$85+SUM(P$90:P92)&gt;0,IF(P$85+SUM(P$90:P93)&gt;0,0,P$85+SUM(P$90:P93)),P93)</f>
        <v>0</v>
      </c>
      <c r="R92" s="848">
        <f>IF(Q$85+SUM(Q$90:Q92)&gt;0,IF(Q$85+SUM(Q$90:Q93)&gt;0,0,Q$85+SUM(Q$90:Q93)),Q93)</f>
        <v>0</v>
      </c>
      <c r="S92" s="848">
        <f>IF(R$85+SUM(R$90:R92)&gt;0,IF(R$85+SUM(R$90:R93)&gt;0,0,R$85+SUM(R$90:R93)),R93)</f>
        <v>0</v>
      </c>
      <c r="T92" s="848">
        <f>IF(S$85+SUM(S$90:S92)&gt;0,IF(S$85+SUM(S$90:S93)&gt;0,0,S$85+SUM(S$90:S93)),S93)</f>
        <v>0</v>
      </c>
      <c r="U92" s="848">
        <f>IF(T$85+SUM(T$90:T92)&gt;0,IF(T$85+SUM(T$90:T93)&gt;0,0,T$85+SUM(T$90:T93)),T93)</f>
        <v>0</v>
      </c>
      <c r="V92" s="848">
        <f>IF(U$85+SUM(U$90:U92)&gt;0,IF(U$85+SUM(U$90:U93)&gt;0,0,U$85+SUM(U$90:U93)),U93)</f>
        <v>0</v>
      </c>
      <c r="W92" s="848">
        <f>IF(V$85+SUM(V$90:V92)&gt;0,IF(V$85+SUM(V$90:V93)&gt;0,0,V$85+SUM(V$90:V93)),V93)</f>
        <v>0</v>
      </c>
      <c r="X92" s="848">
        <f>IF(W$85+SUM(W$90:W92)&gt;0,IF(W$85+SUM(W$90:W93)&gt;0,0,W$85+SUM(W$90:W93)),W93)</f>
        <v>0</v>
      </c>
      <c r="Y92" s="848">
        <f>IF(X$85+SUM(X$90:X92)&gt;0,IF(X$85+SUM(X$90:X93)&gt;0,0,X$85+SUM(X$90:X93)),X93)</f>
        <v>0</v>
      </c>
      <c r="Z92" s="848">
        <f>IF(Y$85+SUM(Y$90:Y92)&gt;0,IF(Y$85+SUM(Y$90:Y93)&gt;0,0,Y$85+SUM(Y$90:Y93)),Y93)</f>
        <v>0</v>
      </c>
      <c r="AA92" s="848">
        <f>IF(Z$85+SUM(Z$90:Z92)&gt;0,IF(Z$85+SUM(Z$90:Z93)&gt;0,0,Z$85+SUM(Z$90:Z93)),Z93)</f>
        <v>0</v>
      </c>
      <c r="AB92" s="848">
        <f>IF(AA$85+SUM(AA$90:AA92)&gt;0,IF(AA$85+SUM(AA$90:AA93)&gt;0,0,AA$85+SUM(AA$90:AA93)),AA93)</f>
        <v>0</v>
      </c>
      <c r="AC92" s="848">
        <f>IF(AB$85+SUM(AB$90:AB92)&gt;0,IF(AB$85+SUM(AB$90:AB93)&gt;0,0,AB$85+SUM(AB$90:AB93)),AB93)</f>
        <v>0</v>
      </c>
      <c r="AD92" s="848">
        <f>IF(AC$85+SUM(AC$90:AC92)&gt;0,IF(AC$85+SUM(AC$90:AC93)&gt;0,0,AC$85+SUM(AC$90:AC93)),AC93)</f>
        <v>0</v>
      </c>
      <c r="AE92" s="848">
        <f>IF(AD$85+SUM(AD$90:AD92)&gt;0,IF(AD$85+SUM(AD$90:AD93)&gt;0,0,AD$85+SUM(AD$90:AD93)),AD93)</f>
        <v>0</v>
      </c>
    </row>
    <row r="93" spans="2:31" s="218" customFormat="1" ht="13.5" outlineLevel="1">
      <c r="B93" s="224"/>
      <c r="D93" s="2267" t="s">
        <v>1915</v>
      </c>
      <c r="E93" s="2267"/>
      <c r="F93" s="2267" t="s">
        <v>1914</v>
      </c>
      <c r="H93" s="848">
        <f t="shared" si="14"/>
        <v>0</v>
      </c>
      <c r="J93" s="848">
        <f>IF(I$85+SUM(I$90:I93)&gt;0,IF(I$85+SUM(I$90:I94)&gt;0,0,I$85+SUM(I$90:I94)),I94)</f>
        <v>0</v>
      </c>
      <c r="K93" s="848">
        <f>IF(J$85+SUM(J$90:J93)&gt;0,IF(J$85+SUM(J$90:J94)&gt;0,0,J$85+SUM(J$90:J94)),J94)</f>
        <v>0</v>
      </c>
      <c r="L93" s="848">
        <f>IF(K$85+SUM(K$90:K93)&gt;0,IF(K$85+SUM(K$90:K94)&gt;0,0,K$85+SUM(K$90:K94)),K94)</f>
        <v>0</v>
      </c>
      <c r="M93" s="848">
        <f>IF(L$85+SUM(L$90:L93)&gt;0,IF(L$85+SUM(L$90:L94)&gt;0,0,L$85+SUM(L$90:L94)),L94)</f>
        <v>0</v>
      </c>
      <c r="N93" s="848">
        <f>IF(M$85+SUM(M$90:M93)&gt;0,IF(M$85+SUM(M$90:M94)&gt;0,0,M$85+SUM(M$90:M94)),M94)</f>
        <v>0</v>
      </c>
      <c r="O93" s="848">
        <f>IF(N$85+SUM(N$90:N93)&gt;0,IF(N$85+SUM(N$90:N94)&gt;0,0,N$85+SUM(N$90:N94)),N94)</f>
        <v>0</v>
      </c>
      <c r="P93" s="848">
        <f>IF(O$85+SUM(O$90:O93)&gt;0,IF(O$85+SUM(O$90:O94)&gt;0,0,O$85+SUM(O$90:O94)),O94)</f>
        <v>0</v>
      </c>
      <c r="Q93" s="848">
        <f>IF(P$85+SUM(P$90:P93)&gt;0,IF(P$85+SUM(P$90:P94)&gt;0,0,P$85+SUM(P$90:P94)),P94)</f>
        <v>0</v>
      </c>
      <c r="R93" s="848">
        <f>IF(Q$85+SUM(Q$90:Q93)&gt;0,IF(Q$85+SUM(Q$90:Q94)&gt;0,0,Q$85+SUM(Q$90:Q94)),Q94)</f>
        <v>0</v>
      </c>
      <c r="S93" s="848">
        <f>IF(R$85+SUM(R$90:R93)&gt;0,IF(R$85+SUM(R$90:R94)&gt;0,0,R$85+SUM(R$90:R94)),R94)</f>
        <v>0</v>
      </c>
      <c r="T93" s="848">
        <f>IF(S$85+SUM(S$90:S93)&gt;0,IF(S$85+SUM(S$90:S94)&gt;0,0,S$85+SUM(S$90:S94)),S94)</f>
        <v>0</v>
      </c>
      <c r="U93" s="848">
        <f>IF(T$85+SUM(T$90:T93)&gt;0,IF(T$85+SUM(T$90:T94)&gt;0,0,T$85+SUM(T$90:T94)),T94)</f>
        <v>0</v>
      </c>
      <c r="V93" s="848">
        <f>IF(U$85+SUM(U$90:U93)&gt;0,IF(U$85+SUM(U$90:U94)&gt;0,0,U$85+SUM(U$90:U94)),U94)</f>
        <v>0</v>
      </c>
      <c r="W93" s="848">
        <f>IF(V$85+SUM(V$90:V93)&gt;0,IF(V$85+SUM(V$90:V94)&gt;0,0,V$85+SUM(V$90:V94)),V94)</f>
        <v>0</v>
      </c>
      <c r="X93" s="848">
        <f>IF(W$85+SUM(W$90:W93)&gt;0,IF(W$85+SUM(W$90:W94)&gt;0,0,W$85+SUM(W$90:W94)),W94)</f>
        <v>0</v>
      </c>
      <c r="Y93" s="848">
        <f>IF(X$85+SUM(X$90:X93)&gt;0,IF(X$85+SUM(X$90:X94)&gt;0,0,X$85+SUM(X$90:X94)),X94)</f>
        <v>0</v>
      </c>
      <c r="Z93" s="848">
        <f>IF(Y$85+SUM(Y$90:Y93)&gt;0,IF(Y$85+SUM(Y$90:Y94)&gt;0,0,Y$85+SUM(Y$90:Y94)),Y94)</f>
        <v>0</v>
      </c>
      <c r="AA93" s="848">
        <f>IF(Z$85+SUM(Z$90:Z93)&gt;0,IF(Z$85+SUM(Z$90:Z94)&gt;0,0,Z$85+SUM(Z$90:Z94)),Z94)</f>
        <v>0</v>
      </c>
      <c r="AB93" s="848">
        <f>IF(AA$85+SUM(AA$90:AA93)&gt;0,IF(AA$85+SUM(AA$90:AA94)&gt;0,0,AA$85+SUM(AA$90:AA94)),AA94)</f>
        <v>0</v>
      </c>
      <c r="AC93" s="848">
        <f>IF(AB$85+SUM(AB$90:AB93)&gt;0,IF(AB$85+SUM(AB$90:AB94)&gt;0,0,AB$85+SUM(AB$90:AB94)),AB94)</f>
        <v>0</v>
      </c>
      <c r="AD93" s="848">
        <f>IF(AC$85+SUM(AC$90:AC93)&gt;0,IF(AC$85+SUM(AC$90:AC94)&gt;0,0,AC$85+SUM(AC$90:AC94)),AC94)</f>
        <v>0</v>
      </c>
      <c r="AE93" s="848">
        <f>IF(AD$85+SUM(AD$90:AD93)&gt;0,IF(AD$85+SUM(AD$90:AD94)&gt;0,0,AD$85+SUM(AD$90:AD94)),AD94)</f>
        <v>0</v>
      </c>
    </row>
    <row r="94" spans="2:31" s="218" customFormat="1" ht="13.5" outlineLevel="1">
      <c r="B94" s="224"/>
      <c r="D94" s="2267" t="s">
        <v>1916</v>
      </c>
      <c r="E94" s="2267"/>
      <c r="F94" s="2267" t="s">
        <v>1917</v>
      </c>
      <c r="H94" s="848">
        <f t="shared" si="14"/>
        <v>0</v>
      </c>
      <c r="J94" s="848">
        <f>IF(I$85+SUM(I$90:I94)&gt;0,IF(I$85+SUM(I$90:I95)&gt;0,0,I$85+SUM(I$90:I95)),I95)</f>
        <v>0</v>
      </c>
      <c r="K94" s="848">
        <f>IF(J$85+SUM(J$90:J94)&gt;0,IF(J$85+SUM(J$90:J95)&gt;0,0,J$85+SUM(J$90:J95)),J95)</f>
        <v>0</v>
      </c>
      <c r="L94" s="848">
        <f>IF(K$85+SUM(K$90:K94)&gt;0,IF(K$85+SUM(K$90:K95)&gt;0,0,K$85+SUM(K$90:K95)),K95)</f>
        <v>0</v>
      </c>
      <c r="M94" s="848">
        <f>IF(L$85+SUM(L$90:L94)&gt;0,IF(L$85+SUM(L$90:L95)&gt;0,0,L$85+SUM(L$90:L95)),L95)</f>
        <v>0</v>
      </c>
      <c r="N94" s="848">
        <f>IF(M$85+SUM(M$90:M94)&gt;0,IF(M$85+SUM(M$90:M95)&gt;0,0,M$85+SUM(M$90:M95)),M95)</f>
        <v>0</v>
      </c>
      <c r="O94" s="848">
        <f>IF(N$85+SUM(N$90:N94)&gt;0,IF(N$85+SUM(N$90:N95)&gt;0,0,N$85+SUM(N$90:N95)),N95)</f>
        <v>0</v>
      </c>
      <c r="P94" s="848">
        <f>IF(O$85+SUM(O$90:O94)&gt;0,IF(O$85+SUM(O$90:O95)&gt;0,0,O$85+SUM(O$90:O95)),O95)</f>
        <v>0</v>
      </c>
      <c r="Q94" s="848">
        <f>IF(P$85+SUM(P$90:P94)&gt;0,IF(P$85+SUM(P$90:P95)&gt;0,0,P$85+SUM(P$90:P95)),P95)</f>
        <v>0</v>
      </c>
      <c r="R94" s="848">
        <f>IF(Q$85+SUM(Q$90:Q94)&gt;0,IF(Q$85+SUM(Q$90:Q95)&gt;0,0,Q$85+SUM(Q$90:Q95)),Q95)</f>
        <v>0</v>
      </c>
      <c r="S94" s="848">
        <f>IF(R$85+SUM(R$90:R94)&gt;0,IF(R$85+SUM(R$90:R95)&gt;0,0,R$85+SUM(R$90:R95)),R95)</f>
        <v>0</v>
      </c>
      <c r="T94" s="848">
        <f>IF(S$85+SUM(S$90:S94)&gt;0,IF(S$85+SUM(S$90:S95)&gt;0,0,S$85+SUM(S$90:S95)),S95)</f>
        <v>0</v>
      </c>
      <c r="U94" s="848">
        <f>IF(T$85+SUM(T$90:T94)&gt;0,IF(T$85+SUM(T$90:T95)&gt;0,0,T$85+SUM(T$90:T95)),T95)</f>
        <v>0</v>
      </c>
      <c r="V94" s="848">
        <f>IF(U$85+SUM(U$90:U94)&gt;0,IF(U$85+SUM(U$90:U95)&gt;0,0,U$85+SUM(U$90:U95)),U95)</f>
        <v>0</v>
      </c>
      <c r="W94" s="848">
        <f>IF(V$85+SUM(V$90:V94)&gt;0,IF(V$85+SUM(V$90:V95)&gt;0,0,V$85+SUM(V$90:V95)),V95)</f>
        <v>0</v>
      </c>
      <c r="X94" s="848">
        <f>IF(W$85+SUM(W$90:W94)&gt;0,IF(W$85+SUM(W$90:W95)&gt;0,0,W$85+SUM(W$90:W95)),W95)</f>
        <v>0</v>
      </c>
      <c r="Y94" s="848">
        <f>IF(X$85+SUM(X$90:X94)&gt;0,IF(X$85+SUM(X$90:X95)&gt;0,0,X$85+SUM(X$90:X95)),X95)</f>
        <v>0</v>
      </c>
      <c r="Z94" s="848">
        <f>IF(Y$85+SUM(Y$90:Y94)&gt;0,IF(Y$85+SUM(Y$90:Y95)&gt;0,0,Y$85+SUM(Y$90:Y95)),Y95)</f>
        <v>0</v>
      </c>
      <c r="AA94" s="848">
        <f>IF(Z$85+SUM(Z$90:Z94)&gt;0,IF(Z$85+SUM(Z$90:Z95)&gt;0,0,Z$85+SUM(Z$90:Z95)),Z95)</f>
        <v>0</v>
      </c>
      <c r="AB94" s="848">
        <f>IF(AA$85+SUM(AA$90:AA94)&gt;0,IF(AA$85+SUM(AA$90:AA95)&gt;0,0,AA$85+SUM(AA$90:AA95)),AA95)</f>
        <v>0</v>
      </c>
      <c r="AC94" s="848">
        <f>IF(AB$85+SUM(AB$90:AB94)&gt;0,IF(AB$85+SUM(AB$90:AB95)&gt;0,0,AB$85+SUM(AB$90:AB95)),AB95)</f>
        <v>0</v>
      </c>
      <c r="AD94" s="848">
        <f>IF(AC$85+SUM(AC$90:AC94)&gt;0,IF(AC$85+SUM(AC$90:AC95)&gt;0,0,AC$85+SUM(AC$90:AC95)),AC95)</f>
        <v>0</v>
      </c>
      <c r="AE94" s="848">
        <f>IF(AD$85+SUM(AD$90:AD94)&gt;0,IF(AD$85+SUM(AD$90:AD95)&gt;0,0,AD$85+SUM(AD$90:AD95)),AD95)</f>
        <v>0</v>
      </c>
    </row>
    <row r="95" spans="2:31" s="218" customFormat="1" ht="13.5" outlineLevel="1">
      <c r="B95" s="224"/>
      <c r="D95" s="2267" t="s">
        <v>1918</v>
      </c>
      <c r="E95" s="2267"/>
      <c r="F95" s="2267" t="s">
        <v>1917</v>
      </c>
      <c r="H95" s="848">
        <f t="shared" si="14"/>
        <v>0</v>
      </c>
      <c r="J95" s="848">
        <f>IF(I$85+SUM(I$90:I95)&gt;0,IF(I$85+SUM(I$90:I96)&gt;0,0,I$85+SUM(I$90:I96)),I96)</f>
        <v>0</v>
      </c>
      <c r="K95" s="848">
        <f>IF(J$85+SUM(J$90:J95)&gt;0,IF(J$85+SUM(J$90:J96)&gt;0,0,J$85+SUM(J$90:J96)),J96)</f>
        <v>0</v>
      </c>
      <c r="L95" s="848">
        <f>IF(K$85+SUM(K$90:K95)&gt;0,IF(K$85+SUM(K$90:K96)&gt;0,0,K$85+SUM(K$90:K96)),K96)</f>
        <v>0</v>
      </c>
      <c r="M95" s="848">
        <f>IF(L$85+SUM(L$90:L95)&gt;0,IF(L$85+SUM(L$90:L96)&gt;0,0,L$85+SUM(L$90:L96)),L96)</f>
        <v>0</v>
      </c>
      <c r="N95" s="848">
        <f>IF(M$85+SUM(M$90:M95)&gt;0,IF(M$85+SUM(M$90:M96)&gt;0,0,M$85+SUM(M$90:M96)),M96)</f>
        <v>0</v>
      </c>
      <c r="O95" s="848">
        <f>IF(N$85+SUM(N$90:N95)&gt;0,IF(N$85+SUM(N$90:N96)&gt;0,0,N$85+SUM(N$90:N96)),N96)</f>
        <v>0</v>
      </c>
      <c r="P95" s="848">
        <f>IF(O$85+SUM(O$90:O95)&gt;0,IF(O$85+SUM(O$90:O96)&gt;0,0,O$85+SUM(O$90:O96)),O96)</f>
        <v>0</v>
      </c>
      <c r="Q95" s="848">
        <f>IF(P$85+SUM(P$90:P95)&gt;0,IF(P$85+SUM(P$90:P96)&gt;0,0,P$85+SUM(P$90:P96)),P96)</f>
        <v>0</v>
      </c>
      <c r="R95" s="848">
        <f>IF(Q$85+SUM(Q$90:Q95)&gt;0,IF(Q$85+SUM(Q$90:Q96)&gt;0,0,Q$85+SUM(Q$90:Q96)),Q96)</f>
        <v>0</v>
      </c>
      <c r="S95" s="848">
        <f>IF(R$85+SUM(R$90:R95)&gt;0,IF(R$85+SUM(R$90:R96)&gt;0,0,R$85+SUM(R$90:R96)),R96)</f>
        <v>0</v>
      </c>
      <c r="T95" s="848">
        <f>IF(S$85+SUM(S$90:S95)&gt;0,IF(S$85+SUM(S$90:S96)&gt;0,0,S$85+SUM(S$90:S96)),S96)</f>
        <v>0</v>
      </c>
      <c r="U95" s="848">
        <f>IF(T$85+SUM(T$90:T95)&gt;0,IF(T$85+SUM(T$90:T96)&gt;0,0,T$85+SUM(T$90:T96)),T96)</f>
        <v>0</v>
      </c>
      <c r="V95" s="848">
        <f>IF(U$85+SUM(U$90:U95)&gt;0,IF(U$85+SUM(U$90:U96)&gt;0,0,U$85+SUM(U$90:U96)),U96)</f>
        <v>0</v>
      </c>
      <c r="W95" s="848">
        <f>IF(V$85+SUM(V$90:V95)&gt;0,IF(V$85+SUM(V$90:V96)&gt;0,0,V$85+SUM(V$90:V96)),V96)</f>
        <v>0</v>
      </c>
      <c r="X95" s="848">
        <f>IF(W$85+SUM(W$90:W95)&gt;0,IF(W$85+SUM(W$90:W96)&gt;0,0,W$85+SUM(W$90:W96)),W96)</f>
        <v>0</v>
      </c>
      <c r="Y95" s="848">
        <f>IF(X$85+SUM(X$90:X95)&gt;0,IF(X$85+SUM(X$90:X96)&gt;0,0,X$85+SUM(X$90:X96)),X96)</f>
        <v>0</v>
      </c>
      <c r="Z95" s="848">
        <f>IF(Y$85+SUM(Y$90:Y95)&gt;0,IF(Y$85+SUM(Y$90:Y96)&gt;0,0,Y$85+SUM(Y$90:Y96)),Y96)</f>
        <v>0</v>
      </c>
      <c r="AA95" s="848">
        <f>IF(Z$85+SUM(Z$90:Z95)&gt;0,IF(Z$85+SUM(Z$90:Z96)&gt;0,0,Z$85+SUM(Z$90:Z96)),Z96)</f>
        <v>0</v>
      </c>
      <c r="AB95" s="848">
        <f>IF(AA$85+SUM(AA$90:AA95)&gt;0,IF(AA$85+SUM(AA$90:AA96)&gt;0,0,AA$85+SUM(AA$90:AA96)),AA96)</f>
        <v>0</v>
      </c>
      <c r="AC95" s="848">
        <f>IF(AB$85+SUM(AB$90:AB95)&gt;0,IF(AB$85+SUM(AB$90:AB96)&gt;0,0,AB$85+SUM(AB$90:AB96)),AB96)</f>
        <v>0</v>
      </c>
      <c r="AD95" s="848">
        <f>IF(AC$85+SUM(AC$90:AC95)&gt;0,IF(AC$85+SUM(AC$90:AC96)&gt;0,0,AC$85+SUM(AC$90:AC96)),AC96)</f>
        <v>0</v>
      </c>
      <c r="AE95" s="848">
        <f>IF(AD$85+SUM(AD$90:AD95)&gt;0,IF(AD$85+SUM(AD$90:AD96)&gt;0,0,AD$85+SUM(AD$90:AD96)),AD96)</f>
        <v>0</v>
      </c>
    </row>
    <row r="96" spans="2:31" s="218" customFormat="1" ht="13.5" outlineLevel="1">
      <c r="B96" s="224"/>
      <c r="D96" s="2267" t="s">
        <v>1919</v>
      </c>
      <c r="E96" s="2267"/>
      <c r="F96" s="2267" t="s">
        <v>1920</v>
      </c>
      <c r="H96" s="848">
        <f t="shared" si="14"/>
        <v>0</v>
      </c>
      <c r="J96" s="848">
        <f>IF(I$85+SUM(I$90:I96)&gt;0,IF(I$85+SUM(I$90:I97)&gt;0,0,I$85+SUM(I$90:I97)),I97)</f>
        <v>0</v>
      </c>
      <c r="K96" s="848">
        <f>IF(J$85+SUM(J$90:J96)&gt;0,IF(J$85+SUM(J$90:J97)&gt;0,0,J$85+SUM(J$90:J97)),J97)</f>
        <v>0</v>
      </c>
      <c r="L96" s="848">
        <f>IF(K$85+SUM(K$90:K96)&gt;0,IF(K$85+SUM(K$90:K97)&gt;0,0,K$85+SUM(K$90:K97)),K97)</f>
        <v>0</v>
      </c>
      <c r="M96" s="848">
        <f>IF(L$85+SUM(L$90:L96)&gt;0,IF(L$85+SUM(L$90:L97)&gt;0,0,L$85+SUM(L$90:L97)),L97)</f>
        <v>0</v>
      </c>
      <c r="N96" s="848">
        <f>IF(M$85+SUM(M$90:M96)&gt;0,IF(M$85+SUM(M$90:M97)&gt;0,0,M$85+SUM(M$90:M97)),M97)</f>
        <v>0</v>
      </c>
      <c r="O96" s="848">
        <f>IF(N$85+SUM(N$90:N96)&gt;0,IF(N$85+SUM(N$90:N97)&gt;0,0,N$85+SUM(N$90:N97)),N97)</f>
        <v>0</v>
      </c>
      <c r="P96" s="848">
        <f>IF(O$85+SUM(O$90:O96)&gt;0,IF(O$85+SUM(O$90:O97)&gt;0,0,O$85+SUM(O$90:O97)),O97)</f>
        <v>0</v>
      </c>
      <c r="Q96" s="848">
        <f>IF(P$85+SUM(P$90:P96)&gt;0,IF(P$85+SUM(P$90:P97)&gt;0,0,P$85+SUM(P$90:P97)),P97)</f>
        <v>0</v>
      </c>
      <c r="R96" s="848">
        <f>IF(Q$85+SUM(Q$90:Q96)&gt;0,IF(Q$85+SUM(Q$90:Q97)&gt;0,0,Q$85+SUM(Q$90:Q97)),Q97)</f>
        <v>0</v>
      </c>
      <c r="S96" s="848">
        <f>IF(R$85+SUM(R$90:R96)&gt;0,IF(R$85+SUM(R$90:R97)&gt;0,0,R$85+SUM(R$90:R97)),R97)</f>
        <v>0</v>
      </c>
      <c r="T96" s="848">
        <f>IF(S$85+SUM(S$90:S96)&gt;0,IF(S$85+SUM(S$90:S97)&gt;0,0,S$85+SUM(S$90:S97)),S97)</f>
        <v>0</v>
      </c>
      <c r="U96" s="848">
        <f>IF(T$85+SUM(T$90:T96)&gt;0,IF(T$85+SUM(T$90:T97)&gt;0,0,T$85+SUM(T$90:T97)),T97)</f>
        <v>0</v>
      </c>
      <c r="V96" s="848">
        <f>IF(U$85+SUM(U$90:U96)&gt;0,IF(U$85+SUM(U$90:U97)&gt;0,0,U$85+SUM(U$90:U97)),U97)</f>
        <v>0</v>
      </c>
      <c r="W96" s="848">
        <f>IF(V$85+SUM(V$90:V96)&gt;0,IF(V$85+SUM(V$90:V97)&gt;0,0,V$85+SUM(V$90:V97)),V97)</f>
        <v>0</v>
      </c>
      <c r="X96" s="848">
        <f>IF(W$85+SUM(W$90:W96)&gt;0,IF(W$85+SUM(W$90:W97)&gt;0,0,W$85+SUM(W$90:W97)),W97)</f>
        <v>0</v>
      </c>
      <c r="Y96" s="848">
        <f>IF(X$85+SUM(X$90:X96)&gt;0,IF(X$85+SUM(X$90:X97)&gt;0,0,X$85+SUM(X$90:X97)),X97)</f>
        <v>0</v>
      </c>
      <c r="Z96" s="848">
        <f>IF(Y$85+SUM(Y$90:Y96)&gt;0,IF(Y$85+SUM(Y$90:Y97)&gt;0,0,Y$85+SUM(Y$90:Y97)),Y97)</f>
        <v>0</v>
      </c>
      <c r="AA96" s="848">
        <f>IF(Z$85+SUM(Z$90:Z96)&gt;0,IF(Z$85+SUM(Z$90:Z97)&gt;0,0,Z$85+SUM(Z$90:Z97)),Z97)</f>
        <v>0</v>
      </c>
      <c r="AB96" s="848">
        <f>IF(AA$85+SUM(AA$90:AA96)&gt;0,IF(AA$85+SUM(AA$90:AA97)&gt;0,0,AA$85+SUM(AA$90:AA97)),AA97)</f>
        <v>0</v>
      </c>
      <c r="AC96" s="848">
        <f>IF(AB$85+SUM(AB$90:AB96)&gt;0,IF(AB$85+SUM(AB$90:AB97)&gt;0,0,AB$85+SUM(AB$90:AB97)),AB97)</f>
        <v>0</v>
      </c>
      <c r="AD96" s="848">
        <f>IF(AC$85+SUM(AC$90:AC96)&gt;0,IF(AC$85+SUM(AC$90:AC97)&gt;0,0,AC$85+SUM(AC$90:AC97)),AC97)</f>
        <v>0</v>
      </c>
      <c r="AE96" s="848">
        <f>IF(AD$85+SUM(AD$90:AD96)&gt;0,IF(AD$85+SUM(AD$90:AD97)&gt;0,0,AD$85+SUM(AD$90:AD97)),AD97)</f>
        <v>0</v>
      </c>
    </row>
    <row r="97" spans="2:31" s="218" customFormat="1" ht="13.5" outlineLevel="1">
      <c r="B97" s="224"/>
      <c r="D97" s="2267" t="s">
        <v>1921</v>
      </c>
      <c r="E97" s="2267"/>
      <c r="F97" s="2267" t="s">
        <v>1920</v>
      </c>
      <c r="H97" s="848">
        <f t="shared" si="14"/>
        <v>0</v>
      </c>
      <c r="J97" s="848">
        <f>IF(I$85+SUM(I$90:I97)&gt;0,IF(I$85+SUM(I$90:I98)&gt;0,0,I$85+SUM(I$90:I98)),I98)</f>
        <v>0</v>
      </c>
      <c r="K97" s="848">
        <f>IF(J$85+SUM(J$90:J97)&gt;0,IF(J$85+SUM(J$90:J98)&gt;0,0,J$85+SUM(J$90:J98)),J98)</f>
        <v>0</v>
      </c>
      <c r="L97" s="848">
        <f>IF(K$85+SUM(K$90:K97)&gt;0,IF(K$85+SUM(K$90:K98)&gt;0,0,K$85+SUM(K$90:K98)),K98)</f>
        <v>0</v>
      </c>
      <c r="M97" s="848">
        <f>IF(L$85+SUM(L$90:L97)&gt;0,IF(L$85+SUM(L$90:L98)&gt;0,0,L$85+SUM(L$90:L98)),L98)</f>
        <v>0</v>
      </c>
      <c r="N97" s="848">
        <f>IF(M$85+SUM(M$90:M97)&gt;0,IF(M$85+SUM(M$90:M98)&gt;0,0,M$85+SUM(M$90:M98)),M98)</f>
        <v>0</v>
      </c>
      <c r="O97" s="848">
        <f>IF(N$85+SUM(N$90:N97)&gt;0,IF(N$85+SUM(N$90:N98)&gt;0,0,N$85+SUM(N$90:N98)),N98)</f>
        <v>0</v>
      </c>
      <c r="P97" s="848">
        <f>IF(O$85+SUM(O$90:O97)&gt;0,IF(O$85+SUM(O$90:O98)&gt;0,0,O$85+SUM(O$90:O98)),O98)</f>
        <v>0</v>
      </c>
      <c r="Q97" s="848">
        <f>IF(P$85+SUM(P$90:P97)&gt;0,IF(P$85+SUM(P$90:P98)&gt;0,0,P$85+SUM(P$90:P98)),P98)</f>
        <v>0</v>
      </c>
      <c r="R97" s="848">
        <f>IF(Q$85+SUM(Q$90:Q97)&gt;0,IF(Q$85+SUM(Q$90:Q98)&gt;0,0,Q$85+SUM(Q$90:Q98)),Q98)</f>
        <v>0</v>
      </c>
      <c r="S97" s="848">
        <f>IF(R$85+SUM(R$90:R97)&gt;0,IF(R$85+SUM(R$90:R98)&gt;0,0,R$85+SUM(R$90:R98)),R98)</f>
        <v>0</v>
      </c>
      <c r="T97" s="848">
        <f>IF(S$85+SUM(S$90:S97)&gt;0,IF(S$85+SUM(S$90:S98)&gt;0,0,S$85+SUM(S$90:S98)),S98)</f>
        <v>0</v>
      </c>
      <c r="U97" s="848">
        <f>IF(T$85+SUM(T$90:T97)&gt;0,IF(T$85+SUM(T$90:T98)&gt;0,0,T$85+SUM(T$90:T98)),T98)</f>
        <v>0</v>
      </c>
      <c r="V97" s="848">
        <f>IF(U$85+SUM(U$90:U97)&gt;0,IF(U$85+SUM(U$90:U98)&gt;0,0,U$85+SUM(U$90:U98)),U98)</f>
        <v>0</v>
      </c>
      <c r="W97" s="848">
        <f>IF(V$85+SUM(V$90:V97)&gt;0,IF(V$85+SUM(V$90:V98)&gt;0,0,V$85+SUM(V$90:V98)),V98)</f>
        <v>0</v>
      </c>
      <c r="X97" s="848">
        <f>IF(W$85+SUM(W$90:W97)&gt;0,IF(W$85+SUM(W$90:W98)&gt;0,0,W$85+SUM(W$90:W98)),W98)</f>
        <v>0</v>
      </c>
      <c r="Y97" s="848">
        <f>IF(X$85+SUM(X$90:X97)&gt;0,IF(X$85+SUM(X$90:X98)&gt;0,0,X$85+SUM(X$90:X98)),X98)</f>
        <v>0</v>
      </c>
      <c r="Z97" s="848">
        <f>IF(Y$85+SUM(Y$90:Y97)&gt;0,IF(Y$85+SUM(Y$90:Y98)&gt;0,0,Y$85+SUM(Y$90:Y98)),Y98)</f>
        <v>0</v>
      </c>
      <c r="AA97" s="848">
        <f>IF(Z$85+SUM(Z$90:Z97)&gt;0,IF(Z$85+SUM(Z$90:Z98)&gt;0,0,Z$85+SUM(Z$90:Z98)),Z98)</f>
        <v>0</v>
      </c>
      <c r="AB97" s="848">
        <f>IF(AA$85+SUM(AA$90:AA97)&gt;0,IF(AA$85+SUM(AA$90:AA98)&gt;0,0,AA$85+SUM(AA$90:AA98)),AA98)</f>
        <v>0</v>
      </c>
      <c r="AC97" s="848">
        <f>IF(AB$85+SUM(AB$90:AB97)&gt;0,IF(AB$85+SUM(AB$90:AB98)&gt;0,0,AB$85+SUM(AB$90:AB98)),AB98)</f>
        <v>0</v>
      </c>
      <c r="AD97" s="848">
        <f>IF(AC$85+SUM(AC$90:AC97)&gt;0,IF(AC$85+SUM(AC$90:AC98)&gt;0,0,AC$85+SUM(AC$90:AC98)),AC98)</f>
        <v>0</v>
      </c>
      <c r="AE97" s="848">
        <f>IF(AD$85+SUM(AD$90:AD97)&gt;0,IF(AD$85+SUM(AD$90:AD98)&gt;0,0,AD$85+SUM(AD$90:AD98)),AD98)</f>
        <v>0</v>
      </c>
    </row>
    <row r="98" spans="2:31" s="218" customFormat="1" ht="13.5" outlineLevel="1">
      <c r="B98" s="224"/>
      <c r="D98" s="2267" t="s">
        <v>1922</v>
      </c>
      <c r="E98" s="2267"/>
      <c r="F98" s="2267" t="s">
        <v>1923</v>
      </c>
      <c r="H98" s="848">
        <f t="shared" si="14"/>
        <v>0</v>
      </c>
      <c r="J98" s="848">
        <f>IF(I$85+SUM(I$90:I98)&gt;0,IF(I$85+SUM(I$90:I99)&gt;0,0,I$85+SUM(I$90:I99)),I99)</f>
        <v>0</v>
      </c>
      <c r="K98" s="848">
        <f>IF(J$85+SUM(J$90:J98)&gt;0,IF(J$85+SUM(J$90:J99)&gt;0,0,J$85+SUM(J$90:J99)),J99)</f>
        <v>0</v>
      </c>
      <c r="L98" s="848">
        <f>IF(K$85+SUM(K$90:K98)&gt;0,IF(K$85+SUM(K$90:K99)&gt;0,0,K$85+SUM(K$90:K99)),K99)</f>
        <v>0</v>
      </c>
      <c r="M98" s="848">
        <f>IF(L$85+SUM(L$90:L98)&gt;0,IF(L$85+SUM(L$90:L99)&gt;0,0,L$85+SUM(L$90:L99)),L99)</f>
        <v>0</v>
      </c>
      <c r="N98" s="848">
        <f>IF(M$85+SUM(M$90:M98)&gt;0,IF(M$85+SUM(M$90:M99)&gt;0,0,M$85+SUM(M$90:M99)),M99)</f>
        <v>0</v>
      </c>
      <c r="O98" s="848">
        <f>IF(N$85+SUM(N$90:N98)&gt;0,IF(N$85+SUM(N$90:N99)&gt;0,0,N$85+SUM(N$90:N99)),N99)</f>
        <v>0</v>
      </c>
      <c r="P98" s="848">
        <f>IF(O$85+SUM(O$90:O98)&gt;0,IF(O$85+SUM(O$90:O99)&gt;0,0,O$85+SUM(O$90:O99)),O99)</f>
        <v>0</v>
      </c>
      <c r="Q98" s="848">
        <f>IF(P$85+SUM(P$90:P98)&gt;0,IF(P$85+SUM(P$90:P99)&gt;0,0,P$85+SUM(P$90:P99)),P99)</f>
        <v>0</v>
      </c>
      <c r="R98" s="848">
        <f>IF(Q$85+SUM(Q$90:Q98)&gt;0,IF(Q$85+SUM(Q$90:Q99)&gt;0,0,Q$85+SUM(Q$90:Q99)),Q99)</f>
        <v>0</v>
      </c>
      <c r="S98" s="848">
        <f>IF(R$85+SUM(R$90:R98)&gt;0,IF(R$85+SUM(R$90:R99)&gt;0,0,R$85+SUM(R$90:R99)),R99)</f>
        <v>0</v>
      </c>
      <c r="T98" s="848">
        <f>IF(S$85+SUM(S$90:S98)&gt;0,IF(S$85+SUM(S$90:S99)&gt;0,0,S$85+SUM(S$90:S99)),S99)</f>
        <v>0</v>
      </c>
      <c r="U98" s="848">
        <f>IF(T$85+SUM(T$90:T98)&gt;0,IF(T$85+SUM(T$90:T99)&gt;0,0,T$85+SUM(T$90:T99)),T99)</f>
        <v>0</v>
      </c>
      <c r="V98" s="848">
        <f>IF(U$85+SUM(U$90:U98)&gt;0,IF(U$85+SUM(U$90:U99)&gt;0,0,U$85+SUM(U$90:U99)),U99)</f>
        <v>0</v>
      </c>
      <c r="W98" s="848">
        <f>IF(V$85+SUM(V$90:V98)&gt;0,IF(V$85+SUM(V$90:V99)&gt;0,0,V$85+SUM(V$90:V99)),V99)</f>
        <v>0</v>
      </c>
      <c r="X98" s="848">
        <f>IF(W$85+SUM(W$90:W98)&gt;0,IF(W$85+SUM(W$90:W99)&gt;0,0,W$85+SUM(W$90:W99)),W99)</f>
        <v>0</v>
      </c>
      <c r="Y98" s="848">
        <f>IF(X$85+SUM(X$90:X98)&gt;0,IF(X$85+SUM(X$90:X99)&gt;0,0,X$85+SUM(X$90:X99)),X99)</f>
        <v>0</v>
      </c>
      <c r="Z98" s="848">
        <f>IF(Y$85+SUM(Y$90:Y98)&gt;0,IF(Y$85+SUM(Y$90:Y99)&gt;0,0,Y$85+SUM(Y$90:Y99)),Y99)</f>
        <v>0</v>
      </c>
      <c r="AA98" s="848">
        <f>IF(Z$85+SUM(Z$90:Z98)&gt;0,IF(Z$85+SUM(Z$90:Z99)&gt;0,0,Z$85+SUM(Z$90:Z99)),Z99)</f>
        <v>0</v>
      </c>
      <c r="AB98" s="848">
        <f>IF(AA$85+SUM(AA$90:AA98)&gt;0,IF(AA$85+SUM(AA$90:AA99)&gt;0,0,AA$85+SUM(AA$90:AA99)),AA99)</f>
        <v>0</v>
      </c>
      <c r="AC98" s="848">
        <f>IF(AB$85+SUM(AB$90:AB98)&gt;0,IF(AB$85+SUM(AB$90:AB99)&gt;0,0,AB$85+SUM(AB$90:AB99)),AB99)</f>
        <v>0</v>
      </c>
      <c r="AD98" s="848">
        <f>IF(AC$85+SUM(AC$90:AC98)&gt;0,IF(AC$85+SUM(AC$90:AC99)&gt;0,0,AC$85+SUM(AC$90:AC99)),AC99)</f>
        <v>0</v>
      </c>
      <c r="AE98" s="848">
        <f>IF(AD$85+SUM(AD$90:AD98)&gt;0,IF(AD$85+SUM(AD$90:AD99)&gt;0,0,AD$85+SUM(AD$90:AD99)),AD99)</f>
        <v>0</v>
      </c>
    </row>
    <row r="99" spans="2:31" s="218" customFormat="1" ht="13.5" outlineLevel="1">
      <c r="B99" s="224"/>
      <c r="D99" s="2267" t="s">
        <v>1924</v>
      </c>
      <c r="E99" s="2267"/>
      <c r="F99" s="2267" t="s">
        <v>1923</v>
      </c>
      <c r="H99" s="848">
        <f t="shared" si="14"/>
        <v>0</v>
      </c>
      <c r="J99" s="848">
        <f>IF(I$85+SUM(I$90:I99)&gt;0,IF(I$85+SUM(I$90:I100)&gt;0,0,I$85+SUM(I$90:I100)),I100)</f>
        <v>0</v>
      </c>
      <c r="K99" s="848">
        <f>IF(J$85+SUM(J$90:J99)&gt;0,IF(J$85+SUM(J$90:J100)&gt;0,0,J$85+SUM(J$90:J100)),J100)</f>
        <v>0</v>
      </c>
      <c r="L99" s="848">
        <f>IF(K$85+SUM(K$90:K99)&gt;0,IF(K$85+SUM(K$90:K100)&gt;0,0,K$85+SUM(K$90:K100)),K100)</f>
        <v>0</v>
      </c>
      <c r="M99" s="848">
        <f>IF(L$85+SUM(L$90:L99)&gt;0,IF(L$85+SUM(L$90:L100)&gt;0,0,L$85+SUM(L$90:L100)),L100)</f>
        <v>0</v>
      </c>
      <c r="N99" s="848">
        <f>IF(M$85+SUM(M$90:M99)&gt;0,IF(M$85+SUM(M$90:M100)&gt;0,0,M$85+SUM(M$90:M100)),M100)</f>
        <v>0</v>
      </c>
      <c r="O99" s="848">
        <f>IF(N$85+SUM(N$90:N99)&gt;0,IF(N$85+SUM(N$90:N100)&gt;0,0,N$85+SUM(N$90:N100)),N100)</f>
        <v>0</v>
      </c>
      <c r="P99" s="848">
        <f>IF(O$85+SUM(O$90:O99)&gt;0,IF(O$85+SUM(O$90:O100)&gt;0,0,O$85+SUM(O$90:O100)),O100)</f>
        <v>0</v>
      </c>
      <c r="Q99" s="848">
        <f>IF(P$85+SUM(P$90:P99)&gt;0,IF(P$85+SUM(P$90:P100)&gt;0,0,P$85+SUM(P$90:P100)),P100)</f>
        <v>0</v>
      </c>
      <c r="R99" s="848">
        <f>IF(Q$85+SUM(Q$90:Q99)&gt;0,IF(Q$85+SUM(Q$90:Q100)&gt;0,0,Q$85+SUM(Q$90:Q100)),Q100)</f>
        <v>0</v>
      </c>
      <c r="S99" s="848">
        <f>IF(R$85+SUM(R$90:R99)&gt;0,IF(R$85+SUM(R$90:R100)&gt;0,0,R$85+SUM(R$90:R100)),R100)</f>
        <v>0</v>
      </c>
      <c r="T99" s="848">
        <f>IF(S$85+SUM(S$90:S99)&gt;0,IF(S$85+SUM(S$90:S100)&gt;0,0,S$85+SUM(S$90:S100)),S100)</f>
        <v>0</v>
      </c>
      <c r="U99" s="848">
        <f>IF(T$85+SUM(T$90:T99)&gt;0,IF(T$85+SUM(T$90:T100)&gt;0,0,T$85+SUM(T$90:T100)),T100)</f>
        <v>0</v>
      </c>
      <c r="V99" s="848">
        <f>IF(U$85+SUM(U$90:U99)&gt;0,IF(U$85+SUM(U$90:U100)&gt;0,0,U$85+SUM(U$90:U100)),U100)</f>
        <v>0</v>
      </c>
      <c r="W99" s="848">
        <f>IF(V$85+SUM(V$90:V99)&gt;0,IF(V$85+SUM(V$90:V100)&gt;0,0,V$85+SUM(V$90:V100)),V100)</f>
        <v>0</v>
      </c>
      <c r="X99" s="848">
        <f>IF(W$85+SUM(W$90:W99)&gt;0,IF(W$85+SUM(W$90:W100)&gt;0,0,W$85+SUM(W$90:W100)),W100)</f>
        <v>0</v>
      </c>
      <c r="Y99" s="848">
        <f>IF(X$85+SUM(X$90:X99)&gt;0,IF(X$85+SUM(X$90:X100)&gt;0,0,X$85+SUM(X$90:X100)),X100)</f>
        <v>0</v>
      </c>
      <c r="Z99" s="848">
        <f>IF(Y$85+SUM(Y$90:Y99)&gt;0,IF(Y$85+SUM(Y$90:Y100)&gt;0,0,Y$85+SUM(Y$90:Y100)),Y100)</f>
        <v>0</v>
      </c>
      <c r="AA99" s="848">
        <f>IF(Z$85+SUM(Z$90:Z99)&gt;0,IF(Z$85+SUM(Z$90:Z100)&gt;0,0,Z$85+SUM(Z$90:Z100)),Z100)</f>
        <v>0</v>
      </c>
      <c r="AB99" s="848">
        <f>IF(AA$85+SUM(AA$90:AA99)&gt;0,IF(AA$85+SUM(AA$90:AA100)&gt;0,0,AA$85+SUM(AA$90:AA100)),AA100)</f>
        <v>0</v>
      </c>
      <c r="AC99" s="848">
        <f>IF(AB$85+SUM(AB$90:AB99)&gt;0,IF(AB$85+SUM(AB$90:AB100)&gt;0,0,AB$85+SUM(AB$90:AB100)),AB100)</f>
        <v>0</v>
      </c>
      <c r="AD99" s="848">
        <f>IF(AC$85+SUM(AC$90:AC99)&gt;0,IF(AC$85+SUM(AC$90:AC100)&gt;0,0,AC$85+SUM(AC$90:AC100)),AC100)</f>
        <v>0</v>
      </c>
      <c r="AE99" s="848">
        <f>IF(AD$85+SUM(AD$90:AD99)&gt;0,IF(AD$85+SUM(AD$90:AD100)&gt;0,0,AD$85+SUM(AD$90:AD100)),AD100)</f>
        <v>0</v>
      </c>
    </row>
    <row r="100" spans="2:31" s="218" customFormat="1" ht="13.5" outlineLevel="1">
      <c r="B100" s="224"/>
      <c r="D100" s="2267" t="s">
        <v>1925</v>
      </c>
      <c r="E100" s="2267"/>
      <c r="F100" s="2267" t="s">
        <v>1926</v>
      </c>
      <c r="H100" s="848">
        <f t="shared" si="14"/>
        <v>0</v>
      </c>
      <c r="J100" s="848">
        <f>IF(I$85+SUM(I$90:I100)&gt;0,IF(I$85+SUM(I$90:I101)&gt;0,0,I$85+SUM(I$90:I101)),I101)</f>
        <v>0</v>
      </c>
      <c r="K100" s="848">
        <f>IF(J$85+SUM(J$90:J100)&gt;0,IF(J$85+SUM(J$90:J101)&gt;0,0,J$85+SUM(J$90:J101)),J101)</f>
        <v>0</v>
      </c>
      <c r="L100" s="848">
        <f>IF(K$85+SUM(K$90:K100)&gt;0,IF(K$85+SUM(K$90:K101)&gt;0,0,K$85+SUM(K$90:K101)),K101)</f>
        <v>0</v>
      </c>
      <c r="M100" s="848">
        <f>IF(L$85+SUM(L$90:L100)&gt;0,IF(L$85+SUM(L$90:L101)&gt;0,0,L$85+SUM(L$90:L101)),L101)</f>
        <v>0</v>
      </c>
      <c r="N100" s="848">
        <f>IF(M$85+SUM(M$90:M100)&gt;0,IF(M$85+SUM(M$90:M101)&gt;0,0,M$85+SUM(M$90:M101)),M101)</f>
        <v>0</v>
      </c>
      <c r="O100" s="848">
        <f>IF(N$85+SUM(N$90:N100)&gt;0,IF(N$85+SUM(N$90:N101)&gt;0,0,N$85+SUM(N$90:N101)),N101)</f>
        <v>0</v>
      </c>
      <c r="P100" s="848">
        <f>IF(O$85+SUM(O$90:O100)&gt;0,IF(O$85+SUM(O$90:O101)&gt;0,0,O$85+SUM(O$90:O101)),O101)</f>
        <v>0</v>
      </c>
      <c r="Q100" s="848">
        <f>IF(P$85+SUM(P$90:P100)&gt;0,IF(P$85+SUM(P$90:P101)&gt;0,0,P$85+SUM(P$90:P101)),P101)</f>
        <v>0</v>
      </c>
      <c r="R100" s="848">
        <f>IF(Q$85+SUM(Q$90:Q100)&gt;0,IF(Q$85+SUM(Q$90:Q101)&gt;0,0,Q$85+SUM(Q$90:Q101)),Q101)</f>
        <v>0</v>
      </c>
      <c r="S100" s="848">
        <f>IF(R$85+SUM(R$90:R100)&gt;0,IF(R$85+SUM(R$90:R101)&gt;0,0,R$85+SUM(R$90:R101)),R101)</f>
        <v>0</v>
      </c>
      <c r="T100" s="848">
        <f>IF(S$85+SUM(S$90:S100)&gt;0,IF(S$85+SUM(S$90:S101)&gt;0,0,S$85+SUM(S$90:S101)),S101)</f>
        <v>0</v>
      </c>
      <c r="U100" s="848">
        <f>IF(T$85+SUM(T$90:T100)&gt;0,IF(T$85+SUM(T$90:T101)&gt;0,0,T$85+SUM(T$90:T101)),T101)</f>
        <v>0</v>
      </c>
      <c r="V100" s="848">
        <f>IF(U$85+SUM(U$90:U100)&gt;0,IF(U$85+SUM(U$90:U101)&gt;0,0,U$85+SUM(U$90:U101)),U101)</f>
        <v>0</v>
      </c>
      <c r="W100" s="848">
        <f>IF(V$85+SUM(V$90:V100)&gt;0,IF(V$85+SUM(V$90:V101)&gt;0,0,V$85+SUM(V$90:V101)),V101)</f>
        <v>0</v>
      </c>
      <c r="X100" s="848">
        <f>IF(W$85+SUM(W$90:W100)&gt;0,IF(W$85+SUM(W$90:W101)&gt;0,0,W$85+SUM(W$90:W101)),W101)</f>
        <v>0</v>
      </c>
      <c r="Y100" s="848">
        <f>IF(X$85+SUM(X$90:X100)&gt;0,IF(X$85+SUM(X$90:X101)&gt;0,0,X$85+SUM(X$90:X101)),X101)</f>
        <v>0</v>
      </c>
      <c r="Z100" s="848">
        <f>IF(Y$85+SUM(Y$90:Y100)&gt;0,IF(Y$85+SUM(Y$90:Y101)&gt;0,0,Y$85+SUM(Y$90:Y101)),Y101)</f>
        <v>0</v>
      </c>
      <c r="AA100" s="848">
        <f>IF(Z$85+SUM(Z$90:Z100)&gt;0,IF(Z$85+SUM(Z$90:Z101)&gt;0,0,Z$85+SUM(Z$90:Z101)),Z101)</f>
        <v>0</v>
      </c>
      <c r="AB100" s="848">
        <f>IF(AA$85+SUM(AA$90:AA100)&gt;0,IF(AA$85+SUM(AA$90:AA101)&gt;0,0,AA$85+SUM(AA$90:AA101)),AA101)</f>
        <v>0</v>
      </c>
      <c r="AC100" s="848">
        <f>IF(AB$85+SUM(AB$90:AB100)&gt;0,IF(AB$85+SUM(AB$90:AB101)&gt;0,0,AB$85+SUM(AB$90:AB101)),AB101)</f>
        <v>0</v>
      </c>
      <c r="AD100" s="848">
        <f>IF(AC$85+SUM(AC$90:AC100)&gt;0,IF(AC$85+SUM(AC$90:AC101)&gt;0,0,AC$85+SUM(AC$90:AC101)),AC101)</f>
        <v>0</v>
      </c>
      <c r="AE100" s="848">
        <f>IF(AD$85+SUM(AD$90:AD100)&gt;0,IF(AD$85+SUM(AD$90:AD101)&gt;0,0,AD$85+SUM(AD$90:AD101)),AD101)</f>
        <v>0</v>
      </c>
    </row>
    <row r="101" spans="2:31" s="218" customFormat="1" ht="13.5" outlineLevel="1">
      <c r="B101" s="224"/>
      <c r="D101" s="2267" t="s">
        <v>1927</v>
      </c>
      <c r="E101" s="2267"/>
      <c r="F101" s="2267" t="s">
        <v>1926</v>
      </c>
      <c r="H101" s="848">
        <f t="shared" si="14"/>
        <v>0</v>
      </c>
      <c r="J101" s="848">
        <f>IF(I$85+SUM(I$90:I101)&gt;0,IF(I$85+SUM(I$90:I102)&gt;0,0,I$85+SUM(I$90:I102)),I102)</f>
        <v>0</v>
      </c>
      <c r="K101" s="848">
        <f>IF(J$85+SUM(J$90:J101)&gt;0,IF(J$85+SUM(J$90:J102)&gt;0,0,J$85+SUM(J$90:J102)),J102)</f>
        <v>0</v>
      </c>
      <c r="L101" s="848">
        <f>IF(K$85+SUM(K$90:K101)&gt;0,IF(K$85+SUM(K$90:K102)&gt;0,0,K$85+SUM(K$90:K102)),K102)</f>
        <v>0</v>
      </c>
      <c r="M101" s="848">
        <f>IF(L$85+SUM(L$90:L101)&gt;0,IF(L$85+SUM(L$90:L102)&gt;0,0,L$85+SUM(L$90:L102)),L102)</f>
        <v>0</v>
      </c>
      <c r="N101" s="848">
        <f>IF(M$85+SUM(M$90:M101)&gt;0,IF(M$85+SUM(M$90:M102)&gt;0,0,M$85+SUM(M$90:M102)),M102)</f>
        <v>0</v>
      </c>
      <c r="O101" s="848">
        <f>IF(N$85+SUM(N$90:N101)&gt;0,IF(N$85+SUM(N$90:N102)&gt;0,0,N$85+SUM(N$90:N102)),N102)</f>
        <v>0</v>
      </c>
      <c r="P101" s="848">
        <f>IF(O$85+SUM(O$90:O101)&gt;0,IF(O$85+SUM(O$90:O102)&gt;0,0,O$85+SUM(O$90:O102)),O102)</f>
        <v>0</v>
      </c>
      <c r="Q101" s="848">
        <f>IF(P$85+SUM(P$90:P101)&gt;0,IF(P$85+SUM(P$90:P102)&gt;0,0,P$85+SUM(P$90:P102)),P102)</f>
        <v>0</v>
      </c>
      <c r="R101" s="848">
        <f>IF(Q$85+SUM(Q$90:Q101)&gt;0,IF(Q$85+SUM(Q$90:Q102)&gt;0,0,Q$85+SUM(Q$90:Q102)),Q102)</f>
        <v>0</v>
      </c>
      <c r="S101" s="848">
        <f>IF(R$85+SUM(R$90:R101)&gt;0,IF(R$85+SUM(R$90:R102)&gt;0,0,R$85+SUM(R$90:R102)),R102)</f>
        <v>0</v>
      </c>
      <c r="T101" s="848">
        <f>IF(S$85+SUM(S$90:S101)&gt;0,IF(S$85+SUM(S$90:S102)&gt;0,0,S$85+SUM(S$90:S102)),S102)</f>
        <v>0</v>
      </c>
      <c r="U101" s="848">
        <f>IF(T$85+SUM(T$90:T101)&gt;0,IF(T$85+SUM(T$90:T102)&gt;0,0,T$85+SUM(T$90:T102)),T102)</f>
        <v>0</v>
      </c>
      <c r="V101" s="848">
        <f>IF(U$85+SUM(U$90:U101)&gt;0,IF(U$85+SUM(U$90:U102)&gt;0,0,U$85+SUM(U$90:U102)),U102)</f>
        <v>0</v>
      </c>
      <c r="W101" s="848">
        <f>IF(V$85+SUM(V$90:V101)&gt;0,IF(V$85+SUM(V$90:V102)&gt;0,0,V$85+SUM(V$90:V102)),V102)</f>
        <v>0</v>
      </c>
      <c r="X101" s="848">
        <f>IF(W$85+SUM(W$90:W101)&gt;0,IF(W$85+SUM(W$90:W102)&gt;0,0,W$85+SUM(W$90:W102)),W102)</f>
        <v>0</v>
      </c>
      <c r="Y101" s="848">
        <f>IF(X$85+SUM(X$90:X101)&gt;0,IF(X$85+SUM(X$90:X102)&gt;0,0,X$85+SUM(X$90:X102)),X102)</f>
        <v>0</v>
      </c>
      <c r="Z101" s="848">
        <f>IF(Y$85+SUM(Y$90:Y101)&gt;0,IF(Y$85+SUM(Y$90:Y102)&gt;0,0,Y$85+SUM(Y$90:Y102)),Y102)</f>
        <v>0</v>
      </c>
      <c r="AA101" s="848">
        <f>IF(Z$85+SUM(Z$90:Z101)&gt;0,IF(Z$85+SUM(Z$90:Z102)&gt;0,0,Z$85+SUM(Z$90:Z102)),Z102)</f>
        <v>0</v>
      </c>
      <c r="AB101" s="848">
        <f>IF(AA$85+SUM(AA$90:AA101)&gt;0,IF(AA$85+SUM(AA$90:AA102)&gt;0,0,AA$85+SUM(AA$90:AA102)),AA102)</f>
        <v>0</v>
      </c>
      <c r="AC101" s="848">
        <f>IF(AB$85+SUM(AB$90:AB101)&gt;0,IF(AB$85+SUM(AB$90:AB102)&gt;0,0,AB$85+SUM(AB$90:AB102)),AB102)</f>
        <v>0</v>
      </c>
      <c r="AD101" s="848">
        <f>IF(AC$85+SUM(AC$90:AC101)&gt;0,IF(AC$85+SUM(AC$90:AC102)&gt;0,0,AC$85+SUM(AC$90:AC102)),AC102)</f>
        <v>0</v>
      </c>
      <c r="AE101" s="848">
        <f>IF(AD$85+SUM(AD$90:AD101)&gt;0,IF(AD$85+SUM(AD$90:AD102)&gt;0,0,AD$85+SUM(AD$90:AD102)),AD102)</f>
        <v>0</v>
      </c>
    </row>
    <row r="102" spans="2:31" s="218" customFormat="1" ht="13.5" outlineLevel="1">
      <c r="B102" s="224"/>
      <c r="D102" s="2267" t="s">
        <v>1928</v>
      </c>
      <c r="E102" s="2267"/>
      <c r="F102" s="2267" t="s">
        <v>1929</v>
      </c>
      <c r="H102" s="848">
        <f t="shared" ref="H102:H119" si="15">SUM(J102:AE102)</f>
        <v>0</v>
      </c>
      <c r="J102" s="848">
        <f>IF(I$85+SUM(I$90:I102)&gt;0,IF(I$85+SUM(I$90:I103)&gt;0,0,I$85+SUM(I$90:I103)),I103)</f>
        <v>0</v>
      </c>
      <c r="K102" s="848">
        <f>IF(J$85+SUM(J$90:J102)&gt;0,IF(J$85+SUM(J$90:J103)&gt;0,0,J$85+SUM(J$90:J103)),J103)</f>
        <v>0</v>
      </c>
      <c r="L102" s="848">
        <f>IF(K$85+SUM(K$90:K102)&gt;0,IF(K$85+SUM(K$90:K103)&gt;0,0,K$85+SUM(K$90:K103)),K103)</f>
        <v>0</v>
      </c>
      <c r="M102" s="848">
        <f>IF(L$85+SUM(L$90:L102)&gt;0,IF(L$85+SUM(L$90:L103)&gt;0,0,L$85+SUM(L$90:L103)),L103)</f>
        <v>0</v>
      </c>
      <c r="N102" s="848">
        <f>IF(M$85+SUM(M$90:M102)&gt;0,IF(M$85+SUM(M$90:M103)&gt;0,0,M$85+SUM(M$90:M103)),M103)</f>
        <v>0</v>
      </c>
      <c r="O102" s="848">
        <f>IF(N$85+SUM(N$90:N102)&gt;0,IF(N$85+SUM(N$90:N103)&gt;0,0,N$85+SUM(N$90:N103)),N103)</f>
        <v>0</v>
      </c>
      <c r="P102" s="848">
        <f>IF(O$85+SUM(O$90:O102)&gt;0,IF(O$85+SUM(O$90:O103)&gt;0,0,O$85+SUM(O$90:O103)),O103)</f>
        <v>0</v>
      </c>
      <c r="Q102" s="848">
        <f>IF(P$85+SUM(P$90:P102)&gt;0,IF(P$85+SUM(P$90:P103)&gt;0,0,P$85+SUM(P$90:P103)),P103)</f>
        <v>0</v>
      </c>
      <c r="R102" s="848">
        <f>IF(Q$85+SUM(Q$90:Q102)&gt;0,IF(Q$85+SUM(Q$90:Q103)&gt;0,0,Q$85+SUM(Q$90:Q103)),Q103)</f>
        <v>0</v>
      </c>
      <c r="S102" s="848">
        <f>IF(R$85+SUM(R$90:R102)&gt;0,IF(R$85+SUM(R$90:R103)&gt;0,0,R$85+SUM(R$90:R103)),R103)</f>
        <v>0</v>
      </c>
      <c r="T102" s="848">
        <f>IF(S$85+SUM(S$90:S102)&gt;0,IF(S$85+SUM(S$90:S103)&gt;0,0,S$85+SUM(S$90:S103)),S103)</f>
        <v>0</v>
      </c>
      <c r="U102" s="848">
        <f>IF(T$85+SUM(T$90:T102)&gt;0,IF(T$85+SUM(T$90:T103)&gt;0,0,T$85+SUM(T$90:T103)),T103)</f>
        <v>0</v>
      </c>
      <c r="V102" s="848">
        <f>IF(U$85+SUM(U$90:U102)&gt;0,IF(U$85+SUM(U$90:U103)&gt;0,0,U$85+SUM(U$90:U103)),U103)</f>
        <v>0</v>
      </c>
      <c r="W102" s="848">
        <f>IF(V$85+SUM(V$90:V102)&gt;0,IF(V$85+SUM(V$90:V103)&gt;0,0,V$85+SUM(V$90:V103)),V103)</f>
        <v>0</v>
      </c>
      <c r="X102" s="848">
        <f>IF(W$85+SUM(W$90:W102)&gt;0,IF(W$85+SUM(W$90:W103)&gt;0,0,W$85+SUM(W$90:W103)),W103)</f>
        <v>0</v>
      </c>
      <c r="Y102" s="848">
        <f>IF(X$85+SUM(X$90:X102)&gt;0,IF(X$85+SUM(X$90:X103)&gt;0,0,X$85+SUM(X$90:X103)),X103)</f>
        <v>0</v>
      </c>
      <c r="Z102" s="848">
        <f>IF(Y$85+SUM(Y$90:Y102)&gt;0,IF(Y$85+SUM(Y$90:Y103)&gt;0,0,Y$85+SUM(Y$90:Y103)),Y103)</f>
        <v>0</v>
      </c>
      <c r="AA102" s="848">
        <f>IF(Z$85+SUM(Z$90:Z102)&gt;0,IF(Z$85+SUM(Z$90:Z103)&gt;0,0,Z$85+SUM(Z$90:Z103)),Z103)</f>
        <v>0</v>
      </c>
      <c r="AB102" s="848">
        <f>IF(AA$85+SUM(AA$90:AA102)&gt;0,IF(AA$85+SUM(AA$90:AA103)&gt;0,0,AA$85+SUM(AA$90:AA103)),AA103)</f>
        <v>0</v>
      </c>
      <c r="AC102" s="848">
        <f>IF(AB$85+SUM(AB$90:AB102)&gt;0,IF(AB$85+SUM(AB$90:AB103)&gt;0,0,AB$85+SUM(AB$90:AB103)),AB103)</f>
        <v>0</v>
      </c>
      <c r="AD102" s="848">
        <f>IF(AC$85+SUM(AC$90:AC102)&gt;0,IF(AC$85+SUM(AC$90:AC103)&gt;0,0,AC$85+SUM(AC$90:AC103)),AC103)</f>
        <v>0</v>
      </c>
      <c r="AE102" s="848">
        <f>IF(AD$85+SUM(AD$90:AD102)&gt;0,IF(AD$85+SUM(AD$90:AD103)&gt;0,0,AD$85+SUM(AD$90:AD103)),AD103)</f>
        <v>0</v>
      </c>
    </row>
    <row r="103" spans="2:31" s="218" customFormat="1" ht="13.5" outlineLevel="1">
      <c r="B103" s="224"/>
      <c r="D103" s="2267" t="s">
        <v>1930</v>
      </c>
      <c r="E103" s="2267"/>
      <c r="F103" s="2267" t="s">
        <v>1931</v>
      </c>
      <c r="H103" s="848">
        <f t="shared" si="15"/>
        <v>0</v>
      </c>
      <c r="J103" s="848">
        <f>IF(I$85+SUM(I$90:I103)&gt;0,IF(I$85+SUM(I$90:I104)&gt;0,0,I$85+SUM(I$90:I104)),I104)</f>
        <v>0</v>
      </c>
      <c r="K103" s="848">
        <f>IF(J$85+SUM(J$90:J103)&gt;0,IF(J$85+SUM(J$90:J104)&gt;0,0,J$85+SUM(J$90:J104)),J104)</f>
        <v>0</v>
      </c>
      <c r="L103" s="848">
        <f>IF(K$85+SUM(K$90:K103)&gt;0,IF(K$85+SUM(K$90:K104)&gt;0,0,K$85+SUM(K$90:K104)),K104)</f>
        <v>0</v>
      </c>
      <c r="M103" s="848">
        <f>IF(L$85+SUM(L$90:L103)&gt;0,IF(L$85+SUM(L$90:L104)&gt;0,0,L$85+SUM(L$90:L104)),L104)</f>
        <v>0</v>
      </c>
      <c r="N103" s="848">
        <f>IF(M$85+SUM(M$90:M103)&gt;0,IF(M$85+SUM(M$90:M104)&gt;0,0,M$85+SUM(M$90:M104)),M104)</f>
        <v>0</v>
      </c>
      <c r="O103" s="848">
        <f>IF(N$85+SUM(N$90:N103)&gt;0,IF(N$85+SUM(N$90:N104)&gt;0,0,N$85+SUM(N$90:N104)),N104)</f>
        <v>0</v>
      </c>
      <c r="P103" s="848">
        <f>IF(O$85+SUM(O$90:O103)&gt;0,IF(O$85+SUM(O$90:O104)&gt;0,0,O$85+SUM(O$90:O104)),O104)</f>
        <v>0</v>
      </c>
      <c r="Q103" s="848">
        <f>IF(P$85+SUM(P$90:P103)&gt;0,IF(P$85+SUM(P$90:P104)&gt;0,0,P$85+SUM(P$90:P104)),P104)</f>
        <v>0</v>
      </c>
      <c r="R103" s="848">
        <f>IF(Q$85+SUM(Q$90:Q103)&gt;0,IF(Q$85+SUM(Q$90:Q104)&gt;0,0,Q$85+SUM(Q$90:Q104)),Q104)</f>
        <v>0</v>
      </c>
      <c r="S103" s="848">
        <f>IF(R$85+SUM(R$90:R103)&gt;0,IF(R$85+SUM(R$90:R104)&gt;0,0,R$85+SUM(R$90:R104)),R104)</f>
        <v>0</v>
      </c>
      <c r="T103" s="848">
        <f>IF(S$85+SUM(S$90:S103)&gt;0,IF(S$85+SUM(S$90:S104)&gt;0,0,S$85+SUM(S$90:S104)),S104)</f>
        <v>0</v>
      </c>
      <c r="U103" s="848">
        <f>IF(T$85+SUM(T$90:T103)&gt;0,IF(T$85+SUM(T$90:T104)&gt;0,0,T$85+SUM(T$90:T104)),T104)</f>
        <v>0</v>
      </c>
      <c r="V103" s="848">
        <f>IF(U$85+SUM(U$90:U103)&gt;0,IF(U$85+SUM(U$90:U104)&gt;0,0,U$85+SUM(U$90:U104)),U104)</f>
        <v>0</v>
      </c>
      <c r="W103" s="848">
        <f>IF(V$85+SUM(V$90:V103)&gt;0,IF(V$85+SUM(V$90:V104)&gt;0,0,V$85+SUM(V$90:V104)),V104)</f>
        <v>0</v>
      </c>
      <c r="X103" s="848">
        <f>IF(W$85+SUM(W$90:W103)&gt;0,IF(W$85+SUM(W$90:W104)&gt;0,0,W$85+SUM(W$90:W104)),W104)</f>
        <v>0</v>
      </c>
      <c r="Y103" s="848">
        <f>IF(X$85+SUM(X$90:X103)&gt;0,IF(X$85+SUM(X$90:X104)&gt;0,0,X$85+SUM(X$90:X104)),X104)</f>
        <v>0</v>
      </c>
      <c r="Z103" s="848">
        <f>IF(Y$85+SUM(Y$90:Y103)&gt;0,IF(Y$85+SUM(Y$90:Y104)&gt;0,0,Y$85+SUM(Y$90:Y104)),Y104)</f>
        <v>0</v>
      </c>
      <c r="AA103" s="848">
        <f>IF(Z$85+SUM(Z$90:Z103)&gt;0,IF(Z$85+SUM(Z$90:Z104)&gt;0,0,Z$85+SUM(Z$90:Z104)),Z104)</f>
        <v>0</v>
      </c>
      <c r="AB103" s="848">
        <f>IF(AA$85+SUM(AA$90:AA103)&gt;0,IF(AA$85+SUM(AA$90:AA104)&gt;0,0,AA$85+SUM(AA$90:AA104)),AA104)</f>
        <v>0</v>
      </c>
      <c r="AC103" s="848">
        <f>IF(AB$85+SUM(AB$90:AB103)&gt;0,IF(AB$85+SUM(AB$90:AB104)&gt;0,0,AB$85+SUM(AB$90:AB104)),AB104)</f>
        <v>0</v>
      </c>
      <c r="AD103" s="848">
        <f>IF(AC$85+SUM(AC$90:AC103)&gt;0,IF(AC$85+SUM(AC$90:AC104)&gt;0,0,AC$85+SUM(AC$90:AC104)),AC104)</f>
        <v>0</v>
      </c>
      <c r="AE103" s="848">
        <f>IF(AD$85+SUM(AD$90:AD103)&gt;0,IF(AD$85+SUM(AD$90:AD104)&gt;0,0,AD$85+SUM(AD$90:AD104)),AD104)</f>
        <v>0</v>
      </c>
    </row>
    <row r="104" spans="2:31" s="218" customFormat="1" ht="13.5" outlineLevel="1">
      <c r="B104" s="224"/>
      <c r="D104" s="2267" t="s">
        <v>1932</v>
      </c>
      <c r="E104" s="2267"/>
      <c r="F104" s="2267" t="s">
        <v>1933</v>
      </c>
      <c r="H104" s="848">
        <f t="shared" si="15"/>
        <v>0</v>
      </c>
      <c r="J104" s="848">
        <f>IF(I$85+SUM(I$90:I104)&gt;0,IF(I$85+SUM(I$90:I105)&gt;0,0,I$85+SUM(I$90:I105)),I105)</f>
        <v>0</v>
      </c>
      <c r="K104" s="848">
        <f>IF(J$85+SUM(J$90:J104)&gt;0,IF(J$85+SUM(J$90:J105)&gt;0,0,J$85+SUM(J$90:J105)),J105)</f>
        <v>0</v>
      </c>
      <c r="L104" s="848">
        <f>IF(K$85+SUM(K$90:K104)&gt;0,IF(K$85+SUM(K$90:K105)&gt;0,0,K$85+SUM(K$90:K105)),K105)</f>
        <v>0</v>
      </c>
      <c r="M104" s="848">
        <f>IF(L$85+SUM(L$90:L104)&gt;0,IF(L$85+SUM(L$90:L105)&gt;0,0,L$85+SUM(L$90:L105)),L105)</f>
        <v>0</v>
      </c>
      <c r="N104" s="848">
        <f>IF(M$85+SUM(M$90:M104)&gt;0,IF(M$85+SUM(M$90:M105)&gt;0,0,M$85+SUM(M$90:M105)),M105)</f>
        <v>0</v>
      </c>
      <c r="O104" s="848">
        <f>IF(N$85+SUM(N$90:N104)&gt;0,IF(N$85+SUM(N$90:N105)&gt;0,0,N$85+SUM(N$90:N105)),N105)</f>
        <v>0</v>
      </c>
      <c r="P104" s="848">
        <f>IF(O$85+SUM(O$90:O104)&gt;0,IF(O$85+SUM(O$90:O105)&gt;0,0,O$85+SUM(O$90:O105)),O105)</f>
        <v>0</v>
      </c>
      <c r="Q104" s="848">
        <f>IF(P$85+SUM(P$90:P104)&gt;0,IF(P$85+SUM(P$90:P105)&gt;0,0,P$85+SUM(P$90:P105)),P105)</f>
        <v>0</v>
      </c>
      <c r="R104" s="848">
        <f>IF(Q$85+SUM(Q$90:Q104)&gt;0,IF(Q$85+SUM(Q$90:Q105)&gt;0,0,Q$85+SUM(Q$90:Q105)),Q105)</f>
        <v>0</v>
      </c>
      <c r="S104" s="848">
        <f>IF(R$85+SUM(R$90:R104)&gt;0,IF(R$85+SUM(R$90:R105)&gt;0,0,R$85+SUM(R$90:R105)),R105)</f>
        <v>0</v>
      </c>
      <c r="T104" s="848">
        <f>IF(S$85+SUM(S$90:S104)&gt;0,IF(S$85+SUM(S$90:S105)&gt;0,0,S$85+SUM(S$90:S105)),S105)</f>
        <v>0</v>
      </c>
      <c r="U104" s="848">
        <f>IF(T$85+SUM(T$90:T104)&gt;0,IF(T$85+SUM(T$90:T105)&gt;0,0,T$85+SUM(T$90:T105)),T105)</f>
        <v>0</v>
      </c>
      <c r="V104" s="848">
        <f>IF(U$85+SUM(U$90:U104)&gt;0,IF(U$85+SUM(U$90:U105)&gt;0,0,U$85+SUM(U$90:U105)),U105)</f>
        <v>0</v>
      </c>
      <c r="W104" s="848">
        <f>IF(V$85+SUM(V$90:V104)&gt;0,IF(V$85+SUM(V$90:V105)&gt;0,0,V$85+SUM(V$90:V105)),V105)</f>
        <v>0</v>
      </c>
      <c r="X104" s="848">
        <f>IF(W$85+SUM(W$90:W104)&gt;0,IF(W$85+SUM(W$90:W105)&gt;0,0,W$85+SUM(W$90:W105)),W105)</f>
        <v>0</v>
      </c>
      <c r="Y104" s="848">
        <f>IF(X$85+SUM(X$90:X104)&gt;0,IF(X$85+SUM(X$90:X105)&gt;0,0,X$85+SUM(X$90:X105)),X105)</f>
        <v>0</v>
      </c>
      <c r="Z104" s="848">
        <f>IF(Y$85+SUM(Y$90:Y104)&gt;0,IF(Y$85+SUM(Y$90:Y105)&gt;0,0,Y$85+SUM(Y$90:Y105)),Y105)</f>
        <v>0</v>
      </c>
      <c r="AA104" s="848">
        <f>IF(Z$85+SUM(Z$90:Z104)&gt;0,IF(Z$85+SUM(Z$90:Z105)&gt;0,0,Z$85+SUM(Z$90:Z105)),Z105)</f>
        <v>0</v>
      </c>
      <c r="AB104" s="848">
        <f>IF(AA$85+SUM(AA$90:AA104)&gt;0,IF(AA$85+SUM(AA$90:AA105)&gt;0,0,AA$85+SUM(AA$90:AA105)),AA105)</f>
        <v>0</v>
      </c>
      <c r="AC104" s="848">
        <f>IF(AB$85+SUM(AB$90:AB104)&gt;0,IF(AB$85+SUM(AB$90:AB105)&gt;0,0,AB$85+SUM(AB$90:AB105)),AB105)</f>
        <v>0</v>
      </c>
      <c r="AD104" s="848">
        <f>IF(AC$85+SUM(AC$90:AC104)&gt;0,IF(AC$85+SUM(AC$90:AC105)&gt;0,0,AC$85+SUM(AC$90:AC105)),AC105)</f>
        <v>0</v>
      </c>
      <c r="AE104" s="848">
        <f>IF(AD$85+SUM(AD$90:AD104)&gt;0,IF(AD$85+SUM(AD$90:AD105)&gt;0,0,AD$85+SUM(AD$90:AD105)),AD105)</f>
        <v>0</v>
      </c>
    </row>
    <row r="105" spans="2:31" s="218" customFormat="1" ht="13.5" outlineLevel="1">
      <c r="B105" s="224"/>
      <c r="D105" s="2267" t="s">
        <v>1934</v>
      </c>
      <c r="E105" s="2267"/>
      <c r="F105" s="2267" t="s">
        <v>1933</v>
      </c>
      <c r="H105" s="848">
        <f t="shared" si="15"/>
        <v>0</v>
      </c>
      <c r="J105" s="848">
        <f>IF(I$85+SUM(I$90:I105)&gt;0,IF(I$85+SUM(I$90:I106)&gt;0,0,I$85+SUM(I$90:I106)),I106)</f>
        <v>0</v>
      </c>
      <c r="K105" s="848">
        <f>IF(J$85+SUM(J$90:J105)&gt;0,IF(J$85+SUM(J$90:J106)&gt;0,0,J$85+SUM(J$90:J106)),J106)</f>
        <v>0</v>
      </c>
      <c r="L105" s="848">
        <f>IF(K$85+SUM(K$90:K105)&gt;0,IF(K$85+SUM(K$90:K106)&gt;0,0,K$85+SUM(K$90:K106)),K106)</f>
        <v>0</v>
      </c>
      <c r="M105" s="848">
        <f>IF(L$85+SUM(L$90:L105)&gt;0,IF(L$85+SUM(L$90:L106)&gt;0,0,L$85+SUM(L$90:L106)),L106)</f>
        <v>0</v>
      </c>
      <c r="N105" s="848">
        <f>IF(M$85+SUM(M$90:M105)&gt;0,IF(M$85+SUM(M$90:M106)&gt;0,0,M$85+SUM(M$90:M106)),M106)</f>
        <v>0</v>
      </c>
      <c r="O105" s="848">
        <f>IF(N$85+SUM(N$90:N105)&gt;0,IF(N$85+SUM(N$90:N106)&gt;0,0,N$85+SUM(N$90:N106)),N106)</f>
        <v>0</v>
      </c>
      <c r="P105" s="848">
        <f>IF(O$85+SUM(O$90:O105)&gt;0,IF(O$85+SUM(O$90:O106)&gt;0,0,O$85+SUM(O$90:O106)),O106)</f>
        <v>0</v>
      </c>
      <c r="Q105" s="848">
        <f>IF(P$85+SUM(P$90:P105)&gt;0,IF(P$85+SUM(P$90:P106)&gt;0,0,P$85+SUM(P$90:P106)),P106)</f>
        <v>0</v>
      </c>
      <c r="R105" s="848">
        <f>IF(Q$85+SUM(Q$90:Q105)&gt;0,IF(Q$85+SUM(Q$90:Q106)&gt;0,0,Q$85+SUM(Q$90:Q106)),Q106)</f>
        <v>0</v>
      </c>
      <c r="S105" s="848">
        <f>IF(R$85+SUM(R$90:R105)&gt;0,IF(R$85+SUM(R$90:R106)&gt;0,0,R$85+SUM(R$90:R106)),R106)</f>
        <v>0</v>
      </c>
      <c r="T105" s="848">
        <f>IF(S$85+SUM(S$90:S105)&gt;0,IF(S$85+SUM(S$90:S106)&gt;0,0,S$85+SUM(S$90:S106)),S106)</f>
        <v>0</v>
      </c>
      <c r="U105" s="848">
        <f>IF(T$85+SUM(T$90:T105)&gt;0,IF(T$85+SUM(T$90:T106)&gt;0,0,T$85+SUM(T$90:T106)),T106)</f>
        <v>0</v>
      </c>
      <c r="V105" s="848">
        <f>IF(U$85+SUM(U$90:U105)&gt;0,IF(U$85+SUM(U$90:U106)&gt;0,0,U$85+SUM(U$90:U106)),U106)</f>
        <v>0</v>
      </c>
      <c r="W105" s="848">
        <f>IF(V$85+SUM(V$90:V105)&gt;0,IF(V$85+SUM(V$90:V106)&gt;0,0,V$85+SUM(V$90:V106)),V106)</f>
        <v>0</v>
      </c>
      <c r="X105" s="848">
        <f>IF(W$85+SUM(W$90:W105)&gt;0,IF(W$85+SUM(W$90:W106)&gt;0,0,W$85+SUM(W$90:W106)),W106)</f>
        <v>0</v>
      </c>
      <c r="Y105" s="848">
        <f>IF(X$85+SUM(X$90:X105)&gt;0,IF(X$85+SUM(X$90:X106)&gt;0,0,X$85+SUM(X$90:X106)),X106)</f>
        <v>0</v>
      </c>
      <c r="Z105" s="848">
        <f>IF(Y$85+SUM(Y$90:Y105)&gt;0,IF(Y$85+SUM(Y$90:Y106)&gt;0,0,Y$85+SUM(Y$90:Y106)),Y106)</f>
        <v>0</v>
      </c>
      <c r="AA105" s="848">
        <f>IF(Z$85+SUM(Z$90:Z105)&gt;0,IF(Z$85+SUM(Z$90:Z106)&gt;0,0,Z$85+SUM(Z$90:Z106)),Z106)</f>
        <v>0</v>
      </c>
      <c r="AB105" s="848">
        <f>IF(AA$85+SUM(AA$90:AA105)&gt;0,IF(AA$85+SUM(AA$90:AA106)&gt;0,0,AA$85+SUM(AA$90:AA106)),AA106)</f>
        <v>0</v>
      </c>
      <c r="AC105" s="848">
        <f>IF(AB$85+SUM(AB$90:AB105)&gt;0,IF(AB$85+SUM(AB$90:AB106)&gt;0,0,AB$85+SUM(AB$90:AB106)),AB106)</f>
        <v>0</v>
      </c>
      <c r="AD105" s="848">
        <f>IF(AC$85+SUM(AC$90:AC105)&gt;0,IF(AC$85+SUM(AC$90:AC106)&gt;0,0,AC$85+SUM(AC$90:AC106)),AC106)</f>
        <v>0</v>
      </c>
      <c r="AE105" s="848">
        <f>IF(AD$85+SUM(AD$90:AD105)&gt;0,IF(AD$85+SUM(AD$90:AD106)&gt;0,0,AD$85+SUM(AD$90:AD106)),AD106)</f>
        <v>0</v>
      </c>
    </row>
    <row r="106" spans="2:31" s="218" customFormat="1" ht="13.5" outlineLevel="1">
      <c r="B106" s="224"/>
      <c r="D106" s="2267" t="s">
        <v>1935</v>
      </c>
      <c r="E106" s="2267"/>
      <c r="F106" s="2267" t="s">
        <v>1936</v>
      </c>
      <c r="H106" s="848">
        <f t="shared" si="15"/>
        <v>0</v>
      </c>
      <c r="J106" s="848">
        <f>IF(I$85+SUM(I$90:I106)&gt;0,IF(I$85+SUM(I$90:I107)&gt;0,0,I$85+SUM(I$90:I107)),I107)</f>
        <v>0</v>
      </c>
      <c r="K106" s="848">
        <f>IF(J$85+SUM(J$90:J106)&gt;0,IF(J$85+SUM(J$90:J107)&gt;0,0,J$85+SUM(J$90:J107)),J107)</f>
        <v>0</v>
      </c>
      <c r="L106" s="848">
        <f>IF(K$85+SUM(K$90:K106)&gt;0,IF(K$85+SUM(K$90:K107)&gt;0,0,K$85+SUM(K$90:K107)),K107)</f>
        <v>0</v>
      </c>
      <c r="M106" s="848">
        <f>IF(L$85+SUM(L$90:L106)&gt;0,IF(L$85+SUM(L$90:L107)&gt;0,0,L$85+SUM(L$90:L107)),L107)</f>
        <v>0</v>
      </c>
      <c r="N106" s="848">
        <f>IF(M$85+SUM(M$90:M106)&gt;0,IF(M$85+SUM(M$90:M107)&gt;0,0,M$85+SUM(M$90:M107)),M107)</f>
        <v>0</v>
      </c>
      <c r="O106" s="848">
        <f>IF(N$85+SUM(N$90:N106)&gt;0,IF(N$85+SUM(N$90:N107)&gt;0,0,N$85+SUM(N$90:N107)),N107)</f>
        <v>0</v>
      </c>
      <c r="P106" s="848">
        <f>IF(O$85+SUM(O$90:O106)&gt;0,IF(O$85+SUM(O$90:O107)&gt;0,0,O$85+SUM(O$90:O107)),O107)</f>
        <v>0</v>
      </c>
      <c r="Q106" s="848">
        <f>IF(P$85+SUM(P$90:P106)&gt;0,IF(P$85+SUM(P$90:P107)&gt;0,0,P$85+SUM(P$90:P107)),P107)</f>
        <v>0</v>
      </c>
      <c r="R106" s="848">
        <f>IF(Q$85+SUM(Q$90:Q106)&gt;0,IF(Q$85+SUM(Q$90:Q107)&gt;0,0,Q$85+SUM(Q$90:Q107)),Q107)</f>
        <v>0</v>
      </c>
      <c r="S106" s="848">
        <f>IF(R$85+SUM(R$90:R106)&gt;0,IF(R$85+SUM(R$90:R107)&gt;0,0,R$85+SUM(R$90:R107)),R107)</f>
        <v>0</v>
      </c>
      <c r="T106" s="848">
        <f>IF(S$85+SUM(S$90:S106)&gt;0,IF(S$85+SUM(S$90:S107)&gt;0,0,S$85+SUM(S$90:S107)),S107)</f>
        <v>0</v>
      </c>
      <c r="U106" s="848">
        <f>IF(T$85+SUM(T$90:T106)&gt;0,IF(T$85+SUM(T$90:T107)&gt;0,0,T$85+SUM(T$90:T107)),T107)</f>
        <v>0</v>
      </c>
      <c r="V106" s="848">
        <f>IF(U$85+SUM(U$90:U106)&gt;0,IF(U$85+SUM(U$90:U107)&gt;0,0,U$85+SUM(U$90:U107)),U107)</f>
        <v>0</v>
      </c>
      <c r="W106" s="848">
        <f>IF(V$85+SUM(V$90:V106)&gt;0,IF(V$85+SUM(V$90:V107)&gt;0,0,V$85+SUM(V$90:V107)),V107)</f>
        <v>0</v>
      </c>
      <c r="X106" s="848">
        <f>IF(W$85+SUM(W$90:W106)&gt;0,IF(W$85+SUM(W$90:W107)&gt;0,0,W$85+SUM(W$90:W107)),W107)</f>
        <v>0</v>
      </c>
      <c r="Y106" s="848">
        <f>IF(X$85+SUM(X$90:X106)&gt;0,IF(X$85+SUM(X$90:X107)&gt;0,0,X$85+SUM(X$90:X107)),X107)</f>
        <v>0</v>
      </c>
      <c r="Z106" s="848">
        <f>IF(Y$85+SUM(Y$90:Y106)&gt;0,IF(Y$85+SUM(Y$90:Y107)&gt;0,0,Y$85+SUM(Y$90:Y107)),Y107)</f>
        <v>0</v>
      </c>
      <c r="AA106" s="848">
        <f>IF(Z$85+SUM(Z$90:Z106)&gt;0,IF(Z$85+SUM(Z$90:Z107)&gt;0,0,Z$85+SUM(Z$90:Z107)),Z107)</f>
        <v>0</v>
      </c>
      <c r="AB106" s="848">
        <f>IF(AA$85+SUM(AA$90:AA106)&gt;0,IF(AA$85+SUM(AA$90:AA107)&gt;0,0,AA$85+SUM(AA$90:AA107)),AA107)</f>
        <v>0</v>
      </c>
      <c r="AC106" s="848">
        <f>IF(AB$85+SUM(AB$90:AB106)&gt;0,IF(AB$85+SUM(AB$90:AB107)&gt;0,0,AB$85+SUM(AB$90:AB107)),AB107)</f>
        <v>0</v>
      </c>
      <c r="AD106" s="848">
        <f>IF(AC$85+SUM(AC$90:AC106)&gt;0,IF(AC$85+SUM(AC$90:AC107)&gt;0,0,AC$85+SUM(AC$90:AC107)),AC107)</f>
        <v>0</v>
      </c>
      <c r="AE106" s="848">
        <f>IF(AD$85+SUM(AD$90:AD106)&gt;0,IF(AD$85+SUM(AD$90:AD107)&gt;0,0,AD$85+SUM(AD$90:AD107)),AD107)</f>
        <v>0</v>
      </c>
    </row>
    <row r="107" spans="2:31" s="218" customFormat="1" ht="13.5" outlineLevel="1">
      <c r="B107" s="224"/>
      <c r="D107" s="2267" t="s">
        <v>1937</v>
      </c>
      <c r="E107" s="2267"/>
      <c r="F107" s="2267" t="s">
        <v>1938</v>
      </c>
      <c r="H107" s="848">
        <f t="shared" si="15"/>
        <v>0</v>
      </c>
      <c r="J107" s="848">
        <f>IF(I$85+SUM(I$90:I107)&gt;0,IF(I$85+SUM(I$90:I108)&gt;0,0,I$85+SUM(I$90:I108)),I108)</f>
        <v>0</v>
      </c>
      <c r="K107" s="848">
        <f>IF(J$85+SUM(J$90:J107)&gt;0,IF(J$85+SUM(J$90:J108)&gt;0,0,J$85+SUM(J$90:J108)),J108)</f>
        <v>0</v>
      </c>
      <c r="L107" s="848">
        <f>IF(K$85+SUM(K$90:K107)&gt;0,IF(K$85+SUM(K$90:K108)&gt;0,0,K$85+SUM(K$90:K108)),K108)</f>
        <v>0</v>
      </c>
      <c r="M107" s="848">
        <f>IF(L$85+SUM(L$90:L107)&gt;0,IF(L$85+SUM(L$90:L108)&gt;0,0,L$85+SUM(L$90:L108)),L108)</f>
        <v>0</v>
      </c>
      <c r="N107" s="848">
        <f>IF(M$85+SUM(M$90:M107)&gt;0,IF(M$85+SUM(M$90:M108)&gt;0,0,M$85+SUM(M$90:M108)),M108)</f>
        <v>0</v>
      </c>
      <c r="O107" s="848">
        <f>IF(N$85+SUM(N$90:N107)&gt;0,IF(N$85+SUM(N$90:N108)&gt;0,0,N$85+SUM(N$90:N108)),N108)</f>
        <v>0</v>
      </c>
      <c r="P107" s="848">
        <f>IF(O$85+SUM(O$90:O107)&gt;0,IF(O$85+SUM(O$90:O108)&gt;0,0,O$85+SUM(O$90:O108)),O108)</f>
        <v>0</v>
      </c>
      <c r="Q107" s="848">
        <f>IF(P$85+SUM(P$90:P107)&gt;0,IF(P$85+SUM(P$90:P108)&gt;0,0,P$85+SUM(P$90:P108)),P108)</f>
        <v>0</v>
      </c>
      <c r="R107" s="848">
        <f>IF(Q$85+SUM(Q$90:Q107)&gt;0,IF(Q$85+SUM(Q$90:Q108)&gt;0,0,Q$85+SUM(Q$90:Q108)),Q108)</f>
        <v>0</v>
      </c>
      <c r="S107" s="848">
        <f>IF(R$85+SUM(R$90:R107)&gt;0,IF(R$85+SUM(R$90:R108)&gt;0,0,R$85+SUM(R$90:R108)),R108)</f>
        <v>0</v>
      </c>
      <c r="T107" s="848">
        <f>IF(S$85+SUM(S$90:S107)&gt;0,IF(S$85+SUM(S$90:S108)&gt;0,0,S$85+SUM(S$90:S108)),S108)</f>
        <v>0</v>
      </c>
      <c r="U107" s="848">
        <f>IF(T$85+SUM(T$90:T107)&gt;0,IF(T$85+SUM(T$90:T108)&gt;0,0,T$85+SUM(T$90:T108)),T108)</f>
        <v>0</v>
      </c>
      <c r="V107" s="848">
        <f>IF(U$85+SUM(U$90:U107)&gt;0,IF(U$85+SUM(U$90:U108)&gt;0,0,U$85+SUM(U$90:U108)),U108)</f>
        <v>0</v>
      </c>
      <c r="W107" s="848">
        <f>IF(V$85+SUM(V$90:V107)&gt;0,IF(V$85+SUM(V$90:V108)&gt;0,0,V$85+SUM(V$90:V108)),V108)</f>
        <v>0</v>
      </c>
      <c r="X107" s="848">
        <f>IF(W$85+SUM(W$90:W107)&gt;0,IF(W$85+SUM(W$90:W108)&gt;0,0,W$85+SUM(W$90:W108)),W108)</f>
        <v>0</v>
      </c>
      <c r="Y107" s="848">
        <f>IF(X$85+SUM(X$90:X107)&gt;0,IF(X$85+SUM(X$90:X108)&gt;0,0,X$85+SUM(X$90:X108)),X108)</f>
        <v>0</v>
      </c>
      <c r="Z107" s="848">
        <f>IF(Y$85+SUM(Y$90:Y107)&gt;0,IF(Y$85+SUM(Y$90:Y108)&gt;0,0,Y$85+SUM(Y$90:Y108)),Y108)</f>
        <v>0</v>
      </c>
      <c r="AA107" s="848">
        <f>IF(Z$85+SUM(Z$90:Z107)&gt;0,IF(Z$85+SUM(Z$90:Z108)&gt;0,0,Z$85+SUM(Z$90:Z108)),Z108)</f>
        <v>0</v>
      </c>
      <c r="AB107" s="848">
        <f>IF(AA$85+SUM(AA$90:AA107)&gt;0,IF(AA$85+SUM(AA$90:AA108)&gt;0,0,AA$85+SUM(AA$90:AA108)),AA108)</f>
        <v>0</v>
      </c>
      <c r="AC107" s="848">
        <f>IF(AB$85+SUM(AB$90:AB107)&gt;0,IF(AB$85+SUM(AB$90:AB108)&gt;0,0,AB$85+SUM(AB$90:AB108)),AB108)</f>
        <v>0</v>
      </c>
      <c r="AD107" s="848">
        <f>IF(AC$85+SUM(AC$90:AC107)&gt;0,IF(AC$85+SUM(AC$90:AC108)&gt;0,0,AC$85+SUM(AC$90:AC108)),AC108)</f>
        <v>0</v>
      </c>
      <c r="AE107" s="848">
        <f>IF(AD$85+SUM(AD$90:AD107)&gt;0,IF(AD$85+SUM(AD$90:AD108)&gt;0,0,AD$85+SUM(AD$90:AD108)),AD108)</f>
        <v>0</v>
      </c>
    </row>
    <row r="108" spans="2:31" s="218" customFormat="1" ht="13.5" outlineLevel="1">
      <c r="B108" s="224"/>
      <c r="D108" s="2267" t="s">
        <v>1939</v>
      </c>
      <c r="E108" s="2267"/>
      <c r="F108" s="2267" t="s">
        <v>1940</v>
      </c>
      <c r="H108" s="848">
        <f t="shared" si="15"/>
        <v>-8898.9805848501037</v>
      </c>
      <c r="J108" s="848">
        <f>IF(I$85+SUM(I$90:I108)&gt;0,IF(I$85+SUM(I$90:I109)&gt;0,0,I$85+SUM(I$90:I109)),I109)</f>
        <v>0</v>
      </c>
      <c r="K108" s="848">
        <f>IF(J$85+SUM(J$90:J108)&gt;0,IF(J$85+SUM(J$90:J109)&gt;0,0,J$85+SUM(J$90:J109)),J109)</f>
        <v>0</v>
      </c>
      <c r="L108" s="848">
        <f>IF(K$85+SUM(K$90:K108)&gt;0,IF(K$85+SUM(K$90:K109)&gt;0,0,K$85+SUM(K$90:K109)),K109)</f>
        <v>0</v>
      </c>
      <c r="M108" s="848">
        <f>IF(L$85+SUM(L$90:L108)&gt;0,IF(L$85+SUM(L$90:L109)&gt;0,0,L$85+SUM(L$90:L109)),L109)</f>
        <v>0</v>
      </c>
      <c r="N108" s="848">
        <f>IF(M$85+SUM(M$90:M108)&gt;0,IF(M$85+SUM(M$90:M109)&gt;0,0,M$85+SUM(M$90:M109)),M109)</f>
        <v>0</v>
      </c>
      <c r="O108" s="848">
        <f>IF(N$85+SUM(N$90:N108)&gt;0,IF(N$85+SUM(N$90:N109)&gt;0,0,N$85+SUM(N$90:N109)),N109)</f>
        <v>0</v>
      </c>
      <c r="P108" s="848">
        <f>IF(O$85+SUM(O$90:O108)&gt;0,IF(O$85+SUM(O$90:O109)&gt;0,0,O$85+SUM(O$90:O109)),O109)</f>
        <v>0</v>
      </c>
      <c r="Q108" s="848">
        <f>IF(P$85+SUM(P$90:P108)&gt;0,IF(P$85+SUM(P$90:P109)&gt;0,0,P$85+SUM(P$90:P109)),P109)</f>
        <v>0</v>
      </c>
      <c r="R108" s="848">
        <f>IF(Q$85+SUM(Q$90:Q108)&gt;0,IF(Q$85+SUM(Q$90:Q109)&gt;0,0,Q$85+SUM(Q$90:Q109)),Q109)</f>
        <v>0</v>
      </c>
      <c r="S108" s="848">
        <f>IF(R$85+SUM(R$90:R108)&gt;0,IF(R$85+SUM(R$90:R109)&gt;0,0,R$85+SUM(R$90:R109)),R109)</f>
        <v>0</v>
      </c>
      <c r="T108" s="848">
        <f>IF(S$85+SUM(S$90:S108)&gt;0,IF(S$85+SUM(S$90:S109)&gt;0,0,S$85+SUM(S$90:S109)),S109)</f>
        <v>0</v>
      </c>
      <c r="U108" s="848">
        <f>IF(T$85+SUM(T$90:T108)&gt;0,IF(T$85+SUM(T$90:T109)&gt;0,0,T$85+SUM(T$90:T109)),T109)</f>
        <v>0</v>
      </c>
      <c r="V108" s="848">
        <f>IF(U$85+SUM(U$90:U108)&gt;0,IF(U$85+SUM(U$90:U109)&gt;0,0,U$85+SUM(U$90:U109)),U109)</f>
        <v>0</v>
      </c>
      <c r="W108" s="848">
        <f>IF(V$85+SUM(V$90:V108)&gt;0,IF(V$85+SUM(V$90:V109)&gt;0,0,V$85+SUM(V$90:V109)),V109)</f>
        <v>0</v>
      </c>
      <c r="X108" s="848">
        <f>IF(W$85+SUM(W$90:W108)&gt;0,IF(W$85+SUM(W$90:W109)&gt;0,0,W$85+SUM(W$90:W109)),W109)</f>
        <v>0</v>
      </c>
      <c r="Y108" s="848">
        <f>IF(X$85+SUM(X$90:X108)&gt;0,IF(X$85+SUM(X$90:X109)&gt;0,0,X$85+SUM(X$90:X109)),X109)</f>
        <v>0</v>
      </c>
      <c r="Z108" s="848">
        <f>IF(Y$85+SUM(Y$90:Y108)&gt;0,IF(Y$85+SUM(Y$90:Y109)&gt;0,0,Y$85+SUM(Y$90:Y109)),Y109)</f>
        <v>0</v>
      </c>
      <c r="AA108" s="848">
        <f>IF(Z$85+SUM(Z$90:Z108)&gt;0,IF(Z$85+SUM(Z$90:Z109)&gt;0,0,Z$85+SUM(Z$90:Z109)),Z109)</f>
        <v>0</v>
      </c>
      <c r="AB108" s="848">
        <f>IF(AA$85+SUM(AA$90:AA108)&gt;0,IF(AA$85+SUM(AA$90:AA109)&gt;0,0,AA$85+SUM(AA$90:AA109)),AA109)</f>
        <v>-3116.0181194032757</v>
      </c>
      <c r="AC108" s="848">
        <f>IF(AB$85+SUM(AB$90:AB108)&gt;0,IF(AB$85+SUM(AB$90:AB109)&gt;0,0,AB$85+SUM(AB$90:AB109)),AB109)</f>
        <v>-2808.5660792121917</v>
      </c>
      <c r="AD108" s="848">
        <f>IF(AC$85+SUM(AC$90:AC108)&gt;0,IF(AC$85+SUM(AC$90:AC109)&gt;0,0,AC$85+SUM(AC$90:AC109)),AC109)</f>
        <v>-2974.3963862346363</v>
      </c>
      <c r="AE108" s="848">
        <f>IF(AD$85+SUM(AD$90:AD108)&gt;0,IF(AD$85+SUM(AD$90:AD109)&gt;0,0,AD$85+SUM(AD$90:AD109)),AD109)</f>
        <v>0</v>
      </c>
    </row>
    <row r="109" spans="2:31" s="218" customFormat="1" ht="13.5" outlineLevel="1">
      <c r="B109" s="224"/>
      <c r="D109" s="2267" t="s">
        <v>1941</v>
      </c>
      <c r="E109" s="2267"/>
      <c r="F109" s="2267" t="s">
        <v>1942</v>
      </c>
      <c r="H109" s="848">
        <f t="shared" si="15"/>
        <v>-18809.429900577656</v>
      </c>
      <c r="J109" s="848">
        <f>IF(I$85+SUM(I$90:I109)&gt;0,IF(I$85+SUM(I$90:I110)&gt;0,0,I$85+SUM(I$90:I110)),I110)</f>
        <v>0</v>
      </c>
      <c r="K109" s="848">
        <f>IF(J$85+SUM(J$90:J109)&gt;0,IF(J$85+SUM(J$90:J110)&gt;0,0,J$85+SUM(J$90:J110)),J110)</f>
        <v>0</v>
      </c>
      <c r="L109" s="848">
        <f>IF(K$85+SUM(K$90:K109)&gt;0,IF(K$85+SUM(K$90:K110)&gt;0,0,K$85+SUM(K$90:K110)),K110)</f>
        <v>0</v>
      </c>
      <c r="M109" s="848">
        <f>IF(L$85+SUM(L$90:L109)&gt;0,IF(L$85+SUM(L$90:L110)&gt;0,0,L$85+SUM(L$90:L110)),L110)</f>
        <v>0</v>
      </c>
      <c r="N109" s="848">
        <f>IF(M$85+SUM(M$90:M109)&gt;0,IF(M$85+SUM(M$90:M110)&gt;0,0,M$85+SUM(M$90:M110)),M110)</f>
        <v>0</v>
      </c>
      <c r="O109" s="848">
        <f>IF(N$85+SUM(N$90:N109)&gt;0,IF(N$85+SUM(N$90:N110)&gt;0,0,N$85+SUM(N$90:N110)),N110)</f>
        <v>0</v>
      </c>
      <c r="P109" s="848">
        <f>IF(O$85+SUM(O$90:O109)&gt;0,IF(O$85+SUM(O$90:O110)&gt;0,0,O$85+SUM(O$90:O110)),O110)</f>
        <v>0</v>
      </c>
      <c r="Q109" s="848">
        <f>IF(P$85+SUM(P$90:P109)&gt;0,IF(P$85+SUM(P$90:P110)&gt;0,0,P$85+SUM(P$90:P110)),P110)</f>
        <v>0</v>
      </c>
      <c r="R109" s="848">
        <f>IF(Q$85+SUM(Q$90:Q109)&gt;0,IF(Q$85+SUM(Q$90:Q110)&gt;0,0,Q$85+SUM(Q$90:Q110)),Q110)</f>
        <v>0</v>
      </c>
      <c r="S109" s="848">
        <f>IF(R$85+SUM(R$90:R109)&gt;0,IF(R$85+SUM(R$90:R110)&gt;0,0,R$85+SUM(R$90:R110)),R110)</f>
        <v>0</v>
      </c>
      <c r="T109" s="848">
        <f>IF(S$85+SUM(S$90:S109)&gt;0,IF(S$85+SUM(S$90:S110)&gt;0,0,S$85+SUM(S$90:S110)),S110)</f>
        <v>0</v>
      </c>
      <c r="U109" s="848">
        <f>IF(T$85+SUM(T$90:T109)&gt;0,IF(T$85+SUM(T$90:T110)&gt;0,0,T$85+SUM(T$90:T110)),T110)</f>
        <v>0</v>
      </c>
      <c r="V109" s="848">
        <f>IF(U$85+SUM(U$90:U109)&gt;0,IF(U$85+SUM(U$90:U110)&gt;0,0,U$85+SUM(U$90:U110)),U110)</f>
        <v>0</v>
      </c>
      <c r="W109" s="848">
        <f>IF(V$85+SUM(V$90:V109)&gt;0,IF(V$85+SUM(V$90:V110)&gt;0,0,V$85+SUM(V$90:V110)),V110)</f>
        <v>0</v>
      </c>
      <c r="X109" s="848">
        <f>IF(W$85+SUM(W$90:W109)&gt;0,IF(W$85+SUM(W$90:W110)&gt;0,0,W$85+SUM(W$90:W110)),W110)</f>
        <v>0</v>
      </c>
      <c r="Y109" s="848">
        <f>IF(X$85+SUM(X$90:X109)&gt;0,IF(X$85+SUM(X$90:X110)&gt;0,0,X$85+SUM(X$90:X110)),X110)</f>
        <v>0</v>
      </c>
      <c r="Z109" s="848">
        <f>IF(Y$85+SUM(Y$90:Y109)&gt;0,IF(Y$85+SUM(Y$90:Y110)&gt;0,0,Y$85+SUM(Y$90:Y110)),Y110)</f>
        <v>0</v>
      </c>
      <c r="AA109" s="848">
        <f>IF(Z$85+SUM(Z$90:Z109)&gt;0,IF(Z$85+SUM(Z$90:Z110)&gt;0,0,Z$85+SUM(Z$90:Z110)),Z110)</f>
        <v>-6252.925412831918</v>
      </c>
      <c r="AB109" s="848">
        <f>IF(AA$85+SUM(AA$90:AA109)&gt;0,IF(AA$85+SUM(AA$90:AA110)&gt;0,0,AA$85+SUM(AA$90:AA110)),AA110)</f>
        <v>-4540.8309796071462</v>
      </c>
      <c r="AC109" s="848">
        <f>IF(AB$85+SUM(AB$90:AB109)&gt;0,IF(AB$85+SUM(AB$90:AB110)&gt;0,0,AB$85+SUM(AB$90:AB110)),AB110)</f>
        <v>-3772.2104685200857</v>
      </c>
      <c r="AD109" s="848">
        <f>IF(AC$85+SUM(AC$90:AC109)&gt;0,IF(AC$85+SUM(AC$90:AC110)&gt;0,0,AC$85+SUM(AC$90:AC110)),AC110)</f>
        <v>-4243.4630396185048</v>
      </c>
      <c r="AE109" s="848">
        <f>IF(AD$85+SUM(AD$90:AD109)&gt;0,IF(AD$85+SUM(AD$90:AD110)&gt;0,0,AD$85+SUM(AD$90:AD110)),AD110)</f>
        <v>0</v>
      </c>
    </row>
    <row r="110" spans="2:31" s="218" customFormat="1" ht="13.5" outlineLevel="1">
      <c r="B110" s="224"/>
      <c r="D110" s="2267" t="s">
        <v>1943</v>
      </c>
      <c r="E110" s="2267"/>
      <c r="F110" s="2267" t="s">
        <v>1944</v>
      </c>
      <c r="H110" s="848">
        <f t="shared" si="15"/>
        <v>-33407.635310184553</v>
      </c>
      <c r="J110" s="848">
        <f>IF(I$85+SUM(I$90:I110)&gt;0,IF(I$85+SUM(I$90:I111)&gt;0,0,I$85+SUM(I$90:I111)),I111)</f>
        <v>0</v>
      </c>
      <c r="K110" s="848">
        <f>IF(J$85+SUM(J$90:J110)&gt;0,IF(J$85+SUM(J$90:J111)&gt;0,0,J$85+SUM(J$90:J111)),J111)</f>
        <v>0</v>
      </c>
      <c r="L110" s="848">
        <f>IF(K$85+SUM(K$90:K110)&gt;0,IF(K$85+SUM(K$90:K111)&gt;0,0,K$85+SUM(K$90:K111)),K111)</f>
        <v>0</v>
      </c>
      <c r="M110" s="848">
        <f>IF(L$85+SUM(L$90:L110)&gt;0,IF(L$85+SUM(L$90:L111)&gt;0,0,L$85+SUM(L$90:L111)),L111)</f>
        <v>0</v>
      </c>
      <c r="N110" s="848">
        <f>IF(M$85+SUM(M$90:M110)&gt;0,IF(M$85+SUM(M$90:M111)&gt;0,0,M$85+SUM(M$90:M111)),M111)</f>
        <v>0</v>
      </c>
      <c r="O110" s="848">
        <f>IF(N$85+SUM(N$90:N110)&gt;0,IF(N$85+SUM(N$90:N111)&gt;0,0,N$85+SUM(N$90:N111)),N111)</f>
        <v>0</v>
      </c>
      <c r="P110" s="848">
        <f>IF(O$85+SUM(O$90:O110)&gt;0,IF(O$85+SUM(O$90:O111)&gt;0,0,O$85+SUM(O$90:O111)),O111)</f>
        <v>0</v>
      </c>
      <c r="Q110" s="848">
        <f>IF(P$85+SUM(P$90:P110)&gt;0,IF(P$85+SUM(P$90:P111)&gt;0,0,P$85+SUM(P$90:P111)),P111)</f>
        <v>0</v>
      </c>
      <c r="R110" s="848">
        <f>IF(Q$85+SUM(Q$90:Q110)&gt;0,IF(Q$85+SUM(Q$90:Q111)&gt;0,0,Q$85+SUM(Q$90:Q111)),Q111)</f>
        <v>0</v>
      </c>
      <c r="S110" s="848">
        <f>IF(R$85+SUM(R$90:R110)&gt;0,IF(R$85+SUM(R$90:R111)&gt;0,0,R$85+SUM(R$90:R111)),R111)</f>
        <v>0</v>
      </c>
      <c r="T110" s="848">
        <f>IF(S$85+SUM(S$90:S110)&gt;0,IF(S$85+SUM(S$90:S111)&gt;0,0,S$85+SUM(S$90:S111)),S111)</f>
        <v>0</v>
      </c>
      <c r="U110" s="848">
        <f>IF(T$85+SUM(T$90:T110)&gt;0,IF(T$85+SUM(T$90:T111)&gt;0,0,T$85+SUM(T$90:T111)),T111)</f>
        <v>0</v>
      </c>
      <c r="V110" s="848">
        <f>IF(U$85+SUM(U$90:U110)&gt;0,IF(U$85+SUM(U$90:U111)&gt;0,0,U$85+SUM(U$90:U111)),U111)</f>
        <v>0</v>
      </c>
      <c r="W110" s="848">
        <f>IF(V$85+SUM(V$90:V110)&gt;0,IF(V$85+SUM(V$90:V111)&gt;0,0,V$85+SUM(V$90:V111)),V111)</f>
        <v>0</v>
      </c>
      <c r="X110" s="848">
        <f>IF(W$85+SUM(W$90:W110)&gt;0,IF(W$85+SUM(W$90:W111)&gt;0,0,W$85+SUM(W$90:W111)),W111)</f>
        <v>0</v>
      </c>
      <c r="Y110" s="848">
        <f>IF(X$85+SUM(X$90:X110)&gt;0,IF(X$85+SUM(X$90:X111)&gt;0,0,X$85+SUM(X$90:X111)),X111)</f>
        <v>0</v>
      </c>
      <c r="Z110" s="848">
        <f>IF(Y$85+SUM(Y$90:Y110)&gt;0,IF(Y$85+SUM(Y$90:Y111)&gt;0,0,Y$85+SUM(Y$90:Y111)),Y111)</f>
        <v>-10587.665474746169</v>
      </c>
      <c r="AA110" s="848">
        <f>IF(Z$85+SUM(Z$90:Z110)&gt;0,IF(Z$85+SUM(Z$90:Z111)&gt;0,0,Z$85+SUM(Z$90:Z111)),Z111)</f>
        <v>-4540.8309796071462</v>
      </c>
      <c r="AB110" s="848">
        <f>IF(AA$85+SUM(AA$90:AA110)&gt;0,IF(AA$85+SUM(AA$90:AA111)&gt;0,0,AA$85+SUM(AA$90:AA111)),AA111)</f>
        <v>-3772.2104685200857</v>
      </c>
      <c r="AC110" s="848">
        <f>IF(AB$85+SUM(AB$90:AB110)&gt;0,IF(AB$85+SUM(AB$90:AB111)&gt;0,0,AB$85+SUM(AB$90:AB111)),AB111)</f>
        <v>-4243.4630396185048</v>
      </c>
      <c r="AD110" s="848">
        <f>IF(AC$85+SUM(AC$90:AC110)&gt;0,IF(AC$85+SUM(AC$90:AC111)&gt;0,0,AC$85+SUM(AC$90:AC111)),AC111)</f>
        <v>-10263.465347692647</v>
      </c>
      <c r="AE110" s="848">
        <f>IF(AD$85+SUM(AD$90:AD110)&gt;0,IF(AD$85+SUM(AD$90:AD111)&gt;0,0,AD$85+SUM(AD$90:AD111)),AD111)</f>
        <v>0</v>
      </c>
    </row>
    <row r="111" spans="2:31" s="218" customFormat="1" ht="13.5" outlineLevel="1">
      <c r="B111" s="224"/>
      <c r="D111" s="2267" t="s">
        <v>1945</v>
      </c>
      <c r="E111" s="2267"/>
      <c r="F111" s="2267" t="s">
        <v>1944</v>
      </c>
      <c r="H111" s="848">
        <f t="shared" si="15"/>
        <v>-37024.705328193828</v>
      </c>
      <c r="J111" s="848">
        <f>IF(I$85+SUM(I$90:I111)&gt;0,IF(I$85+SUM(I$90:I112)&gt;0,0,I$85+SUM(I$90:I112)),I112)</f>
        <v>0</v>
      </c>
      <c r="K111" s="848">
        <f>IF(J$85+SUM(J$90:J111)&gt;0,IF(J$85+SUM(J$90:J112)&gt;0,0,J$85+SUM(J$90:J112)),J112)</f>
        <v>0</v>
      </c>
      <c r="L111" s="848">
        <f>IF(K$85+SUM(K$90:K111)&gt;0,IF(K$85+SUM(K$90:K112)&gt;0,0,K$85+SUM(K$90:K112)),K112)</f>
        <v>0</v>
      </c>
      <c r="M111" s="848">
        <f>IF(L$85+SUM(L$90:L111)&gt;0,IF(L$85+SUM(L$90:L112)&gt;0,0,L$85+SUM(L$90:L112)),L112)</f>
        <v>0</v>
      </c>
      <c r="N111" s="848">
        <f>IF(M$85+SUM(M$90:M111)&gt;0,IF(M$85+SUM(M$90:M112)&gt;0,0,M$85+SUM(M$90:M112)),M112)</f>
        <v>0</v>
      </c>
      <c r="O111" s="848">
        <f>IF(N$85+SUM(N$90:N111)&gt;0,IF(N$85+SUM(N$90:N112)&gt;0,0,N$85+SUM(N$90:N112)),N112)</f>
        <v>0</v>
      </c>
      <c r="P111" s="848">
        <f>IF(O$85+SUM(O$90:O111)&gt;0,IF(O$85+SUM(O$90:O112)&gt;0,0,O$85+SUM(O$90:O112)),O112)</f>
        <v>0</v>
      </c>
      <c r="Q111" s="848">
        <f>IF(P$85+SUM(P$90:P111)&gt;0,IF(P$85+SUM(P$90:P112)&gt;0,0,P$85+SUM(P$90:P112)),P112)</f>
        <v>0</v>
      </c>
      <c r="R111" s="848">
        <f>IF(Q$85+SUM(Q$90:Q111)&gt;0,IF(Q$85+SUM(Q$90:Q112)&gt;0,0,Q$85+SUM(Q$90:Q112)),Q112)</f>
        <v>0</v>
      </c>
      <c r="S111" s="848">
        <f>IF(R$85+SUM(R$90:R111)&gt;0,IF(R$85+SUM(R$90:R112)&gt;0,0,R$85+SUM(R$90:R112)),R112)</f>
        <v>0</v>
      </c>
      <c r="T111" s="848">
        <f>IF(S$85+SUM(S$90:S111)&gt;0,IF(S$85+SUM(S$90:S112)&gt;0,0,S$85+SUM(S$90:S112)),S112)</f>
        <v>0</v>
      </c>
      <c r="U111" s="848">
        <f>IF(T$85+SUM(T$90:T111)&gt;0,IF(T$85+SUM(T$90:T112)&gt;0,0,T$85+SUM(T$90:T112)),T112)</f>
        <v>0</v>
      </c>
      <c r="V111" s="848">
        <f>IF(U$85+SUM(U$90:U111)&gt;0,IF(U$85+SUM(U$90:U112)&gt;0,0,U$85+SUM(U$90:U112)),U112)</f>
        <v>0</v>
      </c>
      <c r="W111" s="848">
        <f>IF(V$85+SUM(V$90:V111)&gt;0,IF(V$85+SUM(V$90:V112)&gt;0,0,V$85+SUM(V$90:V112)),V112)</f>
        <v>0</v>
      </c>
      <c r="X111" s="848">
        <f>IF(W$85+SUM(W$90:W111)&gt;0,IF(W$85+SUM(W$90:W112)&gt;0,0,W$85+SUM(W$90:W112)),W112)</f>
        <v>0</v>
      </c>
      <c r="Y111" s="848">
        <f>IF(X$85+SUM(X$90:X111)&gt;0,IF(X$85+SUM(X$90:X112)&gt;0,0,X$85+SUM(X$90:X112)),X112)</f>
        <v>-13237.075325262507</v>
      </c>
      <c r="Z111" s="848">
        <f>IF(Y$85+SUM(Y$90:Y111)&gt;0,IF(Y$85+SUM(Y$90:Y112)&gt;0,0,Y$85+SUM(Y$90:Y112)),Y112)</f>
        <v>-4540.8309796071462</v>
      </c>
      <c r="AA111" s="848">
        <f>IF(Z$85+SUM(Z$90:Z111)&gt;0,IF(Z$85+SUM(Z$90:Z112)&gt;0,0,Z$85+SUM(Z$90:Z112)),Z112)</f>
        <v>-3772.2104685200857</v>
      </c>
      <c r="AB111" s="848">
        <f>IF(AA$85+SUM(AA$90:AA111)&gt;0,IF(AA$85+SUM(AA$90:AA112)&gt;0,0,AA$85+SUM(AA$90:AA112)),AA112)</f>
        <v>-4243.4630396185048</v>
      </c>
      <c r="AC111" s="848">
        <f>IF(AB$85+SUM(AB$90:AB111)&gt;0,IF(AB$85+SUM(AB$90:AB112)&gt;0,0,AB$85+SUM(AB$90:AB112)),AB112)</f>
        <v>-10263.465347692647</v>
      </c>
      <c r="AD111" s="848">
        <f>IF(AC$85+SUM(AC$90:AC111)&gt;0,IF(AC$85+SUM(AC$90:AC112)&gt;0,0,AC$85+SUM(AC$90:AC112)),AC112)</f>
        <v>-967.66016749293522</v>
      </c>
      <c r="AE111" s="848">
        <f>IF(AD$85+SUM(AD$90:AD111)&gt;0,IF(AD$85+SUM(AD$90:AD112)&gt;0,0,AD$85+SUM(AD$90:AD112)),AD112)</f>
        <v>0</v>
      </c>
    </row>
    <row r="112" spans="2:31" s="218" customFormat="1" ht="13.5" outlineLevel="1">
      <c r="B112" s="224"/>
      <c r="D112" s="2267" t="s">
        <v>1946</v>
      </c>
      <c r="E112" s="2267"/>
      <c r="F112" s="2267" t="s">
        <v>1947</v>
      </c>
      <c r="H112" s="848">
        <f t="shared" si="15"/>
        <v>-37024.705328193828</v>
      </c>
      <c r="J112" s="848">
        <f>IF(I$85+SUM(I$90:I112)&gt;0,IF(I$85+SUM(I$90:I113)&gt;0,0,I$85+SUM(I$90:I113)),I113)</f>
        <v>0</v>
      </c>
      <c r="K112" s="848">
        <f>IF(J$85+SUM(J$90:J112)&gt;0,IF(J$85+SUM(J$90:J113)&gt;0,0,J$85+SUM(J$90:J113)),J113)</f>
        <v>0</v>
      </c>
      <c r="L112" s="848">
        <f>IF(K$85+SUM(K$90:K112)&gt;0,IF(K$85+SUM(K$90:K113)&gt;0,0,K$85+SUM(K$90:K113)),K113)</f>
        <v>0</v>
      </c>
      <c r="M112" s="848">
        <f>IF(L$85+SUM(L$90:L112)&gt;0,IF(L$85+SUM(L$90:L113)&gt;0,0,L$85+SUM(L$90:L113)),L113)</f>
        <v>0</v>
      </c>
      <c r="N112" s="848">
        <f>IF(M$85+SUM(M$90:M112)&gt;0,IF(M$85+SUM(M$90:M113)&gt;0,0,M$85+SUM(M$90:M113)),M113)</f>
        <v>0</v>
      </c>
      <c r="O112" s="848">
        <f>IF(N$85+SUM(N$90:N112)&gt;0,IF(N$85+SUM(N$90:N113)&gt;0,0,N$85+SUM(N$90:N113)),N113)</f>
        <v>0</v>
      </c>
      <c r="P112" s="848">
        <f>IF(O$85+SUM(O$90:O112)&gt;0,IF(O$85+SUM(O$90:O113)&gt;0,0,O$85+SUM(O$90:O113)),O113)</f>
        <v>0</v>
      </c>
      <c r="Q112" s="848">
        <f>IF(P$85+SUM(P$90:P112)&gt;0,IF(P$85+SUM(P$90:P113)&gt;0,0,P$85+SUM(P$90:P113)),P113)</f>
        <v>0</v>
      </c>
      <c r="R112" s="848">
        <f>IF(Q$85+SUM(Q$90:Q112)&gt;0,IF(Q$85+SUM(Q$90:Q113)&gt;0,0,Q$85+SUM(Q$90:Q113)),Q113)</f>
        <v>0</v>
      </c>
      <c r="S112" s="848">
        <f>IF(R$85+SUM(R$90:R112)&gt;0,IF(R$85+SUM(R$90:R113)&gt;0,0,R$85+SUM(R$90:R113)),R113)</f>
        <v>0</v>
      </c>
      <c r="T112" s="848">
        <f>IF(S$85+SUM(S$90:S112)&gt;0,IF(S$85+SUM(S$90:S113)&gt;0,0,S$85+SUM(S$90:S113)),S113)</f>
        <v>0</v>
      </c>
      <c r="U112" s="848">
        <f>IF(T$85+SUM(T$90:T112)&gt;0,IF(T$85+SUM(T$90:T113)&gt;0,0,T$85+SUM(T$90:T113)),T113)</f>
        <v>0</v>
      </c>
      <c r="V112" s="848">
        <f>IF(U$85+SUM(U$90:U112)&gt;0,IF(U$85+SUM(U$90:U113)&gt;0,0,U$85+SUM(U$90:U113)),U113)</f>
        <v>0</v>
      </c>
      <c r="W112" s="848">
        <f>IF(V$85+SUM(V$90:V112)&gt;0,IF(V$85+SUM(V$90:V113)&gt;0,0,V$85+SUM(V$90:V113)),V113)</f>
        <v>0</v>
      </c>
      <c r="X112" s="848">
        <f>IF(W$85+SUM(W$90:W112)&gt;0,IF(W$85+SUM(W$90:W113)&gt;0,0,W$85+SUM(W$90:W113)),W113)</f>
        <v>-13237.075325262507</v>
      </c>
      <c r="Y112" s="848">
        <f>IF(X$85+SUM(X$90:X112)&gt;0,IF(X$85+SUM(X$90:X113)&gt;0,0,X$85+SUM(X$90:X113)),X113)</f>
        <v>-4540.8309796071462</v>
      </c>
      <c r="Z112" s="848">
        <f>IF(Y$85+SUM(Y$90:Y112)&gt;0,IF(Y$85+SUM(Y$90:Y113)&gt;0,0,Y$85+SUM(Y$90:Y113)),Y113)</f>
        <v>-3772.2104685200857</v>
      </c>
      <c r="AA112" s="848">
        <f>IF(Z$85+SUM(Z$90:Z112)&gt;0,IF(Z$85+SUM(Z$90:Z113)&gt;0,0,Z$85+SUM(Z$90:Z113)),Z113)</f>
        <v>-4243.4630396185048</v>
      </c>
      <c r="AB112" s="848">
        <f>IF(AA$85+SUM(AA$90:AA112)&gt;0,IF(AA$85+SUM(AA$90:AA113)&gt;0,0,AA$85+SUM(AA$90:AA113)),AA113)</f>
        <v>-10263.465347692647</v>
      </c>
      <c r="AC112" s="848">
        <f>IF(AB$85+SUM(AB$90:AB112)&gt;0,IF(AB$85+SUM(AB$90:AB113)&gt;0,0,AB$85+SUM(AB$90:AB113)),AB113)</f>
        <v>-967.66016749293522</v>
      </c>
      <c r="AD112" s="848">
        <f>IF(AC$85+SUM(AC$90:AC112)&gt;0,IF(AC$85+SUM(AC$90:AC113)&gt;0,0,AC$85+SUM(AC$90:AC113)),AC113)</f>
        <v>0</v>
      </c>
      <c r="AE112" s="848">
        <f>IF(AD$85+SUM(AD$90:AD112)&gt;0,IF(AD$85+SUM(AD$90:AD113)&gt;0,0,AD$85+SUM(AD$90:AD113)),AD113)</f>
        <v>0</v>
      </c>
    </row>
    <row r="113" spans="2:31" s="218" customFormat="1" ht="13.5" outlineLevel="1">
      <c r="B113" s="224"/>
      <c r="D113" s="2267" t="s">
        <v>1948</v>
      </c>
      <c r="E113" s="2267"/>
      <c r="F113" s="2267" t="s">
        <v>1947</v>
      </c>
      <c r="H113" s="848">
        <f t="shared" si="15"/>
        <v>-38002.84653096128</v>
      </c>
      <c r="J113" s="848">
        <f>IF(I$85+SUM(I$90:I113)&gt;0,IF(I$85+SUM(I$90:I114)&gt;0,0,I$85+SUM(I$90:I114)),I114)</f>
        <v>0</v>
      </c>
      <c r="K113" s="848">
        <f>IF(J$85+SUM(J$90:J113)&gt;0,IF(J$85+SUM(J$90:J114)&gt;0,0,J$85+SUM(J$90:J114)),J114)</f>
        <v>0</v>
      </c>
      <c r="L113" s="848">
        <f>IF(K$85+SUM(K$90:K113)&gt;0,IF(K$85+SUM(K$90:K114)&gt;0,0,K$85+SUM(K$90:K114)),K114)</f>
        <v>0</v>
      </c>
      <c r="M113" s="848">
        <f>IF(L$85+SUM(L$90:L113)&gt;0,IF(L$85+SUM(L$90:L114)&gt;0,0,L$85+SUM(L$90:L114)),L114)</f>
        <v>0</v>
      </c>
      <c r="N113" s="848">
        <f>IF(M$85+SUM(M$90:M113)&gt;0,IF(M$85+SUM(M$90:M114)&gt;0,0,M$85+SUM(M$90:M114)),M114)</f>
        <v>0</v>
      </c>
      <c r="O113" s="848">
        <f>IF(N$85+SUM(N$90:N113)&gt;0,IF(N$85+SUM(N$90:N114)&gt;0,0,N$85+SUM(N$90:N114)),N114)</f>
        <v>0</v>
      </c>
      <c r="P113" s="848">
        <f>IF(O$85+SUM(O$90:O113)&gt;0,IF(O$85+SUM(O$90:O114)&gt;0,0,O$85+SUM(O$90:O114)),O114)</f>
        <v>0</v>
      </c>
      <c r="Q113" s="848">
        <f>IF(P$85+SUM(P$90:P113)&gt;0,IF(P$85+SUM(P$90:P114)&gt;0,0,P$85+SUM(P$90:P114)),P114)</f>
        <v>0</v>
      </c>
      <c r="R113" s="848">
        <f>IF(Q$85+SUM(Q$90:Q113)&gt;0,IF(Q$85+SUM(Q$90:Q114)&gt;0,0,Q$85+SUM(Q$90:Q114)),Q114)</f>
        <v>0</v>
      </c>
      <c r="S113" s="848">
        <f>IF(R$85+SUM(R$90:R113)&gt;0,IF(R$85+SUM(R$90:R114)&gt;0,0,R$85+SUM(R$90:R114)),R114)</f>
        <v>0</v>
      </c>
      <c r="T113" s="848">
        <f>IF(S$85+SUM(S$90:S113)&gt;0,IF(S$85+SUM(S$90:S114)&gt;0,0,S$85+SUM(S$90:S114)),S114)</f>
        <v>0</v>
      </c>
      <c r="U113" s="848">
        <f>IF(T$85+SUM(T$90:T113)&gt;0,IF(T$85+SUM(T$90:T114)&gt;0,0,T$85+SUM(T$90:T114)),T114)</f>
        <v>0</v>
      </c>
      <c r="V113" s="848">
        <f>IF(U$85+SUM(U$90:U113)&gt;0,IF(U$85+SUM(U$90:U114)&gt;0,0,U$85+SUM(U$90:U114)),U114)</f>
        <v>-652.61925893875832</v>
      </c>
      <c r="W113" s="848">
        <f>IF(V$85+SUM(V$90:V113)&gt;0,IF(V$85+SUM(V$90:V114)&gt;0,0,V$85+SUM(V$90:V114)),V114)</f>
        <v>-13237.075325262507</v>
      </c>
      <c r="X113" s="848">
        <f>IF(W$85+SUM(W$90:W113)&gt;0,IF(W$85+SUM(W$90:W114)&gt;0,0,W$85+SUM(W$90:W114)),W114)</f>
        <v>-4540.8309796071462</v>
      </c>
      <c r="Y113" s="848">
        <f>IF(X$85+SUM(X$90:X113)&gt;0,IF(X$85+SUM(X$90:X114)&gt;0,0,X$85+SUM(X$90:X114)),X114)</f>
        <v>-3772.2104685200857</v>
      </c>
      <c r="Z113" s="848">
        <f>IF(Y$85+SUM(Y$90:Y113)&gt;0,IF(Y$85+SUM(Y$90:Y114)&gt;0,0,Y$85+SUM(Y$90:Y114)),Y114)</f>
        <v>-4243.4630396185048</v>
      </c>
      <c r="AA113" s="848">
        <f>IF(Z$85+SUM(Z$90:Z113)&gt;0,IF(Z$85+SUM(Z$90:Z114)&gt;0,0,Z$85+SUM(Z$90:Z114)),Z114)</f>
        <v>-10263.465347692647</v>
      </c>
      <c r="AB113" s="848">
        <f>IF(AA$85+SUM(AA$90:AA113)&gt;0,IF(AA$85+SUM(AA$90:AA114)&gt;0,0,AA$85+SUM(AA$90:AA114)),AA114)</f>
        <v>-967.66016749293522</v>
      </c>
      <c r="AC113" s="848">
        <f>IF(AB$85+SUM(AB$90:AB113)&gt;0,IF(AB$85+SUM(AB$90:AB114)&gt;0,0,AB$85+SUM(AB$90:AB114)),AB114)</f>
        <v>0</v>
      </c>
      <c r="AD113" s="848">
        <f>IF(AC$85+SUM(AC$90:AC113)&gt;0,IF(AC$85+SUM(AC$90:AC114)&gt;0,0,AC$85+SUM(AC$90:AC114)),AC114)</f>
        <v>-325.52194382869857</v>
      </c>
      <c r="AE113" s="848">
        <f>IF(AD$85+SUM(AD$90:AD113)&gt;0,IF(AD$85+SUM(AD$90:AD114)&gt;0,0,AD$85+SUM(AD$90:AD114)),AD114)</f>
        <v>0</v>
      </c>
    </row>
    <row r="114" spans="2:31" s="218" customFormat="1" ht="13.5" outlineLevel="1">
      <c r="B114" s="224"/>
      <c r="D114" s="2267" t="s">
        <v>1949</v>
      </c>
      <c r="E114" s="2267"/>
      <c r="F114" s="2267" t="s">
        <v>1950</v>
      </c>
      <c r="H114" s="848">
        <f t="shared" si="15"/>
        <v>-43602.843836325665</v>
      </c>
      <c r="J114" s="848">
        <f>IF(I$85+SUM(I$90:I114)&gt;0,IF(I$85+SUM(I$90:I115)&gt;0,0,I$85+SUM(I$90:I115)),I115)</f>
        <v>0</v>
      </c>
      <c r="K114" s="848">
        <f>IF(J$85+SUM(J$90:J114)&gt;0,IF(J$85+SUM(J$90:J115)&gt;0,0,J$85+SUM(J$90:J115)),J115)</f>
        <v>0</v>
      </c>
      <c r="L114" s="848">
        <f>IF(K$85+SUM(K$90:K114)&gt;0,IF(K$85+SUM(K$90:K115)&gt;0,0,K$85+SUM(K$90:K115)),K115)</f>
        <v>0</v>
      </c>
      <c r="M114" s="848">
        <f>IF(L$85+SUM(L$90:L114)&gt;0,IF(L$85+SUM(L$90:L115)&gt;0,0,L$85+SUM(L$90:L115)),L115)</f>
        <v>0</v>
      </c>
      <c r="N114" s="848">
        <f>IF(M$85+SUM(M$90:M114)&gt;0,IF(M$85+SUM(M$90:M115)&gt;0,0,M$85+SUM(M$90:M115)),M115)</f>
        <v>0</v>
      </c>
      <c r="O114" s="848">
        <f>IF(N$85+SUM(N$90:N114)&gt;0,IF(N$85+SUM(N$90:N115)&gt;0,0,N$85+SUM(N$90:N115)),N115)</f>
        <v>0</v>
      </c>
      <c r="P114" s="848">
        <f>IF(O$85+SUM(O$90:O114)&gt;0,IF(O$85+SUM(O$90:O115)&gt;0,0,O$85+SUM(O$90:O115)),O115)</f>
        <v>0</v>
      </c>
      <c r="Q114" s="848">
        <f>IF(P$85+SUM(P$90:P114)&gt;0,IF(P$85+SUM(P$90:P115)&gt;0,0,P$85+SUM(P$90:P115)),P115)</f>
        <v>0</v>
      </c>
      <c r="R114" s="848">
        <f>IF(Q$85+SUM(Q$90:Q114)&gt;0,IF(Q$85+SUM(Q$90:Q115)&gt;0,0,Q$85+SUM(Q$90:Q115)),Q115)</f>
        <v>0</v>
      </c>
      <c r="S114" s="848">
        <f>IF(R$85+SUM(R$90:R114)&gt;0,IF(R$85+SUM(R$90:R115)&gt;0,0,R$85+SUM(R$90:R115)),R115)</f>
        <v>0</v>
      </c>
      <c r="T114" s="848">
        <f>IF(S$85+SUM(S$90:S114)&gt;0,IF(S$85+SUM(S$90:S115)&gt;0,0,S$85+SUM(S$90:S115)),S115)</f>
        <v>0</v>
      </c>
      <c r="U114" s="848">
        <f>IF(T$85+SUM(T$90:T114)&gt;0,IF(T$85+SUM(T$90:T115)&gt;0,0,T$85+SUM(T$90:T115)),T115)</f>
        <v>-652.61925893875832</v>
      </c>
      <c r="V114" s="848">
        <f>IF(U$85+SUM(U$90:U114)&gt;0,IF(U$85+SUM(U$90:U115)&gt;0,0,U$85+SUM(U$90:U115)),U115)</f>
        <v>-13275.272923045477</v>
      </c>
      <c r="W114" s="848">
        <f>IF(V$85+SUM(V$90:V114)&gt;0,IF(V$85+SUM(V$90:V115)&gt;0,0,V$85+SUM(V$90:V115)),V115)</f>
        <v>-4540.8309796071462</v>
      </c>
      <c r="X114" s="848">
        <f>IF(W$85+SUM(W$90:W114)&gt;0,IF(W$85+SUM(W$90:W115)&gt;0,0,W$85+SUM(W$90:W115)),W115)</f>
        <v>-3772.2104685200857</v>
      </c>
      <c r="Y114" s="848">
        <f>IF(X$85+SUM(X$90:X114)&gt;0,IF(X$85+SUM(X$90:X115)&gt;0,0,X$85+SUM(X$90:X115)),X115)</f>
        <v>-4243.4630396185048</v>
      </c>
      <c r="Z114" s="848">
        <f>IF(Y$85+SUM(Y$90:Y114)&gt;0,IF(Y$85+SUM(Y$90:Y115)&gt;0,0,Y$85+SUM(Y$90:Y115)),Y115)</f>
        <v>-10263.465347692647</v>
      </c>
      <c r="AA114" s="848">
        <f>IF(Z$85+SUM(Z$90:Z114)&gt;0,IF(Z$85+SUM(Z$90:Z115)&gt;0,0,Z$85+SUM(Z$90:Z115)),Z115)</f>
        <v>-967.66016749293522</v>
      </c>
      <c r="AB114" s="848">
        <f>IF(AA$85+SUM(AA$90:AA114)&gt;0,IF(AA$85+SUM(AA$90:AA115)&gt;0,0,AA$85+SUM(AA$90:AA115)),AA115)</f>
        <v>0</v>
      </c>
      <c r="AC114" s="848">
        <f>IF(AB$85+SUM(AB$90:AB114)&gt;0,IF(AB$85+SUM(AB$90:AB115)&gt;0,0,AB$85+SUM(AB$90:AB115)),AB115)</f>
        <v>-325.52194382869857</v>
      </c>
      <c r="AD114" s="848">
        <f>IF(AC$85+SUM(AC$90:AC114)&gt;0,IF(AC$85+SUM(AC$90:AC115)&gt;0,0,AC$85+SUM(AC$90:AC115)),AC115)</f>
        <v>-5561.7997075814146</v>
      </c>
      <c r="AE114" s="848">
        <f>IF(AD$85+SUM(AD$90:AD114)&gt;0,IF(AD$85+SUM(AD$90:AD115)&gt;0,0,AD$85+SUM(AD$90:AD115)),AD115)</f>
        <v>0</v>
      </c>
    </row>
    <row r="115" spans="2:31" s="218" customFormat="1" ht="13.5" outlineLevel="1">
      <c r="B115" s="224"/>
      <c r="D115" s="2267" t="s">
        <v>1951</v>
      </c>
      <c r="E115" s="2267"/>
      <c r="F115" s="2267" t="s">
        <v>1952</v>
      </c>
      <c r="H115" s="848">
        <f t="shared" si="15"/>
        <v>-43602.843836325665</v>
      </c>
      <c r="J115" s="848">
        <f>IF(I$85+SUM(I$90:I115)&gt;0,IF(I$85+SUM(I$90:I116)&gt;0,0,I$85+SUM(I$90:I116)),I116)</f>
        <v>0</v>
      </c>
      <c r="K115" s="848">
        <f>IF(J$85+SUM(J$90:J115)&gt;0,IF(J$85+SUM(J$90:J116)&gt;0,0,J$85+SUM(J$90:J116)),J116)</f>
        <v>0</v>
      </c>
      <c r="L115" s="848">
        <f>IF(K$85+SUM(K$90:K115)&gt;0,IF(K$85+SUM(K$90:K116)&gt;0,0,K$85+SUM(K$90:K116)),K116)</f>
        <v>0</v>
      </c>
      <c r="M115" s="848">
        <f>IF(L$85+SUM(L$90:L115)&gt;0,IF(L$85+SUM(L$90:L116)&gt;0,0,L$85+SUM(L$90:L116)),L116)</f>
        <v>0</v>
      </c>
      <c r="N115" s="848">
        <f>IF(M$85+SUM(M$90:M115)&gt;0,IF(M$85+SUM(M$90:M116)&gt;0,0,M$85+SUM(M$90:M116)),M116)</f>
        <v>0</v>
      </c>
      <c r="O115" s="848">
        <f>IF(N$85+SUM(N$90:N115)&gt;0,IF(N$85+SUM(N$90:N116)&gt;0,0,N$85+SUM(N$90:N116)),N116)</f>
        <v>0</v>
      </c>
      <c r="P115" s="848">
        <f>IF(O$85+SUM(O$90:O115)&gt;0,IF(O$85+SUM(O$90:O116)&gt;0,0,O$85+SUM(O$90:O116)),O116)</f>
        <v>0</v>
      </c>
      <c r="Q115" s="848">
        <f>IF(P$85+SUM(P$90:P115)&gt;0,IF(P$85+SUM(P$90:P116)&gt;0,0,P$85+SUM(P$90:P116)),P116)</f>
        <v>0</v>
      </c>
      <c r="R115" s="848">
        <f>IF(Q$85+SUM(Q$90:Q115)&gt;0,IF(Q$85+SUM(Q$90:Q116)&gt;0,0,Q$85+SUM(Q$90:Q116)),Q116)</f>
        <v>0</v>
      </c>
      <c r="S115" s="848">
        <f>IF(R$85+SUM(R$90:R115)&gt;0,IF(R$85+SUM(R$90:R116)&gt;0,0,R$85+SUM(R$90:R116)),R116)</f>
        <v>0</v>
      </c>
      <c r="T115" s="848">
        <f>IF(S$85+SUM(S$90:S115)&gt;0,IF(S$85+SUM(S$90:S116)&gt;0,0,S$85+SUM(S$90:S116)),S116)</f>
        <v>-652.61925893875832</v>
      </c>
      <c r="U115" s="848">
        <f>IF(T$85+SUM(T$90:T115)&gt;0,IF(T$85+SUM(T$90:T116)&gt;0,0,T$85+SUM(T$90:T116)),T116)</f>
        <v>-13275.272923045477</v>
      </c>
      <c r="V115" s="848">
        <f>IF(U$85+SUM(U$90:U115)&gt;0,IF(U$85+SUM(U$90:U116)&gt;0,0,U$85+SUM(U$90:U116)),U116)</f>
        <v>-4540.8309796071462</v>
      </c>
      <c r="W115" s="848">
        <f>IF(V$85+SUM(V$90:V115)&gt;0,IF(V$85+SUM(V$90:V116)&gt;0,0,V$85+SUM(V$90:V116)),V116)</f>
        <v>-3772.2104685200857</v>
      </c>
      <c r="X115" s="848">
        <f>IF(W$85+SUM(W$90:W115)&gt;0,IF(W$85+SUM(W$90:W116)&gt;0,0,W$85+SUM(W$90:W116)),W116)</f>
        <v>-4243.4630396185048</v>
      </c>
      <c r="Y115" s="848">
        <f>IF(X$85+SUM(X$90:X115)&gt;0,IF(X$85+SUM(X$90:X116)&gt;0,0,X$85+SUM(X$90:X116)),X116)</f>
        <v>-10263.465347692647</v>
      </c>
      <c r="Z115" s="848">
        <f>IF(Y$85+SUM(Y$90:Y115)&gt;0,IF(Y$85+SUM(Y$90:Y116)&gt;0,0,Y$85+SUM(Y$90:Y116)),Y116)</f>
        <v>-967.66016749293522</v>
      </c>
      <c r="AA115" s="848">
        <f>IF(Z$85+SUM(Z$90:Z115)&gt;0,IF(Z$85+SUM(Z$90:Z116)&gt;0,0,Z$85+SUM(Z$90:Z116)),Z116)</f>
        <v>0</v>
      </c>
      <c r="AB115" s="848">
        <f>IF(AA$85+SUM(AA$90:AA115)&gt;0,IF(AA$85+SUM(AA$90:AA116)&gt;0,0,AA$85+SUM(AA$90:AA116)),AA116)</f>
        <v>-325.52194382869857</v>
      </c>
      <c r="AC115" s="848">
        <f>IF(AB$85+SUM(AB$90:AB115)&gt;0,IF(AB$85+SUM(AB$90:AB116)&gt;0,0,AB$85+SUM(AB$90:AB116)),AB116)</f>
        <v>-5561.7997075814146</v>
      </c>
      <c r="AD115" s="848">
        <f>IF(AC$85+SUM(AC$90:AC115)&gt;0,IF(AC$85+SUM(AC$90:AC116)&gt;0,0,AC$85+SUM(AC$90:AC116)),AC116)</f>
        <v>0</v>
      </c>
      <c r="AE115" s="848">
        <f>IF(AD$85+SUM(AD$90:AD115)&gt;0,IF(AD$85+SUM(AD$90:AD116)&gt;0,0,AD$85+SUM(AD$90:AD116)),AD116)</f>
        <v>0</v>
      </c>
    </row>
    <row r="116" spans="2:31" s="218" customFormat="1" ht="13.5" outlineLevel="1">
      <c r="B116" s="224"/>
      <c r="D116" s="2267" t="s">
        <v>1953</v>
      </c>
      <c r="E116" s="2267"/>
      <c r="F116" s="2267" t="s">
        <v>1954</v>
      </c>
      <c r="H116" s="848">
        <f t="shared" si="15"/>
        <v>-43602.843836325665</v>
      </c>
      <c r="J116" s="848">
        <f>IF(I$85+SUM(I$90:I116)&gt;0,IF(I$85+SUM(I$90:I117)&gt;0,0,I$85+SUM(I$90:I117)),I117)</f>
        <v>0</v>
      </c>
      <c r="K116" s="848">
        <f>IF(J$85+SUM(J$90:J116)&gt;0,IF(J$85+SUM(J$90:J117)&gt;0,0,J$85+SUM(J$90:J117)),J117)</f>
        <v>0</v>
      </c>
      <c r="L116" s="848">
        <f>IF(K$85+SUM(K$90:K116)&gt;0,IF(K$85+SUM(K$90:K117)&gt;0,0,K$85+SUM(K$90:K117)),K117)</f>
        <v>0</v>
      </c>
      <c r="M116" s="848">
        <f>IF(L$85+SUM(L$90:L116)&gt;0,IF(L$85+SUM(L$90:L117)&gt;0,0,L$85+SUM(L$90:L117)),L117)</f>
        <v>0</v>
      </c>
      <c r="N116" s="848">
        <f>IF(M$85+SUM(M$90:M116)&gt;0,IF(M$85+SUM(M$90:M117)&gt;0,0,M$85+SUM(M$90:M117)),M117)</f>
        <v>0</v>
      </c>
      <c r="O116" s="848">
        <f>IF(N$85+SUM(N$90:N116)&gt;0,IF(N$85+SUM(N$90:N117)&gt;0,0,N$85+SUM(N$90:N117)),N117)</f>
        <v>0</v>
      </c>
      <c r="P116" s="848">
        <f>IF(O$85+SUM(O$90:O116)&gt;0,IF(O$85+SUM(O$90:O117)&gt;0,0,O$85+SUM(O$90:O117)),O117)</f>
        <v>0</v>
      </c>
      <c r="Q116" s="848">
        <f>IF(P$85+SUM(P$90:P116)&gt;0,IF(P$85+SUM(P$90:P117)&gt;0,0,P$85+SUM(P$90:P117)),P117)</f>
        <v>0</v>
      </c>
      <c r="R116" s="848">
        <f>IF(Q$85+SUM(Q$90:Q116)&gt;0,IF(Q$85+SUM(Q$90:Q117)&gt;0,0,Q$85+SUM(Q$90:Q117)),Q117)</f>
        <v>0</v>
      </c>
      <c r="S116" s="848">
        <f>IF(R$85+SUM(R$90:R116)&gt;0,IF(R$85+SUM(R$90:R117)&gt;0,0,R$85+SUM(R$90:R117)),R117)</f>
        <v>-652.61925893875832</v>
      </c>
      <c r="T116" s="848">
        <f>IF(S$85+SUM(S$90:S116)&gt;0,IF(S$85+SUM(S$90:S117)&gt;0,0,S$85+SUM(S$90:S117)),S117)</f>
        <v>-13275.272923045477</v>
      </c>
      <c r="U116" s="848">
        <f>IF(T$85+SUM(T$90:T116)&gt;0,IF(T$85+SUM(T$90:T117)&gt;0,0,T$85+SUM(T$90:T117)),T117)</f>
        <v>-4540.8309796071462</v>
      </c>
      <c r="V116" s="848">
        <f>IF(U$85+SUM(U$90:U116)&gt;0,IF(U$85+SUM(U$90:U117)&gt;0,0,U$85+SUM(U$90:U117)),U117)</f>
        <v>-3772.2104685200857</v>
      </c>
      <c r="W116" s="848">
        <f>IF(V$85+SUM(V$90:V116)&gt;0,IF(V$85+SUM(V$90:V117)&gt;0,0,V$85+SUM(V$90:V117)),V117)</f>
        <v>-4243.4630396185048</v>
      </c>
      <c r="X116" s="848">
        <f>IF(W$85+SUM(W$90:W116)&gt;0,IF(W$85+SUM(W$90:W117)&gt;0,0,W$85+SUM(W$90:W117)),W117)</f>
        <v>-10263.465347692647</v>
      </c>
      <c r="Y116" s="848">
        <f>IF(X$85+SUM(X$90:X116)&gt;0,IF(X$85+SUM(X$90:X117)&gt;0,0,X$85+SUM(X$90:X117)),X117)</f>
        <v>-967.66016749293522</v>
      </c>
      <c r="Z116" s="848">
        <f>IF(Y$85+SUM(Y$90:Y116)&gt;0,IF(Y$85+SUM(Y$90:Y117)&gt;0,0,Y$85+SUM(Y$90:Y117)),Y117)</f>
        <v>0</v>
      </c>
      <c r="AA116" s="848">
        <f>IF(Z$85+SUM(Z$90:Z116)&gt;0,IF(Z$85+SUM(Z$90:Z117)&gt;0,0,Z$85+SUM(Z$90:Z117)),Z117)</f>
        <v>-325.52194382869857</v>
      </c>
      <c r="AB116" s="848">
        <f>IF(AA$85+SUM(AA$90:AA116)&gt;0,IF(AA$85+SUM(AA$90:AA117)&gt;0,0,AA$85+SUM(AA$90:AA117)),AA117)</f>
        <v>-5561.7997075814146</v>
      </c>
      <c r="AC116" s="848">
        <f>IF(AB$85+SUM(AB$90:AB116)&gt;0,IF(AB$85+SUM(AB$90:AB117)&gt;0,0,AB$85+SUM(AB$90:AB117)),AB117)</f>
        <v>0</v>
      </c>
      <c r="AD116" s="848">
        <f>IF(AC$85+SUM(AC$90:AC116)&gt;0,IF(AC$85+SUM(AC$90:AC117)&gt;0,0,AC$85+SUM(AC$90:AC117)),AC117)</f>
        <v>0</v>
      </c>
      <c r="AE116" s="848">
        <f>IF(AD$85+SUM(AD$90:AD116)&gt;0,IF(AD$85+SUM(AD$90:AD117)&gt;0,0,AD$85+SUM(AD$90:AD117)),AD117)</f>
        <v>0</v>
      </c>
    </row>
    <row r="117" spans="2:31" s="218" customFormat="1" ht="13.5" outlineLevel="1">
      <c r="B117" s="224"/>
      <c r="D117" s="2267" t="s">
        <v>1955</v>
      </c>
      <c r="E117" s="2267"/>
      <c r="F117" s="2267" t="s">
        <v>1954</v>
      </c>
      <c r="H117" s="848">
        <f t="shared" si="15"/>
        <v>-43602.843836325665</v>
      </c>
      <c r="J117" s="848">
        <f>IF(I$85+SUM(I$90:I117)&gt;0,IF(I$85+SUM(I$90:I118)&gt;0,0,I$85+SUM(I$90:I118)),I118)</f>
        <v>0</v>
      </c>
      <c r="K117" s="848">
        <f>IF(J$85+SUM(J$90:J117)&gt;0,IF(J$85+SUM(J$90:J118)&gt;0,0,J$85+SUM(J$90:J118)),J118)</f>
        <v>0</v>
      </c>
      <c r="L117" s="848">
        <f>IF(K$85+SUM(K$90:K117)&gt;0,IF(K$85+SUM(K$90:K118)&gt;0,0,K$85+SUM(K$90:K118)),K118)</f>
        <v>0</v>
      </c>
      <c r="M117" s="848">
        <f>IF(L$85+SUM(L$90:L117)&gt;0,IF(L$85+SUM(L$90:L118)&gt;0,0,L$85+SUM(L$90:L118)),L118)</f>
        <v>0</v>
      </c>
      <c r="N117" s="848">
        <f>IF(M$85+SUM(M$90:M117)&gt;0,IF(M$85+SUM(M$90:M118)&gt;0,0,M$85+SUM(M$90:M118)),M118)</f>
        <v>0</v>
      </c>
      <c r="O117" s="848">
        <f>IF(N$85+SUM(N$90:N117)&gt;0,IF(N$85+SUM(N$90:N118)&gt;0,0,N$85+SUM(N$90:N118)),N118)</f>
        <v>0</v>
      </c>
      <c r="P117" s="848">
        <f>IF(O$85+SUM(O$90:O117)&gt;0,IF(O$85+SUM(O$90:O118)&gt;0,0,O$85+SUM(O$90:O118)),O118)</f>
        <v>0</v>
      </c>
      <c r="Q117" s="848">
        <f>IF(P$85+SUM(P$90:P117)&gt;0,IF(P$85+SUM(P$90:P118)&gt;0,0,P$85+SUM(P$90:P118)),P118)</f>
        <v>0</v>
      </c>
      <c r="R117" s="848">
        <f>IF(Q$85+SUM(Q$90:Q117)&gt;0,IF(Q$85+SUM(Q$90:Q118)&gt;0,0,Q$85+SUM(Q$90:Q118)),Q118)</f>
        <v>-652.61925893875832</v>
      </c>
      <c r="S117" s="848">
        <f>IF(R$85+SUM(R$90:R117)&gt;0,IF(R$85+SUM(R$90:R118)&gt;0,0,R$85+SUM(R$90:R118)),R118)</f>
        <v>-13275.272923045477</v>
      </c>
      <c r="T117" s="848">
        <f>IF(S$85+SUM(S$90:S117)&gt;0,IF(S$85+SUM(S$90:S118)&gt;0,0,S$85+SUM(S$90:S118)),S118)</f>
        <v>-4540.8309796071462</v>
      </c>
      <c r="U117" s="848">
        <f>IF(T$85+SUM(T$90:T117)&gt;0,IF(T$85+SUM(T$90:T118)&gt;0,0,T$85+SUM(T$90:T118)),T118)</f>
        <v>-3772.2104685200857</v>
      </c>
      <c r="V117" s="848">
        <f>IF(U$85+SUM(U$90:U117)&gt;0,IF(U$85+SUM(U$90:U118)&gt;0,0,U$85+SUM(U$90:U118)),U118)</f>
        <v>-4243.4630396185048</v>
      </c>
      <c r="W117" s="848">
        <f>IF(V$85+SUM(V$90:V117)&gt;0,IF(V$85+SUM(V$90:V118)&gt;0,0,V$85+SUM(V$90:V118)),V118)</f>
        <v>-10263.465347692647</v>
      </c>
      <c r="X117" s="848">
        <f>IF(W$85+SUM(W$90:W117)&gt;0,IF(W$85+SUM(W$90:W118)&gt;0,0,W$85+SUM(W$90:W118)),W118)</f>
        <v>-967.66016749293522</v>
      </c>
      <c r="Y117" s="848">
        <f>IF(X$85+SUM(X$90:X117)&gt;0,IF(X$85+SUM(X$90:X118)&gt;0,0,X$85+SUM(X$90:X118)),X118)</f>
        <v>0</v>
      </c>
      <c r="Z117" s="848">
        <f>IF(Y$85+SUM(Y$90:Y117)&gt;0,IF(Y$85+SUM(Y$90:Y118)&gt;0,0,Y$85+SUM(Y$90:Y118)),Y118)</f>
        <v>-325.52194382869857</v>
      </c>
      <c r="AA117" s="848">
        <f>IF(Z$85+SUM(Z$90:Z117)&gt;0,IF(Z$85+SUM(Z$90:Z118)&gt;0,0,Z$85+SUM(Z$90:Z118)),Z118)</f>
        <v>-5561.7997075814146</v>
      </c>
      <c r="AB117" s="848">
        <f>IF(AA$85+SUM(AA$90:AA117)&gt;0,IF(AA$85+SUM(AA$90:AA118)&gt;0,0,AA$85+SUM(AA$90:AA118)),AA118)</f>
        <v>0</v>
      </c>
      <c r="AC117" s="848">
        <f>IF(AB$85+SUM(AB$90:AB117)&gt;0,IF(AB$85+SUM(AB$90:AB118)&gt;0,0,AB$85+SUM(AB$90:AB118)),AB118)</f>
        <v>0</v>
      </c>
      <c r="AD117" s="848">
        <f>IF(AC$85+SUM(AC$90:AC117)&gt;0,IF(AC$85+SUM(AC$90:AC118)&gt;0,0,AC$85+SUM(AC$90:AC118)),AC118)</f>
        <v>0</v>
      </c>
      <c r="AE117" s="848">
        <f>IF(AD$85+SUM(AD$90:AD117)&gt;0,IF(AD$85+SUM(AD$90:AD118)&gt;0,0,AD$85+SUM(AD$90:AD118)),AD118)</f>
        <v>0</v>
      </c>
    </row>
    <row r="118" spans="2:31" s="218" customFormat="1" ht="13.5" outlineLevel="1">
      <c r="B118" s="224"/>
      <c r="D118" s="2267" t="s">
        <v>1956</v>
      </c>
      <c r="E118" s="2267"/>
      <c r="F118" s="2267" t="s">
        <v>1957</v>
      </c>
      <c r="H118" s="848">
        <f t="shared" si="15"/>
        <v>-43602.843836325665</v>
      </c>
      <c r="J118" s="848">
        <f>IF(I$85+SUM(I$90:I118)&gt;0,IF(I$85+SUM(I$90:I119)&gt;0,0,I$85+SUM(I$90:I119)),I119)</f>
        <v>0</v>
      </c>
      <c r="K118" s="848">
        <f>IF(J$85+SUM(J$90:J118)&gt;0,IF(J$85+SUM(J$90:J119)&gt;0,0,J$85+SUM(J$90:J119)),J119)</f>
        <v>0</v>
      </c>
      <c r="L118" s="848">
        <f>IF(K$85+SUM(K$90:K118)&gt;0,IF(K$85+SUM(K$90:K119)&gt;0,0,K$85+SUM(K$90:K119)),K119)</f>
        <v>0</v>
      </c>
      <c r="M118" s="848">
        <f>IF(L$85+SUM(L$90:L118)&gt;0,IF(L$85+SUM(L$90:L119)&gt;0,0,L$85+SUM(L$90:L119)),L119)</f>
        <v>0</v>
      </c>
      <c r="N118" s="848">
        <f>IF(M$85+SUM(M$90:M118)&gt;0,IF(M$85+SUM(M$90:M119)&gt;0,0,M$85+SUM(M$90:M119)),M119)</f>
        <v>0</v>
      </c>
      <c r="O118" s="848">
        <f>IF(N$85+SUM(N$90:N118)&gt;0,IF(N$85+SUM(N$90:N119)&gt;0,0,N$85+SUM(N$90:N119)),N119)</f>
        <v>0</v>
      </c>
      <c r="P118" s="848">
        <f>IF(O$85+SUM(O$90:O118)&gt;0,IF(O$85+SUM(O$90:O119)&gt;0,0,O$85+SUM(O$90:O119)),O119)</f>
        <v>0</v>
      </c>
      <c r="Q118" s="848">
        <f>IF(P$85+SUM(P$90:P118)&gt;0,IF(P$85+SUM(P$90:P119)&gt;0,0,P$85+SUM(P$90:P119)),P119)</f>
        <v>-652.61925893875832</v>
      </c>
      <c r="R118" s="848">
        <f>IF(Q$85+SUM(Q$90:Q118)&gt;0,IF(Q$85+SUM(Q$90:Q119)&gt;0,0,Q$85+SUM(Q$90:Q119)),Q119)</f>
        <v>-13275.272923045477</v>
      </c>
      <c r="S118" s="848">
        <f>IF(R$85+SUM(R$90:R118)&gt;0,IF(R$85+SUM(R$90:R119)&gt;0,0,R$85+SUM(R$90:R119)),R119)</f>
        <v>-4540.8309796071462</v>
      </c>
      <c r="T118" s="848">
        <f>IF(S$85+SUM(S$90:S118)&gt;0,IF(S$85+SUM(S$90:S119)&gt;0,0,S$85+SUM(S$90:S119)),S119)</f>
        <v>-3772.2104685200857</v>
      </c>
      <c r="U118" s="848">
        <f>IF(T$85+SUM(T$90:T118)&gt;0,IF(T$85+SUM(T$90:T119)&gt;0,0,T$85+SUM(T$90:T119)),T119)</f>
        <v>-4243.4630396185048</v>
      </c>
      <c r="V118" s="848">
        <f>IF(U$85+SUM(U$90:U118)&gt;0,IF(U$85+SUM(U$90:U119)&gt;0,0,U$85+SUM(U$90:U119)),U119)</f>
        <v>-10263.465347692647</v>
      </c>
      <c r="W118" s="848">
        <f>IF(V$85+SUM(V$90:V118)&gt;0,IF(V$85+SUM(V$90:V119)&gt;0,0,V$85+SUM(V$90:V119)),V119)</f>
        <v>-967.66016749293522</v>
      </c>
      <c r="X118" s="848">
        <f>IF(W$85+SUM(W$90:W118)&gt;0,IF(W$85+SUM(W$90:W119)&gt;0,0,W$85+SUM(W$90:W119)),W119)</f>
        <v>0</v>
      </c>
      <c r="Y118" s="848">
        <f>IF(X$85+SUM(X$90:X118)&gt;0,IF(X$85+SUM(X$90:X119)&gt;0,0,X$85+SUM(X$90:X119)),X119)</f>
        <v>-325.52194382869857</v>
      </c>
      <c r="Z118" s="848">
        <f>IF(Y$85+SUM(Y$90:Y118)&gt;0,IF(Y$85+SUM(Y$90:Y119)&gt;0,0,Y$85+SUM(Y$90:Y119)),Y119)</f>
        <v>-5561.7997075814146</v>
      </c>
      <c r="AA118" s="848">
        <f>IF(Z$85+SUM(Z$90:Z118)&gt;0,IF(Z$85+SUM(Z$90:Z119)&gt;0,0,Z$85+SUM(Z$90:Z119)),Z119)</f>
        <v>0</v>
      </c>
      <c r="AB118" s="848">
        <f>IF(AA$85+SUM(AA$90:AA118)&gt;0,IF(AA$85+SUM(AA$90:AA119)&gt;0,0,AA$85+SUM(AA$90:AA119)),AA119)</f>
        <v>0</v>
      </c>
      <c r="AC118" s="848">
        <f>IF(AB$85+SUM(AB$90:AB118)&gt;0,IF(AB$85+SUM(AB$90:AB119)&gt;0,0,AB$85+SUM(AB$90:AB119)),AB119)</f>
        <v>0</v>
      </c>
      <c r="AD118" s="848">
        <f>IF(AC$85+SUM(AC$90:AC118)&gt;0,IF(AC$85+SUM(AC$90:AC119)&gt;0,0,AC$85+SUM(AC$90:AC119)),AC119)</f>
        <v>0</v>
      </c>
      <c r="AE118" s="848">
        <f>IF(AD$85+SUM(AD$90:AD118)&gt;0,IF(AD$85+SUM(AD$90:AD119)&gt;0,0,AD$85+SUM(AD$90:AD119)),AD119)</f>
        <v>0</v>
      </c>
    </row>
    <row r="119" spans="2:31" s="218" customFormat="1" ht="13.5" outlineLevel="1">
      <c r="B119" s="224"/>
      <c r="D119" s="2268" t="s">
        <v>1958</v>
      </c>
      <c r="E119" s="2269"/>
      <c r="F119" s="2269" t="s">
        <v>1957</v>
      </c>
      <c r="H119" s="848">
        <f t="shared" si="15"/>
        <v>-43602.843836325665</v>
      </c>
      <c r="J119" s="848">
        <f>IF(I$85+SUM(I$90:I119)&gt;0,0,MIN(0,I$85))</f>
        <v>0</v>
      </c>
      <c r="K119" s="848">
        <f>IF(J$85+SUM(J$90:J119)&gt;0,0,MIN(0,J$85))</f>
        <v>0</v>
      </c>
      <c r="L119" s="848">
        <f>IF(K$85+SUM(K$90:K119)&gt;0,0,MIN(0,K$85))</f>
        <v>0</v>
      </c>
      <c r="M119" s="848">
        <f>IF(L$85+SUM(L$90:L119)&gt;0,0,MIN(0,L$85))</f>
        <v>0</v>
      </c>
      <c r="N119" s="848">
        <f>IF(M$85+SUM(M$90:M119)&gt;0,0,MIN(0,M$85))</f>
        <v>0</v>
      </c>
      <c r="O119" s="848">
        <f>IF(N$85+SUM(N$90:N119)&gt;0,0,MIN(0,N$85))</f>
        <v>0</v>
      </c>
      <c r="P119" s="848">
        <f>IF(O$85+SUM(O$90:O119)&gt;0,0,MIN(0,O$85))</f>
        <v>-652.61925893875832</v>
      </c>
      <c r="Q119" s="848">
        <f>IF(P$85+SUM(P$90:P119)&gt;0,0,MIN(0,P$85))</f>
        <v>-13275.272923045477</v>
      </c>
      <c r="R119" s="848">
        <f>IF(Q$85+SUM(Q$90:Q119)&gt;0,0,MIN(0,Q$85))</f>
        <v>-4540.8309796071462</v>
      </c>
      <c r="S119" s="848">
        <f>IF(R$85+SUM(R$90:R119)&gt;0,0,MIN(0,R$85))</f>
        <v>-3772.2104685200857</v>
      </c>
      <c r="T119" s="848">
        <f>IF(S$85+SUM(S$90:S119)&gt;0,0,MIN(0,S$85))</f>
        <v>-4243.4630396185048</v>
      </c>
      <c r="U119" s="848">
        <f>IF(T$85+SUM(T$90:T119)&gt;0,0,MIN(0,T$85))</f>
        <v>-10263.465347692647</v>
      </c>
      <c r="V119" s="848">
        <f>IF(U$85+SUM(U$90:U119)&gt;0,0,MIN(0,U$85))</f>
        <v>-967.66016749293522</v>
      </c>
      <c r="W119" s="848">
        <f>IF(V$85+SUM(V$90:V119)&gt;0,0,MIN(0,V$85))</f>
        <v>0</v>
      </c>
      <c r="X119" s="848">
        <f>IF(W$85+SUM(W$90:W119)&gt;0,0,MIN(0,W$85))</f>
        <v>-325.52194382869857</v>
      </c>
      <c r="Y119" s="848">
        <f>IF(X$85+SUM(X$90:X119)&gt;0,0,MIN(0,X$85))</f>
        <v>-5561.7997075814146</v>
      </c>
      <c r="Z119" s="848">
        <f>IF(Y$85+SUM(Y$90:Y119)&gt;0,0,MIN(0,Y$85))</f>
        <v>0</v>
      </c>
      <c r="AA119" s="848">
        <f>IF(Z$85+SUM(Z$90:Z119)&gt;0,0,MIN(0,Z$85))</f>
        <v>0</v>
      </c>
      <c r="AB119" s="848">
        <f>IF(AA$85+SUM(AA$90:AA119)&gt;0,0,MIN(0,AA$85))</f>
        <v>0</v>
      </c>
      <c r="AC119" s="848">
        <f>IF(AB$85+SUM(AB$90:AB119)&gt;0,0,MIN(0,AB$85))</f>
        <v>0</v>
      </c>
      <c r="AD119" s="848">
        <f>IF(AC$85+SUM(AC$90:AC119)&gt;0,0,MIN(0,AC$85))</f>
        <v>0</v>
      </c>
      <c r="AE119" s="848">
        <f>IF(AD$85+SUM(AD$90:AD119)&gt;0,0,MIN(0,AD$85))</f>
        <v>0</v>
      </c>
    </row>
    <row r="120" spans="2:31" s="218" customFormat="1" outlineLevel="1">
      <c r="B120" s="224"/>
      <c r="H120" s="244"/>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row>
    <row r="121" spans="2:31" s="218" customFormat="1" ht="13.5">
      <c r="B121" s="224"/>
      <c r="D121" s="218" t="s">
        <v>196</v>
      </c>
      <c r="G121" s="2266" t="s">
        <v>1959</v>
      </c>
      <c r="H121" s="848">
        <f>SUM(J121:AE121)</f>
        <v>-434785.3660009153</v>
      </c>
      <c r="J121" s="848">
        <f>SUM(J90:J119)</f>
        <v>0</v>
      </c>
      <c r="K121" s="848">
        <f>SUM(K90:K119)</f>
        <v>0</v>
      </c>
      <c r="L121" s="848">
        <f t="shared" ref="L121:AE121" si="16">SUM(L90:L119)</f>
        <v>0</v>
      </c>
      <c r="M121" s="848">
        <f t="shared" si="16"/>
        <v>0</v>
      </c>
      <c r="N121" s="848">
        <f t="shared" si="16"/>
        <v>0</v>
      </c>
      <c r="O121" s="848">
        <f t="shared" si="16"/>
        <v>0</v>
      </c>
      <c r="P121" s="848">
        <f t="shared" si="16"/>
        <v>-652.61925893875832</v>
      </c>
      <c r="Q121" s="848">
        <f t="shared" si="16"/>
        <v>-13927.892181984236</v>
      </c>
      <c r="R121" s="848">
        <f t="shared" si="16"/>
        <v>-18468.723161591384</v>
      </c>
      <c r="S121" s="848">
        <f t="shared" si="16"/>
        <v>-22240.933630111471</v>
      </c>
      <c r="T121" s="848">
        <f t="shared" si="16"/>
        <v>-26484.396669729977</v>
      </c>
      <c r="U121" s="848">
        <f t="shared" si="16"/>
        <v>-36747.862017422623</v>
      </c>
      <c r="V121" s="848">
        <f t="shared" si="16"/>
        <v>-37715.522184915557</v>
      </c>
      <c r="W121" s="848">
        <f t="shared" si="16"/>
        <v>-37024.705328193828</v>
      </c>
      <c r="X121" s="848">
        <f t="shared" si="16"/>
        <v>-37350.22727202253</v>
      </c>
      <c r="Y121" s="848">
        <f t="shared" si="16"/>
        <v>-42912.026979603943</v>
      </c>
      <c r="Z121" s="848">
        <f t="shared" si="16"/>
        <v>-40262.617129087601</v>
      </c>
      <c r="AA121" s="848">
        <f t="shared" si="16"/>
        <v>-35927.877067173351</v>
      </c>
      <c r="AB121" s="848">
        <f t="shared" si="16"/>
        <v>-32790.969773744713</v>
      </c>
      <c r="AC121" s="848">
        <f t="shared" si="16"/>
        <v>-27942.68675394648</v>
      </c>
      <c r="AD121" s="848">
        <f t="shared" si="16"/>
        <v>-24336.30659244884</v>
      </c>
      <c r="AE121" s="848">
        <f t="shared" si="16"/>
        <v>0</v>
      </c>
    </row>
    <row r="122" spans="2:31" s="219" customFormat="1">
      <c r="B122" s="220"/>
      <c r="C122" s="221"/>
      <c r="D122" s="221"/>
      <c r="E122" s="221"/>
      <c r="F122" s="221"/>
      <c r="G122" s="221"/>
      <c r="H122" s="240"/>
      <c r="I122" s="218"/>
      <c r="J122" s="240"/>
      <c r="K122" s="240"/>
      <c r="L122" s="240"/>
      <c r="M122" s="240"/>
      <c r="N122" s="240"/>
      <c r="O122" s="240"/>
      <c r="P122" s="240"/>
      <c r="Q122" s="240"/>
      <c r="R122" s="240"/>
      <c r="S122" s="240"/>
      <c r="T122" s="240"/>
      <c r="U122" s="240"/>
      <c r="V122" s="240"/>
      <c r="W122" s="240"/>
      <c r="X122" s="240"/>
      <c r="Y122" s="240"/>
      <c r="Z122" s="240"/>
      <c r="AA122" s="240"/>
      <c r="AB122" s="240"/>
      <c r="AC122" s="240"/>
      <c r="AD122" s="240"/>
      <c r="AE122" s="240"/>
    </row>
    <row r="123" spans="2:31" s="219" customFormat="1" ht="13.5">
      <c r="B123" s="224"/>
      <c r="C123" s="2265" t="s">
        <v>1960</v>
      </c>
      <c r="D123" s="218"/>
      <c r="E123" s="218"/>
      <c r="F123" s="218"/>
      <c r="G123" s="2266" t="s">
        <v>1961</v>
      </c>
      <c r="H123" s="848">
        <f t="shared" ref="H123" si="17">SUM(J123:AE123)</f>
        <v>432669.91143779905</v>
      </c>
      <c r="I123" s="218"/>
      <c r="J123" s="848">
        <f>SUM(J85,J121)*(SUM(J85,J121)&gt;0)</f>
        <v>0</v>
      </c>
      <c r="K123" s="848">
        <f t="shared" ref="K123:AE123" si="18">SUM(K85,K121)*(SUM(K85,K121)&gt;0)</f>
        <v>0</v>
      </c>
      <c r="L123" s="848">
        <f t="shared" si="18"/>
        <v>0</v>
      </c>
      <c r="M123" s="848">
        <f t="shared" si="18"/>
        <v>0</v>
      </c>
      <c r="N123" s="848">
        <f t="shared" si="18"/>
        <v>0</v>
      </c>
      <c r="O123" s="848">
        <f t="shared" si="18"/>
        <v>0</v>
      </c>
      <c r="P123" s="848">
        <f t="shared" si="18"/>
        <v>0</v>
      </c>
      <c r="Q123" s="848">
        <f t="shared" si="18"/>
        <v>0</v>
      </c>
      <c r="R123" s="848">
        <f t="shared" si="18"/>
        <v>0</v>
      </c>
      <c r="S123" s="848">
        <f t="shared" si="18"/>
        <v>0</v>
      </c>
      <c r="T123" s="848">
        <f t="shared" si="18"/>
        <v>0</v>
      </c>
      <c r="U123" s="848">
        <f t="shared" si="18"/>
        <v>0</v>
      </c>
      <c r="V123" s="848">
        <f t="shared" si="18"/>
        <v>0</v>
      </c>
      <c r="W123" s="848">
        <f t="shared" si="18"/>
        <v>0</v>
      </c>
      <c r="X123" s="848">
        <f t="shared" si="18"/>
        <v>0</v>
      </c>
      <c r="Y123" s="848">
        <f t="shared" si="18"/>
        <v>0</v>
      </c>
      <c r="Z123" s="848">
        <f t="shared" si="18"/>
        <v>0</v>
      </c>
      <c r="AA123" s="848">
        <f t="shared" si="18"/>
        <v>0</v>
      </c>
      <c r="AB123" s="848">
        <f t="shared" si="18"/>
        <v>0</v>
      </c>
      <c r="AC123" s="848">
        <f t="shared" si="18"/>
        <v>0</v>
      </c>
      <c r="AD123" s="848">
        <f t="shared" si="18"/>
        <v>432669.91143779905</v>
      </c>
      <c r="AE123" s="848">
        <f t="shared" si="18"/>
        <v>0</v>
      </c>
    </row>
    <row r="124" spans="2:31" s="219" customFormat="1" ht="13.5">
      <c r="B124" s="224"/>
      <c r="C124" s="218" t="s">
        <v>1962</v>
      </c>
      <c r="D124" s="218"/>
      <c r="E124" s="218"/>
      <c r="F124" s="218"/>
      <c r="G124" s="218"/>
      <c r="H124" s="244"/>
      <c r="I124" s="218"/>
      <c r="J124" s="234"/>
      <c r="K124" s="234"/>
      <c r="L124" s="234"/>
      <c r="M124" s="234"/>
      <c r="N124" s="234"/>
      <c r="O124" s="234"/>
      <c r="P124" s="234"/>
      <c r="Q124" s="234"/>
      <c r="R124" s="234"/>
      <c r="S124" s="234"/>
      <c r="T124" s="234"/>
      <c r="U124" s="234"/>
      <c r="V124" s="234"/>
      <c r="W124" s="234"/>
      <c r="X124" s="234"/>
      <c r="Y124" s="234"/>
      <c r="Z124" s="234"/>
      <c r="AA124" s="234"/>
      <c r="AB124" s="234"/>
      <c r="AC124" s="234"/>
      <c r="AD124" s="234"/>
      <c r="AE124" s="234"/>
    </row>
    <row r="125" spans="2:31" s="219" customFormat="1">
      <c r="B125" s="224"/>
      <c r="C125" s="218"/>
      <c r="D125" s="218"/>
      <c r="E125" s="218"/>
      <c r="F125" s="218"/>
      <c r="G125" s="218"/>
      <c r="H125" s="244"/>
      <c r="I125" s="218"/>
      <c r="J125" s="234"/>
      <c r="K125" s="234"/>
      <c r="L125" s="234"/>
      <c r="M125" s="234"/>
      <c r="N125" s="234"/>
      <c r="O125" s="234"/>
      <c r="P125" s="234"/>
      <c r="Q125" s="234"/>
      <c r="R125" s="234"/>
      <c r="S125" s="234"/>
      <c r="T125" s="234"/>
      <c r="U125" s="234"/>
      <c r="V125" s="234"/>
      <c r="W125" s="234"/>
      <c r="X125" s="234"/>
      <c r="Y125" s="234"/>
      <c r="Z125" s="234"/>
      <c r="AA125" s="234"/>
      <c r="AB125" s="234"/>
      <c r="AC125" s="234"/>
      <c r="AD125" s="234"/>
      <c r="AE125" s="234"/>
    </row>
    <row r="126" spans="2:31" s="218" customFormat="1" ht="13.5">
      <c r="B126" s="224"/>
      <c r="D126" s="218" t="s">
        <v>931</v>
      </c>
      <c r="H126" s="848">
        <f>SUM(J126:AE126)</f>
        <v>558608.53422372055</v>
      </c>
      <c r="J126" s="234">
        <v>0</v>
      </c>
      <c r="K126" s="234">
        <v>0</v>
      </c>
      <c r="L126" s="234">
        <v>0</v>
      </c>
      <c r="M126" s="234">
        <v>0</v>
      </c>
      <c r="N126" s="234">
        <v>0</v>
      </c>
      <c r="O126" s="234">
        <v>4860</v>
      </c>
      <c r="P126" s="234">
        <v>4860.0000000000018</v>
      </c>
      <c r="Q126" s="234">
        <v>4860.0000000000018</v>
      </c>
      <c r="R126" s="234">
        <v>4860.0000000000009</v>
      </c>
      <c r="S126" s="234">
        <v>4860.0000000000009</v>
      </c>
      <c r="T126" s="234">
        <v>5943</v>
      </c>
      <c r="U126" s="234">
        <v>5942.9999999999973</v>
      </c>
      <c r="V126" s="234">
        <v>6100.8872171842295</v>
      </c>
      <c r="W126" s="234">
        <v>5942.9999999999991</v>
      </c>
      <c r="X126" s="234">
        <v>5943.0000000000018</v>
      </c>
      <c r="Y126" s="234">
        <v>8059.4802109788398</v>
      </c>
      <c r="Z126" s="234">
        <v>9744.8104223767514</v>
      </c>
      <c r="AA126" s="234">
        <v>8546.9776538911428</v>
      </c>
      <c r="AB126" s="234">
        <v>10258.353380260731</v>
      </c>
      <c r="AC126" s="234">
        <v>9016.4505219601415</v>
      </c>
      <c r="AD126" s="234">
        <v>458809.5748170687</v>
      </c>
      <c r="AE126" s="234">
        <v>0</v>
      </c>
    </row>
    <row r="127" spans="2:31" s="219" customFormat="1" ht="13.5">
      <c r="B127" s="224"/>
      <c r="C127" s="218"/>
      <c r="D127" s="2265" t="s">
        <v>1686</v>
      </c>
      <c r="E127" s="218"/>
      <c r="F127" s="218"/>
      <c r="G127" s="2266" t="s">
        <v>1963</v>
      </c>
      <c r="H127" s="848">
        <f>SUM(J127:AE127)</f>
        <v>91674.843836325672</v>
      </c>
      <c r="I127" s="218"/>
      <c r="J127" s="234">
        <v>0</v>
      </c>
      <c r="K127" s="234">
        <v>0</v>
      </c>
      <c r="L127" s="234">
        <v>0</v>
      </c>
      <c r="M127" s="234">
        <v>0</v>
      </c>
      <c r="N127" s="234">
        <v>0</v>
      </c>
      <c r="O127" s="234">
        <v>5512.6192589387583</v>
      </c>
      <c r="P127" s="234">
        <v>18135.272923045479</v>
      </c>
      <c r="Q127" s="234">
        <v>9400.830979607148</v>
      </c>
      <c r="R127" s="234">
        <v>8632.2104685200866</v>
      </c>
      <c r="S127" s="234">
        <v>9103.4630396185057</v>
      </c>
      <c r="T127" s="234">
        <v>16206.465347692647</v>
      </c>
      <c r="U127" s="234">
        <v>6910.6601674929325</v>
      </c>
      <c r="V127" s="234">
        <v>0</v>
      </c>
      <c r="W127" s="234">
        <v>6268.5219438286977</v>
      </c>
      <c r="X127" s="234">
        <v>11504.799707581416</v>
      </c>
      <c r="Y127" s="234">
        <v>0</v>
      </c>
      <c r="Z127" s="234">
        <v>0</v>
      </c>
      <c r="AA127" s="234">
        <v>0</v>
      </c>
      <c r="AB127" s="234">
        <v>0</v>
      </c>
      <c r="AC127" s="234">
        <v>0</v>
      </c>
      <c r="AD127" s="234">
        <v>0</v>
      </c>
      <c r="AE127" s="234">
        <v>0</v>
      </c>
    </row>
    <row r="128" spans="2:31" s="218" customFormat="1" ht="13.5">
      <c r="B128" s="224"/>
      <c r="D128" s="2270" t="s">
        <v>1964</v>
      </c>
      <c r="E128" s="230"/>
      <c r="F128" s="230"/>
      <c r="G128" s="2271" t="s">
        <v>1965</v>
      </c>
      <c r="H128" s="972">
        <f>SUM(J128:AE128)</f>
        <v>510536.53422372055</v>
      </c>
      <c r="J128" s="232">
        <f>(J126-J127)*(J126-J127&gt;0)</f>
        <v>0</v>
      </c>
      <c r="K128" s="232">
        <f t="shared" ref="K128:AE128" si="19">(K126-K127)*(K126-K127&gt;0)</f>
        <v>0</v>
      </c>
      <c r="L128" s="232">
        <f t="shared" si="19"/>
        <v>0</v>
      </c>
      <c r="M128" s="232">
        <f t="shared" si="19"/>
        <v>0</v>
      </c>
      <c r="N128" s="232">
        <f t="shared" si="19"/>
        <v>0</v>
      </c>
      <c r="O128" s="232">
        <f t="shared" si="19"/>
        <v>0</v>
      </c>
      <c r="P128" s="232">
        <f t="shared" si="19"/>
        <v>0</v>
      </c>
      <c r="Q128" s="232">
        <f t="shared" si="19"/>
        <v>0</v>
      </c>
      <c r="R128" s="232">
        <f t="shared" si="19"/>
        <v>0</v>
      </c>
      <c r="S128" s="232">
        <f t="shared" si="19"/>
        <v>0</v>
      </c>
      <c r="T128" s="232">
        <f t="shared" si="19"/>
        <v>0</v>
      </c>
      <c r="U128" s="232">
        <f t="shared" si="19"/>
        <v>0</v>
      </c>
      <c r="V128" s="232">
        <f t="shared" si="19"/>
        <v>6100.8872171842295</v>
      </c>
      <c r="W128" s="232">
        <f t="shared" si="19"/>
        <v>0</v>
      </c>
      <c r="X128" s="232">
        <f t="shared" si="19"/>
        <v>0</v>
      </c>
      <c r="Y128" s="232">
        <f t="shared" si="19"/>
        <v>8059.4802109788398</v>
      </c>
      <c r="Z128" s="232">
        <f t="shared" si="19"/>
        <v>9744.8104223767514</v>
      </c>
      <c r="AA128" s="232">
        <f t="shared" si="19"/>
        <v>8546.9776538911428</v>
      </c>
      <c r="AB128" s="232">
        <f t="shared" si="19"/>
        <v>10258.353380260731</v>
      </c>
      <c r="AC128" s="232">
        <f t="shared" si="19"/>
        <v>9016.4505219601415</v>
      </c>
      <c r="AD128" s="232">
        <f t="shared" si="19"/>
        <v>458809.5748170687</v>
      </c>
      <c r="AE128" s="232">
        <f t="shared" si="19"/>
        <v>0</v>
      </c>
    </row>
    <row r="129" spans="2:31" s="219" customFormat="1" ht="13.5">
      <c r="B129" s="224"/>
      <c r="C129" s="218"/>
      <c r="D129" s="2265" t="s">
        <v>1966</v>
      </c>
      <c r="E129" s="218"/>
      <c r="F129" s="218"/>
      <c r="G129" s="2272" t="s">
        <v>1967</v>
      </c>
      <c r="H129" s="848">
        <f>SUM(J129:AE129)</f>
        <v>-129593.58219257333</v>
      </c>
      <c r="I129" s="218"/>
      <c r="J129" s="848">
        <f>IF(J123+J144&lt;0,-J128,(J123+J144-J128)*(J123+J144-J128&lt;0))</f>
        <v>0</v>
      </c>
      <c r="K129" s="848">
        <f t="shared" ref="K129:AE129" si="20">IF(K123+K144&lt;0,-K128,(K123+K144-K128)*(K123+K144-K128&lt;0))</f>
        <v>0</v>
      </c>
      <c r="L129" s="848">
        <f t="shared" si="20"/>
        <v>0</v>
      </c>
      <c r="M129" s="848">
        <f t="shared" si="20"/>
        <v>0</v>
      </c>
      <c r="N129" s="848">
        <f t="shared" si="20"/>
        <v>0</v>
      </c>
      <c r="O129" s="848">
        <f t="shared" si="20"/>
        <v>0</v>
      </c>
      <c r="P129" s="848">
        <f t="shared" si="20"/>
        <v>0</v>
      </c>
      <c r="Q129" s="848">
        <f t="shared" si="20"/>
        <v>0</v>
      </c>
      <c r="R129" s="848">
        <f t="shared" si="20"/>
        <v>0</v>
      </c>
      <c r="S129" s="848">
        <f t="shared" si="20"/>
        <v>0</v>
      </c>
      <c r="T129" s="848">
        <f t="shared" si="20"/>
        <v>0</v>
      </c>
      <c r="U129" s="848">
        <f t="shared" si="20"/>
        <v>0</v>
      </c>
      <c r="V129" s="848">
        <f t="shared" si="20"/>
        <v>-6100.8872171842295</v>
      </c>
      <c r="W129" s="848">
        <f t="shared" si="20"/>
        <v>0</v>
      </c>
      <c r="X129" s="848">
        <f t="shared" si="20"/>
        <v>0</v>
      </c>
      <c r="Y129" s="848">
        <f t="shared" si="20"/>
        <v>-8059.4802109788398</v>
      </c>
      <c r="Z129" s="848">
        <f t="shared" si="20"/>
        <v>-9744.8104223767514</v>
      </c>
      <c r="AA129" s="848">
        <f t="shared" si="20"/>
        <v>-8546.9776538911428</v>
      </c>
      <c r="AB129" s="848">
        <f t="shared" si="20"/>
        <v>-10258.353380260731</v>
      </c>
      <c r="AC129" s="848">
        <f t="shared" si="20"/>
        <v>-9016.4505219601415</v>
      </c>
      <c r="AD129" s="848">
        <f t="shared" si="20"/>
        <v>-77866.6227859215</v>
      </c>
      <c r="AE129" s="848">
        <f t="shared" si="20"/>
        <v>0</v>
      </c>
    </row>
    <row r="130" spans="2:31" s="219" customFormat="1" ht="13.5">
      <c r="B130" s="224"/>
      <c r="C130" s="218"/>
      <c r="D130" s="237"/>
      <c r="E130" s="237"/>
      <c r="F130" s="237"/>
      <c r="G130" s="2273"/>
      <c r="H130" s="2274"/>
      <c r="I130" s="218"/>
      <c r="J130" s="2274"/>
      <c r="K130" s="2274"/>
      <c r="L130" s="2274"/>
      <c r="M130" s="2274"/>
      <c r="N130" s="2274"/>
      <c r="O130" s="2274"/>
      <c r="P130" s="2274"/>
      <c r="Q130" s="2274"/>
      <c r="R130" s="2274"/>
      <c r="S130" s="2274"/>
      <c r="T130" s="2274"/>
      <c r="U130" s="2274"/>
      <c r="V130" s="2274"/>
      <c r="W130" s="2274"/>
      <c r="X130" s="2274"/>
      <c r="Y130" s="2274"/>
      <c r="Z130" s="2274"/>
      <c r="AA130" s="2274"/>
      <c r="AB130" s="2274"/>
      <c r="AC130" s="2274"/>
      <c r="AD130" s="2274"/>
      <c r="AE130" s="2274"/>
    </row>
    <row r="131" spans="2:31" s="219" customFormat="1" ht="13.5">
      <c r="B131" s="224"/>
      <c r="C131" s="2265" t="s">
        <v>1968</v>
      </c>
      <c r="E131" s="218"/>
      <c r="F131" s="218"/>
      <c r="G131" s="2266"/>
      <c r="H131" s="225"/>
      <c r="I131" s="218"/>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row>
    <row r="132" spans="2:31" s="219" customFormat="1" ht="7.15" customHeight="1" outlineLevel="1">
      <c r="B132" s="224"/>
      <c r="C132" s="218"/>
      <c r="D132" s="218"/>
      <c r="E132" s="218"/>
      <c r="F132" s="218"/>
      <c r="G132" s="2266"/>
      <c r="H132" s="225"/>
      <c r="I132" s="218"/>
      <c r="J132" s="226"/>
      <c r="K132" s="226"/>
      <c r="L132" s="226"/>
      <c r="M132" s="226"/>
      <c r="N132" s="226"/>
      <c r="O132" s="226"/>
      <c r="P132" s="226"/>
      <c r="Q132" s="226"/>
      <c r="R132" s="226"/>
      <c r="S132" s="226"/>
      <c r="T132" s="226"/>
      <c r="U132" s="226"/>
      <c r="V132" s="226"/>
      <c r="W132" s="226"/>
      <c r="X132" s="226"/>
      <c r="Y132" s="226"/>
      <c r="Z132" s="226"/>
      <c r="AA132" s="226"/>
      <c r="AB132" s="226"/>
      <c r="AC132" s="226"/>
      <c r="AD132" s="226"/>
      <c r="AE132" s="226"/>
    </row>
    <row r="133" spans="2:31" s="218" customFormat="1" ht="13.5" outlineLevel="1">
      <c r="B133" s="224"/>
      <c r="D133" s="218" t="s">
        <v>1969</v>
      </c>
      <c r="F133" s="218" t="s">
        <v>1970</v>
      </c>
      <c r="G133" s="2266"/>
      <c r="H133" s="848">
        <f t="shared" ref="H133:H142" si="21">SUM(J133:AE133)</f>
        <v>0</v>
      </c>
      <c r="J133" s="1012">
        <f>IF(I$123+SUM(I$133:I133)&gt;0,IF(I$123+SUM(I$133:I134)&gt;0,0,I$123+SUM(I$133:I134)),I134)</f>
        <v>0</v>
      </c>
      <c r="K133" s="1012">
        <f>IF(J$123+SUM(J$133:J133)&gt;0,IF(J$123+SUM(J$133:J134)&gt;0,0,J$123+SUM(J$133:J134)),J134)</f>
        <v>0</v>
      </c>
      <c r="L133" s="1012">
        <f>IF(K$123+SUM(K$133:K133)&gt;0,IF(K$123+SUM(K$133:K134)&gt;0,0,K$123+SUM(K$133:K134)),K134)</f>
        <v>0</v>
      </c>
      <c r="M133" s="1012">
        <f>IF(L$123+SUM(L$133:L133)&gt;0,IF(L$123+SUM(L$133:L134)&gt;0,0,L$123+SUM(L$133:L134)),L134)</f>
        <v>0</v>
      </c>
      <c r="N133" s="1012">
        <f>IF(M$123+SUM(M$133:M133)&gt;0,IF(M$123+SUM(M$133:M134)&gt;0,0,M$123+SUM(M$133:M134)),M134)</f>
        <v>0</v>
      </c>
      <c r="O133" s="1012">
        <f>IF(N$123+SUM(N$133:N133)&gt;0,IF(N$123+SUM(N$133:N134)&gt;0,0,N$123+SUM(N$133:N134)),N134)</f>
        <v>0</v>
      </c>
      <c r="P133" s="1012">
        <f>IF(O$123+SUM(O$133:O133)&gt;0,IF(O$123+SUM(O$133:O134)&gt;0,0,O$123+SUM(O$133:O134)),O134)</f>
        <v>0</v>
      </c>
      <c r="Q133" s="1012">
        <f>IF(P$123+SUM(P$133:P133)&gt;0,IF(P$123+SUM(P$133:P134)&gt;0,0,P$123+SUM(P$133:P134)),P134)</f>
        <v>0</v>
      </c>
      <c r="R133" s="1012">
        <f>IF(Q$123+SUM(Q$133:Q133)&gt;0,IF(Q$123+SUM(Q$133:Q134)&gt;0,0,Q$123+SUM(Q$133:Q134)),Q134)</f>
        <v>0</v>
      </c>
      <c r="S133" s="1012">
        <f>IF(R$123+SUM(R$133:R133)&gt;0,IF(R$123+SUM(R$133:R134)&gt;0,0,R$123+SUM(R$133:R134)),R134)</f>
        <v>0</v>
      </c>
      <c r="T133" s="1012">
        <f>IF(S$123+SUM(S$133:S133)&gt;0,IF(S$123+SUM(S$133:S134)&gt;0,0,S$123+SUM(S$133:S134)),S134)</f>
        <v>0</v>
      </c>
      <c r="U133" s="1012">
        <f>IF(T$123+SUM(T$133:T133)&gt;0,IF(T$123+SUM(T$133:T134)&gt;0,0,T$123+SUM(T$133:T134)),T134)</f>
        <v>0</v>
      </c>
      <c r="V133" s="1012">
        <f>IF(U$123+SUM(U$133:U133)&gt;0,IF(U$123+SUM(U$133:U134)&gt;0,0,U$123+SUM(U$133:U134)),U134)</f>
        <v>0</v>
      </c>
      <c r="W133" s="1012">
        <f>IF(V$123+SUM(V$133:V133)&gt;0,IF(V$123+SUM(V$133:V134)&gt;0,0,V$123+SUM(V$133:V134)),V134)</f>
        <v>0</v>
      </c>
      <c r="X133" s="1012">
        <f>IF(W$123+SUM(W$133:W133)&gt;0,IF(W$123+SUM(W$133:W134)&gt;0,0,W$123+SUM(W$133:W134)),W134)</f>
        <v>0</v>
      </c>
      <c r="Y133" s="1012">
        <f>IF(X$123+SUM(X$133:X133)&gt;0,IF(X$123+SUM(X$133:X134)&gt;0,0,X$123+SUM(X$133:X134)),X134)</f>
        <v>0</v>
      </c>
      <c r="Z133" s="1012">
        <f>IF(Y$123+SUM(Y$133:Y133)&gt;0,IF(Y$123+SUM(Y$133:Y134)&gt;0,0,Y$123+SUM(Y$133:Y134)),Y134)</f>
        <v>0</v>
      </c>
      <c r="AA133" s="1012">
        <f>IF(Z$123+SUM(Z$133:Z133)&gt;0,IF(Z$123+SUM(Z$133:Z134)&gt;0,0,Z$123+SUM(Z$133:Z134)),Z134)</f>
        <v>0</v>
      </c>
      <c r="AB133" s="1012">
        <f>IF(AA$123+SUM(AA$133:AA133)&gt;0,IF(AA$123+SUM(AA$133:AA134)&gt;0,0,AA$123+SUM(AA$133:AA134)),AA134)</f>
        <v>0</v>
      </c>
      <c r="AC133" s="1012">
        <f>IF(AB$123+SUM(AB$133:AB133)&gt;0,IF(AB$123+SUM(AB$133:AB134)&gt;0,0,AB$123+SUM(AB$133:AB134)),AB134)</f>
        <v>0</v>
      </c>
      <c r="AD133" s="1012">
        <f>IF(AC$123+SUM(AC$133:AC133)&gt;0,IF(AC$123+SUM(AC$133:AC134)&gt;0,0,AC$123+SUM(AC$133:AC134)),AC134)</f>
        <v>0</v>
      </c>
      <c r="AE133" s="1012">
        <f>IF(AD$123+SUM(AD$133:AD133)&gt;0,IF(AD$123+SUM(AD$133:AD134)&gt;0,0,AD$123+SUM(AD$133:AD134)),AD134)</f>
        <v>0</v>
      </c>
    </row>
    <row r="134" spans="2:31" s="218" customFormat="1" ht="13.5" outlineLevel="1">
      <c r="B134" s="224"/>
      <c r="D134" s="218" t="s">
        <v>1971</v>
      </c>
      <c r="F134" s="218" t="s">
        <v>1970</v>
      </c>
      <c r="G134" s="2266"/>
      <c r="H134" s="848">
        <f t="shared" si="21"/>
        <v>0</v>
      </c>
      <c r="J134" s="1012">
        <f>IF(I$123+SUM(I$133:I134)&gt;0,IF(I$123+SUM(I$133:I135)&gt;0,0,I$123+SUM(I$133:I135)),I135)</f>
        <v>0</v>
      </c>
      <c r="K134" s="1012">
        <f>IF(J$123+SUM(J$133:J134)&gt;0,IF(J$123+SUM(J$133:J135)&gt;0,0,J$123+SUM(J$133:J135)),J135)</f>
        <v>0</v>
      </c>
      <c r="L134" s="1012">
        <f>IF(K$123+SUM(K$133:K134)&gt;0,IF(K$123+SUM(K$133:K135)&gt;0,0,K$123+SUM(K$133:K135)),K135)</f>
        <v>0</v>
      </c>
      <c r="M134" s="1012">
        <f>IF(L$123+SUM(L$133:L134)&gt;0,IF(L$123+SUM(L$133:L135)&gt;0,0,L$123+SUM(L$133:L135)),L135)</f>
        <v>0</v>
      </c>
      <c r="N134" s="1012">
        <f>IF(M$123+SUM(M$133:M134)&gt;0,IF(M$123+SUM(M$133:M135)&gt;0,0,M$123+SUM(M$133:M135)),M135)</f>
        <v>0</v>
      </c>
      <c r="O134" s="1012">
        <f>IF(N$123+SUM(N$133:N134)&gt;0,IF(N$123+SUM(N$133:N135)&gt;0,0,N$123+SUM(N$133:N135)),N135)</f>
        <v>0</v>
      </c>
      <c r="P134" s="1012">
        <f>IF(O$123+SUM(O$133:O134)&gt;0,IF(O$123+SUM(O$133:O135)&gt;0,0,O$123+SUM(O$133:O135)),O135)</f>
        <v>0</v>
      </c>
      <c r="Q134" s="1012">
        <f>IF(P$123+SUM(P$133:P134)&gt;0,IF(P$123+SUM(P$133:P135)&gt;0,0,P$123+SUM(P$133:P135)),P135)</f>
        <v>0</v>
      </c>
      <c r="R134" s="1012">
        <f>IF(Q$123+SUM(Q$133:Q134)&gt;0,IF(Q$123+SUM(Q$133:Q135)&gt;0,0,Q$123+SUM(Q$133:Q135)),Q135)</f>
        <v>0</v>
      </c>
      <c r="S134" s="1012">
        <f>IF(R$123+SUM(R$133:R134)&gt;0,IF(R$123+SUM(R$133:R135)&gt;0,0,R$123+SUM(R$133:R135)),R135)</f>
        <v>0</v>
      </c>
      <c r="T134" s="1012">
        <f>IF(S$123+SUM(S$133:S134)&gt;0,IF(S$123+SUM(S$133:S135)&gt;0,0,S$123+SUM(S$133:S135)),S135)</f>
        <v>0</v>
      </c>
      <c r="U134" s="1012">
        <f>IF(T$123+SUM(T$133:T134)&gt;0,IF(T$123+SUM(T$133:T135)&gt;0,0,T$123+SUM(T$133:T135)),T135)</f>
        <v>0</v>
      </c>
      <c r="V134" s="1012">
        <f>IF(U$123+SUM(U$133:U134)&gt;0,IF(U$123+SUM(U$133:U135)&gt;0,0,U$123+SUM(U$133:U135)),U135)</f>
        <v>0</v>
      </c>
      <c r="W134" s="1012">
        <f>IF(V$123+SUM(V$133:V134)&gt;0,IF(V$123+SUM(V$133:V135)&gt;0,0,V$123+SUM(V$133:V135)),V135)</f>
        <v>0</v>
      </c>
      <c r="X134" s="1012">
        <f>IF(W$123+SUM(W$133:W134)&gt;0,IF(W$123+SUM(W$133:W135)&gt;0,0,W$123+SUM(W$133:W135)),W135)</f>
        <v>0</v>
      </c>
      <c r="Y134" s="1012">
        <f>IF(X$123+SUM(X$133:X134)&gt;0,IF(X$123+SUM(X$133:X135)&gt;0,0,X$123+SUM(X$133:X135)),X135)</f>
        <v>0</v>
      </c>
      <c r="Z134" s="1012">
        <f>IF(Y$123+SUM(Y$133:Y134)&gt;0,IF(Y$123+SUM(Y$133:Y135)&gt;0,0,Y$123+SUM(Y$133:Y135)),Y135)</f>
        <v>0</v>
      </c>
      <c r="AA134" s="1012">
        <f>IF(Z$123+SUM(Z$133:Z134)&gt;0,IF(Z$123+SUM(Z$133:Z135)&gt;0,0,Z$123+SUM(Z$133:Z135)),Z135)</f>
        <v>0</v>
      </c>
      <c r="AB134" s="1012">
        <f>IF(AA$123+SUM(AA$133:AA134)&gt;0,IF(AA$123+SUM(AA$133:AA135)&gt;0,0,AA$123+SUM(AA$133:AA135)),AA135)</f>
        <v>0</v>
      </c>
      <c r="AC134" s="1012">
        <f>IF(AB$123+SUM(AB$133:AB134)&gt;0,IF(AB$123+SUM(AB$133:AB135)&gt;0,0,AB$123+SUM(AB$133:AB135)),AB135)</f>
        <v>0</v>
      </c>
      <c r="AD134" s="1012">
        <f>IF(AC$123+SUM(AC$133:AC134)&gt;0,IF(AC$123+SUM(AC$133:AC135)&gt;0,0,AC$123+SUM(AC$133:AC135)),AC135)</f>
        <v>0</v>
      </c>
      <c r="AE134" s="1012">
        <f>IF(AD$123+SUM(AD$133:AD134)&gt;0,IF(AD$123+SUM(AD$133:AD135)&gt;0,0,AD$123+SUM(AD$133:AD135)),AD135)</f>
        <v>0</v>
      </c>
    </row>
    <row r="135" spans="2:31" s="218" customFormat="1" ht="13.5" outlineLevel="1">
      <c r="B135" s="224"/>
      <c r="D135" s="218" t="s">
        <v>923</v>
      </c>
      <c r="F135" s="218" t="s">
        <v>924</v>
      </c>
      <c r="G135" s="2266"/>
      <c r="H135" s="848">
        <f t="shared" si="21"/>
        <v>-6100.8872171842295</v>
      </c>
      <c r="J135" s="1012">
        <f>IF(I$123+SUM(I$133:I135)&gt;0,IF(I$123+SUM(I$133:I136)&gt;0,0,I$123+SUM(I$133:I136)),I136)</f>
        <v>0</v>
      </c>
      <c r="K135" s="1012">
        <f>IF(J$123+SUM(J$133:J135)&gt;0,IF(J$123+SUM(J$133:J136)&gt;0,0,J$123+SUM(J$133:J136)),J136)</f>
        <v>0</v>
      </c>
      <c r="L135" s="1012">
        <f>IF(K$123+SUM(K$133:K135)&gt;0,IF(K$123+SUM(K$133:K136)&gt;0,0,K$123+SUM(K$133:K136)),K136)</f>
        <v>0</v>
      </c>
      <c r="M135" s="1012">
        <f>IF(L$123+SUM(L$133:L135)&gt;0,IF(L$123+SUM(L$133:L136)&gt;0,0,L$123+SUM(L$133:L136)),L136)</f>
        <v>0</v>
      </c>
      <c r="N135" s="1012">
        <f>IF(M$123+SUM(M$133:M135)&gt;0,IF(M$123+SUM(M$133:M136)&gt;0,0,M$123+SUM(M$133:M136)),M136)</f>
        <v>0</v>
      </c>
      <c r="O135" s="1012">
        <f>IF(N$123+SUM(N$133:N135)&gt;0,IF(N$123+SUM(N$133:N136)&gt;0,0,N$123+SUM(N$133:N136)),N136)</f>
        <v>0</v>
      </c>
      <c r="P135" s="1012">
        <f>IF(O$123+SUM(O$133:O135)&gt;0,IF(O$123+SUM(O$133:O136)&gt;0,0,O$123+SUM(O$133:O136)),O136)</f>
        <v>0</v>
      </c>
      <c r="Q135" s="1012">
        <f>IF(P$123+SUM(P$133:P135)&gt;0,IF(P$123+SUM(P$133:P136)&gt;0,0,P$123+SUM(P$133:P136)),P136)</f>
        <v>0</v>
      </c>
      <c r="R135" s="1012">
        <f>IF(Q$123+SUM(Q$133:Q135)&gt;0,IF(Q$123+SUM(Q$133:Q136)&gt;0,0,Q$123+SUM(Q$133:Q136)),Q136)</f>
        <v>0</v>
      </c>
      <c r="S135" s="1012">
        <f>IF(R$123+SUM(R$133:R135)&gt;0,IF(R$123+SUM(R$133:R136)&gt;0,0,R$123+SUM(R$133:R136)),R136)</f>
        <v>0</v>
      </c>
      <c r="T135" s="1012">
        <f>IF(S$123+SUM(S$133:S135)&gt;0,IF(S$123+SUM(S$133:S136)&gt;0,0,S$123+SUM(S$133:S136)),S136)</f>
        <v>0</v>
      </c>
      <c r="U135" s="1012">
        <f>IF(T$123+SUM(T$133:T135)&gt;0,IF(T$123+SUM(T$133:T136)&gt;0,0,T$123+SUM(T$133:T136)),T136)</f>
        <v>0</v>
      </c>
      <c r="V135" s="1012">
        <f>IF(U$123+SUM(U$133:U135)&gt;0,IF(U$123+SUM(U$133:U136)&gt;0,0,U$123+SUM(U$133:U136)),U136)</f>
        <v>0</v>
      </c>
      <c r="W135" s="1012">
        <f>IF(V$123+SUM(V$133:V135)&gt;0,IF(V$123+SUM(V$133:V136)&gt;0,0,V$123+SUM(V$133:V136)),V136)</f>
        <v>0</v>
      </c>
      <c r="X135" s="1012">
        <f>IF(W$123+SUM(W$133:W135)&gt;0,IF(W$123+SUM(W$133:W136)&gt;0,0,W$123+SUM(W$133:W136)),W136)</f>
        <v>0</v>
      </c>
      <c r="Y135" s="1012">
        <f>IF(X$123+SUM(X$133:X135)&gt;0,IF(X$123+SUM(X$133:X136)&gt;0,0,X$123+SUM(X$133:X136)),X136)</f>
        <v>0</v>
      </c>
      <c r="Z135" s="1012">
        <f>IF(Y$123+SUM(Y$133:Y135)&gt;0,IF(Y$123+SUM(Y$133:Y136)&gt;0,0,Y$123+SUM(Y$133:Y136)),Y136)</f>
        <v>0</v>
      </c>
      <c r="AA135" s="1012">
        <f>IF(Z$123+SUM(Z$133:Z135)&gt;0,IF(Z$123+SUM(Z$133:Z136)&gt;0,0,Z$123+SUM(Z$133:Z136)),Z136)</f>
        <v>0</v>
      </c>
      <c r="AB135" s="1012">
        <f>IF(AA$123+SUM(AA$133:AA135)&gt;0,IF(AA$123+SUM(AA$133:AA136)&gt;0,0,AA$123+SUM(AA$133:AA136)),AA136)</f>
        <v>0</v>
      </c>
      <c r="AC135" s="1012">
        <f>IF(AB$123+SUM(AB$133:AB135)&gt;0,IF(AB$123+SUM(AB$133:AB136)&gt;0,0,AB$123+SUM(AB$133:AB136)),AB136)</f>
        <v>0</v>
      </c>
      <c r="AD135" s="1012">
        <f>IF(AC$123+SUM(AC$133:AC135)&gt;0,IF(AC$123+SUM(AC$133:AC136)&gt;0,0,AC$123+SUM(AC$133:AC136)),AC136)</f>
        <v>-6100.8872171842295</v>
      </c>
      <c r="AE135" s="1012">
        <f>IF(AD$123+SUM(AD$133:AD135)&gt;0,IF(AD$123+SUM(AD$133:AD136)&gt;0,0,AD$123+SUM(AD$133:AD136)),AD136)</f>
        <v>0</v>
      </c>
    </row>
    <row r="136" spans="2:31" s="218" customFormat="1" ht="13.5" outlineLevel="1">
      <c r="B136" s="224"/>
      <c r="D136" s="218" t="s">
        <v>925</v>
      </c>
      <c r="F136" s="218" t="s">
        <v>1972</v>
      </c>
      <c r="G136" s="2266"/>
      <c r="H136" s="848">
        <f t="shared" si="21"/>
        <v>-6100.8872171842295</v>
      </c>
      <c r="J136" s="1012">
        <f>IF(I$123+SUM(I$133:I136)&gt;0,IF(I$123+SUM(I$133:I137)&gt;0,0,I$123+SUM(I$133:I137)),I137)</f>
        <v>0</v>
      </c>
      <c r="K136" s="1012">
        <f>IF(J$123+SUM(J$133:J136)&gt;0,IF(J$123+SUM(J$133:J137)&gt;0,0,J$123+SUM(J$133:J137)),J137)</f>
        <v>0</v>
      </c>
      <c r="L136" s="1012">
        <f>IF(K$123+SUM(K$133:K136)&gt;0,IF(K$123+SUM(K$133:K137)&gt;0,0,K$123+SUM(K$133:K137)),K137)</f>
        <v>0</v>
      </c>
      <c r="M136" s="1012">
        <f>IF(L$123+SUM(L$133:L136)&gt;0,IF(L$123+SUM(L$133:L137)&gt;0,0,L$123+SUM(L$133:L137)),L137)</f>
        <v>0</v>
      </c>
      <c r="N136" s="1012">
        <f>IF(M$123+SUM(M$133:M136)&gt;0,IF(M$123+SUM(M$133:M137)&gt;0,0,M$123+SUM(M$133:M137)),M137)</f>
        <v>0</v>
      </c>
      <c r="O136" s="1012">
        <f>IF(N$123+SUM(N$133:N136)&gt;0,IF(N$123+SUM(N$133:N137)&gt;0,0,N$123+SUM(N$133:N137)),N137)</f>
        <v>0</v>
      </c>
      <c r="P136" s="1012">
        <f>IF(O$123+SUM(O$133:O136)&gt;0,IF(O$123+SUM(O$133:O137)&gt;0,0,O$123+SUM(O$133:O137)),O137)</f>
        <v>0</v>
      </c>
      <c r="Q136" s="1012">
        <f>IF(P$123+SUM(P$133:P136)&gt;0,IF(P$123+SUM(P$133:P137)&gt;0,0,P$123+SUM(P$133:P137)),P137)</f>
        <v>0</v>
      </c>
      <c r="R136" s="1012">
        <f>IF(Q$123+SUM(Q$133:Q136)&gt;0,IF(Q$123+SUM(Q$133:Q137)&gt;0,0,Q$123+SUM(Q$133:Q137)),Q137)</f>
        <v>0</v>
      </c>
      <c r="S136" s="1012">
        <f>IF(R$123+SUM(R$133:R136)&gt;0,IF(R$123+SUM(R$133:R137)&gt;0,0,R$123+SUM(R$133:R137)),R137)</f>
        <v>0</v>
      </c>
      <c r="T136" s="1012">
        <f>IF(S$123+SUM(S$133:S136)&gt;0,IF(S$123+SUM(S$133:S137)&gt;0,0,S$123+SUM(S$133:S137)),S137)</f>
        <v>0</v>
      </c>
      <c r="U136" s="1012">
        <f>IF(T$123+SUM(T$133:T136)&gt;0,IF(T$123+SUM(T$133:T137)&gt;0,0,T$123+SUM(T$133:T137)),T137)</f>
        <v>0</v>
      </c>
      <c r="V136" s="1012">
        <f>IF(U$123+SUM(U$133:U136)&gt;0,IF(U$123+SUM(U$133:U137)&gt;0,0,U$123+SUM(U$133:U137)),U137)</f>
        <v>0</v>
      </c>
      <c r="W136" s="1012">
        <f>IF(V$123+SUM(V$133:V136)&gt;0,IF(V$123+SUM(V$133:V137)&gt;0,0,V$123+SUM(V$133:V137)),V137)</f>
        <v>0</v>
      </c>
      <c r="X136" s="1012">
        <f>IF(W$123+SUM(W$133:W136)&gt;0,IF(W$123+SUM(W$133:W137)&gt;0,0,W$123+SUM(W$133:W137)),W137)</f>
        <v>0</v>
      </c>
      <c r="Y136" s="1012">
        <f>IF(X$123+SUM(X$133:X136)&gt;0,IF(X$123+SUM(X$133:X137)&gt;0,0,X$123+SUM(X$133:X137)),X137)</f>
        <v>0</v>
      </c>
      <c r="Z136" s="1012">
        <f>IF(Y$123+SUM(Y$133:Y136)&gt;0,IF(Y$123+SUM(Y$133:Y137)&gt;0,0,Y$123+SUM(Y$133:Y137)),Y137)</f>
        <v>0</v>
      </c>
      <c r="AA136" s="1012">
        <f>IF(Z$123+SUM(Z$133:Z136)&gt;0,IF(Z$123+SUM(Z$133:Z137)&gt;0,0,Z$123+SUM(Z$133:Z137)),Z137)</f>
        <v>0</v>
      </c>
      <c r="AB136" s="1012">
        <f>IF(AA$123+SUM(AA$133:AA136)&gt;0,IF(AA$123+SUM(AA$133:AA137)&gt;0,0,AA$123+SUM(AA$133:AA137)),AA137)</f>
        <v>0</v>
      </c>
      <c r="AC136" s="1012">
        <f>IF(AB$123+SUM(AB$133:AB136)&gt;0,IF(AB$123+SUM(AB$133:AB137)&gt;0,0,AB$123+SUM(AB$133:AB137)),AB137)</f>
        <v>-6100.8872171842295</v>
      </c>
      <c r="AD136" s="1012">
        <f>IF(AC$123+SUM(AC$133:AC136)&gt;0,IF(AC$123+SUM(AC$133:AC137)&gt;0,0,AC$123+SUM(AC$133:AC137)),AC137)</f>
        <v>0</v>
      </c>
      <c r="AE136" s="1012">
        <f>IF(AD$123+SUM(AD$133:AD136)&gt;0,IF(AD$123+SUM(AD$133:AD137)&gt;0,0,AD$123+SUM(AD$133:AD137)),AD137)</f>
        <v>0</v>
      </c>
    </row>
    <row r="137" spans="2:31" s="218" customFormat="1" ht="13.5" outlineLevel="1">
      <c r="B137" s="224"/>
      <c r="D137" s="218" t="s">
        <v>1973</v>
      </c>
      <c r="F137" s="218" t="s">
        <v>1974</v>
      </c>
      <c r="G137" s="2266"/>
      <c r="H137" s="848">
        <f t="shared" si="21"/>
        <v>-6100.8872171842295</v>
      </c>
      <c r="J137" s="1012">
        <f>IF(I$123+SUM(I$133:I137)&gt;0,IF(I$123+SUM(I$133:I138)&gt;0,0,I$123+SUM(I$133:I138)),I138)</f>
        <v>0</v>
      </c>
      <c r="K137" s="1012">
        <f>IF(J$123+SUM(J$133:J137)&gt;0,IF(J$123+SUM(J$133:J138)&gt;0,0,J$123+SUM(J$133:J138)),J138)</f>
        <v>0</v>
      </c>
      <c r="L137" s="1012">
        <f>IF(K$123+SUM(K$133:K137)&gt;0,IF(K$123+SUM(K$133:K138)&gt;0,0,K$123+SUM(K$133:K138)),K138)</f>
        <v>0</v>
      </c>
      <c r="M137" s="1012">
        <f>IF(L$123+SUM(L$133:L137)&gt;0,IF(L$123+SUM(L$133:L138)&gt;0,0,L$123+SUM(L$133:L138)),L138)</f>
        <v>0</v>
      </c>
      <c r="N137" s="1012">
        <f>IF(M$123+SUM(M$133:M137)&gt;0,IF(M$123+SUM(M$133:M138)&gt;0,0,M$123+SUM(M$133:M138)),M138)</f>
        <v>0</v>
      </c>
      <c r="O137" s="1012">
        <f>IF(N$123+SUM(N$133:N137)&gt;0,IF(N$123+SUM(N$133:N138)&gt;0,0,N$123+SUM(N$133:N138)),N138)</f>
        <v>0</v>
      </c>
      <c r="P137" s="1012">
        <f>IF(O$123+SUM(O$133:O137)&gt;0,IF(O$123+SUM(O$133:O138)&gt;0,0,O$123+SUM(O$133:O138)),O138)</f>
        <v>0</v>
      </c>
      <c r="Q137" s="1012">
        <f>IF(P$123+SUM(P$133:P137)&gt;0,IF(P$123+SUM(P$133:P138)&gt;0,0,P$123+SUM(P$133:P138)),P138)</f>
        <v>0</v>
      </c>
      <c r="R137" s="1012">
        <f>IF(Q$123+SUM(Q$133:Q137)&gt;0,IF(Q$123+SUM(Q$133:Q138)&gt;0,0,Q$123+SUM(Q$133:Q138)),Q138)</f>
        <v>0</v>
      </c>
      <c r="S137" s="1012">
        <f>IF(R$123+SUM(R$133:R137)&gt;0,IF(R$123+SUM(R$133:R138)&gt;0,0,R$123+SUM(R$133:R138)),R138)</f>
        <v>0</v>
      </c>
      <c r="T137" s="1012">
        <f>IF(S$123+SUM(S$133:S137)&gt;0,IF(S$123+SUM(S$133:S138)&gt;0,0,S$123+SUM(S$133:S138)),S138)</f>
        <v>0</v>
      </c>
      <c r="U137" s="1012">
        <f>IF(T$123+SUM(T$133:T137)&gt;0,IF(T$123+SUM(T$133:T138)&gt;0,0,T$123+SUM(T$133:T138)),T138)</f>
        <v>0</v>
      </c>
      <c r="V137" s="1012">
        <f>IF(U$123+SUM(U$133:U137)&gt;0,IF(U$123+SUM(U$133:U138)&gt;0,0,U$123+SUM(U$133:U138)),U138)</f>
        <v>0</v>
      </c>
      <c r="W137" s="1012">
        <f>IF(V$123+SUM(V$133:V137)&gt;0,IF(V$123+SUM(V$133:V138)&gt;0,0,V$123+SUM(V$133:V138)),V138)</f>
        <v>0</v>
      </c>
      <c r="X137" s="1012">
        <f>IF(W$123+SUM(W$133:W137)&gt;0,IF(W$123+SUM(W$133:W138)&gt;0,0,W$123+SUM(W$133:W138)),W138)</f>
        <v>0</v>
      </c>
      <c r="Y137" s="1012">
        <f>IF(X$123+SUM(X$133:X137)&gt;0,IF(X$123+SUM(X$133:X138)&gt;0,0,X$123+SUM(X$133:X138)),X138)</f>
        <v>0</v>
      </c>
      <c r="Z137" s="1012">
        <f>IF(Y$123+SUM(Y$133:Y137)&gt;0,IF(Y$123+SUM(Y$133:Y138)&gt;0,0,Y$123+SUM(Y$133:Y138)),Y138)</f>
        <v>0</v>
      </c>
      <c r="AA137" s="1012">
        <f>IF(Z$123+SUM(Z$133:Z137)&gt;0,IF(Z$123+SUM(Z$133:Z138)&gt;0,0,Z$123+SUM(Z$133:Z138)),Z138)</f>
        <v>0</v>
      </c>
      <c r="AB137" s="1012">
        <f>IF(AA$123+SUM(AA$133:AA137)&gt;0,IF(AA$123+SUM(AA$133:AA138)&gt;0,0,AA$123+SUM(AA$133:AA138)),AA138)</f>
        <v>-6100.8872171842295</v>
      </c>
      <c r="AC137" s="1012">
        <f>IF(AB$123+SUM(AB$133:AB137)&gt;0,IF(AB$123+SUM(AB$133:AB138)&gt;0,0,AB$123+SUM(AB$133:AB138)),AB138)</f>
        <v>0</v>
      </c>
      <c r="AD137" s="1012">
        <f>IF(AC$123+SUM(AC$133:AC137)&gt;0,IF(AC$123+SUM(AC$133:AC138)&gt;0,0,AC$123+SUM(AC$133:AC138)),AC138)</f>
        <v>0</v>
      </c>
      <c r="AE137" s="1012">
        <f>IF(AD$123+SUM(AD$133:AD137)&gt;0,IF(AD$123+SUM(AD$133:AD138)&gt;0,0,AD$123+SUM(AD$133:AD138)),AD138)</f>
        <v>0</v>
      </c>
    </row>
    <row r="138" spans="2:31" s="218" customFormat="1" ht="13.5" outlineLevel="1">
      <c r="B138" s="224"/>
      <c r="D138" s="218" t="s">
        <v>927</v>
      </c>
      <c r="F138" s="218" t="s">
        <v>926</v>
      </c>
      <c r="G138" s="2266"/>
      <c r="H138" s="848">
        <f t="shared" si="21"/>
        <v>-14160.36742816307</v>
      </c>
      <c r="J138" s="1012">
        <f>IF(I$123+SUM(I$133:I138)&gt;0,IF(I$123+SUM(I$133:I139)&gt;0,0,I$123+SUM(I$133:I139)),I139)</f>
        <v>0</v>
      </c>
      <c r="K138" s="1012">
        <f>IF(J$123+SUM(J$133:J138)&gt;0,IF(J$123+SUM(J$133:J139)&gt;0,0,J$123+SUM(J$133:J139)),J139)</f>
        <v>0</v>
      </c>
      <c r="L138" s="1012">
        <f>IF(K$123+SUM(K$133:K138)&gt;0,IF(K$123+SUM(K$133:K139)&gt;0,0,K$123+SUM(K$133:K139)),K139)</f>
        <v>0</v>
      </c>
      <c r="M138" s="1012">
        <f>IF(L$123+SUM(L$133:L138)&gt;0,IF(L$123+SUM(L$133:L139)&gt;0,0,L$123+SUM(L$133:L139)),L139)</f>
        <v>0</v>
      </c>
      <c r="N138" s="1012">
        <f>IF(M$123+SUM(M$133:M138)&gt;0,IF(M$123+SUM(M$133:M139)&gt;0,0,M$123+SUM(M$133:M139)),M139)</f>
        <v>0</v>
      </c>
      <c r="O138" s="1012">
        <f>IF(N$123+SUM(N$133:N138)&gt;0,IF(N$123+SUM(N$133:N139)&gt;0,0,N$123+SUM(N$133:N139)),N139)</f>
        <v>0</v>
      </c>
      <c r="P138" s="1012">
        <f>IF(O$123+SUM(O$133:O138)&gt;0,IF(O$123+SUM(O$133:O139)&gt;0,0,O$123+SUM(O$133:O139)),O139)</f>
        <v>0</v>
      </c>
      <c r="Q138" s="1012">
        <f>IF(P$123+SUM(P$133:P138)&gt;0,IF(P$123+SUM(P$133:P139)&gt;0,0,P$123+SUM(P$133:P139)),P139)</f>
        <v>0</v>
      </c>
      <c r="R138" s="1012">
        <f>IF(Q$123+SUM(Q$133:Q138)&gt;0,IF(Q$123+SUM(Q$133:Q139)&gt;0,0,Q$123+SUM(Q$133:Q139)),Q139)</f>
        <v>0</v>
      </c>
      <c r="S138" s="1012">
        <f>IF(R$123+SUM(R$133:R138)&gt;0,IF(R$123+SUM(R$133:R139)&gt;0,0,R$123+SUM(R$133:R139)),R139)</f>
        <v>0</v>
      </c>
      <c r="T138" s="1012">
        <f>IF(S$123+SUM(S$133:S138)&gt;0,IF(S$123+SUM(S$133:S139)&gt;0,0,S$123+SUM(S$133:S139)),S139)</f>
        <v>0</v>
      </c>
      <c r="U138" s="1012">
        <f>IF(T$123+SUM(T$133:T138)&gt;0,IF(T$123+SUM(T$133:T139)&gt;0,0,T$123+SUM(T$133:T139)),T139)</f>
        <v>0</v>
      </c>
      <c r="V138" s="1012">
        <f>IF(U$123+SUM(U$133:U138)&gt;0,IF(U$123+SUM(U$133:U139)&gt;0,0,U$123+SUM(U$133:U139)),U139)</f>
        <v>0</v>
      </c>
      <c r="W138" s="1012">
        <f>IF(V$123+SUM(V$133:V138)&gt;0,IF(V$123+SUM(V$133:V139)&gt;0,0,V$123+SUM(V$133:V139)),V139)</f>
        <v>0</v>
      </c>
      <c r="X138" s="1012">
        <f>IF(W$123+SUM(W$133:W138)&gt;0,IF(W$123+SUM(W$133:W139)&gt;0,0,W$123+SUM(W$133:W139)),W139)</f>
        <v>0</v>
      </c>
      <c r="Y138" s="1012">
        <f>IF(X$123+SUM(X$133:X138)&gt;0,IF(X$123+SUM(X$133:X139)&gt;0,0,X$123+SUM(X$133:X139)),X139)</f>
        <v>0</v>
      </c>
      <c r="Z138" s="1012">
        <f>IF(Y$123+SUM(Y$133:Y138)&gt;0,IF(Y$123+SUM(Y$133:Y139)&gt;0,0,Y$123+SUM(Y$133:Y139)),Y139)</f>
        <v>0</v>
      </c>
      <c r="AA138" s="1012">
        <f>IF(Z$123+SUM(Z$133:Z138)&gt;0,IF(Z$123+SUM(Z$133:Z139)&gt;0,0,Z$123+SUM(Z$133:Z139)),Z139)</f>
        <v>-6100.8872171842295</v>
      </c>
      <c r="AB138" s="1012">
        <f>IF(AA$123+SUM(AA$133:AA138)&gt;0,IF(AA$123+SUM(AA$133:AA139)&gt;0,0,AA$123+SUM(AA$133:AA139)),AA139)</f>
        <v>0</v>
      </c>
      <c r="AC138" s="1012">
        <f>IF(AB$123+SUM(AB$133:AB138)&gt;0,IF(AB$123+SUM(AB$133:AB139)&gt;0,0,AB$123+SUM(AB$133:AB139)),AB139)</f>
        <v>0</v>
      </c>
      <c r="AD138" s="1012">
        <f>IF(AC$123+SUM(AC$133:AC138)&gt;0,IF(AC$123+SUM(AC$133:AC139)&gt;0,0,AC$123+SUM(AC$133:AC139)),AC139)</f>
        <v>-8059.4802109788398</v>
      </c>
      <c r="AE138" s="1012">
        <f>IF(AD$123+SUM(AD$133:AD138)&gt;0,IF(AD$123+SUM(AD$133:AD139)&gt;0,0,AD$123+SUM(AD$133:AD139)),AD139)</f>
        <v>0</v>
      </c>
    </row>
    <row r="139" spans="2:31" s="218" customFormat="1" ht="13.5" outlineLevel="1">
      <c r="B139" s="224"/>
      <c r="D139" s="218" t="s">
        <v>1975</v>
      </c>
      <c r="F139" s="218" t="s">
        <v>1976</v>
      </c>
      <c r="G139" s="2266"/>
      <c r="H139" s="848">
        <f t="shared" si="21"/>
        <v>-23905.177850539822</v>
      </c>
      <c r="J139" s="1012">
        <f>IF(I$123+SUM(I$133:I139)&gt;0,IF(I$123+SUM(I$133:I140)&gt;0,0,I$123+SUM(I$133:I140)),I140)</f>
        <v>0</v>
      </c>
      <c r="K139" s="1012">
        <f>IF(J$123+SUM(J$133:J139)&gt;0,IF(J$123+SUM(J$133:J140)&gt;0,0,J$123+SUM(J$133:J140)),J140)</f>
        <v>0</v>
      </c>
      <c r="L139" s="1012">
        <f>IF(K$123+SUM(K$133:K139)&gt;0,IF(K$123+SUM(K$133:K140)&gt;0,0,K$123+SUM(K$133:K140)),K140)</f>
        <v>0</v>
      </c>
      <c r="M139" s="1012">
        <f>IF(L$123+SUM(L$133:L139)&gt;0,IF(L$123+SUM(L$133:L140)&gt;0,0,L$123+SUM(L$133:L140)),L140)</f>
        <v>0</v>
      </c>
      <c r="N139" s="1012">
        <f>IF(M$123+SUM(M$133:M139)&gt;0,IF(M$123+SUM(M$133:M140)&gt;0,0,M$123+SUM(M$133:M140)),M140)</f>
        <v>0</v>
      </c>
      <c r="O139" s="1012">
        <f>IF(N$123+SUM(N$133:N139)&gt;0,IF(N$123+SUM(N$133:N140)&gt;0,0,N$123+SUM(N$133:N140)),N140)</f>
        <v>0</v>
      </c>
      <c r="P139" s="1012">
        <f>IF(O$123+SUM(O$133:O139)&gt;0,IF(O$123+SUM(O$133:O140)&gt;0,0,O$123+SUM(O$133:O140)),O140)</f>
        <v>0</v>
      </c>
      <c r="Q139" s="1012">
        <f>IF(P$123+SUM(P$133:P139)&gt;0,IF(P$123+SUM(P$133:P140)&gt;0,0,P$123+SUM(P$133:P140)),P140)</f>
        <v>0</v>
      </c>
      <c r="R139" s="1012">
        <f>IF(Q$123+SUM(Q$133:Q139)&gt;0,IF(Q$123+SUM(Q$133:Q140)&gt;0,0,Q$123+SUM(Q$133:Q140)),Q140)</f>
        <v>0</v>
      </c>
      <c r="S139" s="1012">
        <f>IF(R$123+SUM(R$133:R139)&gt;0,IF(R$123+SUM(R$133:R140)&gt;0,0,R$123+SUM(R$133:R140)),R140)</f>
        <v>0</v>
      </c>
      <c r="T139" s="1012">
        <f>IF(S$123+SUM(S$133:S139)&gt;0,IF(S$123+SUM(S$133:S140)&gt;0,0,S$123+SUM(S$133:S140)),S140)</f>
        <v>0</v>
      </c>
      <c r="U139" s="1012">
        <f>IF(T$123+SUM(T$133:T139)&gt;0,IF(T$123+SUM(T$133:T140)&gt;0,0,T$123+SUM(T$133:T140)),T140)</f>
        <v>0</v>
      </c>
      <c r="V139" s="1012">
        <f>IF(U$123+SUM(U$133:U139)&gt;0,IF(U$123+SUM(U$133:U140)&gt;0,0,U$123+SUM(U$133:U140)),U140)</f>
        <v>0</v>
      </c>
      <c r="W139" s="1012">
        <f>IF(V$123+SUM(V$133:V139)&gt;0,IF(V$123+SUM(V$133:V140)&gt;0,0,V$123+SUM(V$133:V140)),V140)</f>
        <v>0</v>
      </c>
      <c r="X139" s="1012">
        <f>IF(W$123+SUM(W$133:W139)&gt;0,IF(W$123+SUM(W$133:W140)&gt;0,0,W$123+SUM(W$133:W140)),W140)</f>
        <v>0</v>
      </c>
      <c r="Y139" s="1012">
        <f>IF(X$123+SUM(X$133:X139)&gt;0,IF(X$123+SUM(X$133:X140)&gt;0,0,X$123+SUM(X$133:X140)),X140)</f>
        <v>0</v>
      </c>
      <c r="Z139" s="1012">
        <f>IF(Y$123+SUM(Y$133:Y139)&gt;0,IF(Y$123+SUM(Y$133:Y140)&gt;0,0,Y$123+SUM(Y$133:Y140)),Y140)</f>
        <v>-6100.8872171842295</v>
      </c>
      <c r="AA139" s="1012">
        <f>IF(Z$123+SUM(Z$133:Z139)&gt;0,IF(Z$123+SUM(Z$133:Z140)&gt;0,0,Z$123+SUM(Z$133:Z140)),Z140)</f>
        <v>0</v>
      </c>
      <c r="AB139" s="1012">
        <f>IF(AA$123+SUM(AA$133:AA139)&gt;0,IF(AA$123+SUM(AA$133:AA140)&gt;0,0,AA$123+SUM(AA$133:AA140)),AA140)</f>
        <v>0</v>
      </c>
      <c r="AC139" s="1012">
        <f>IF(AB$123+SUM(AB$133:AB139)&gt;0,IF(AB$123+SUM(AB$133:AB140)&gt;0,0,AB$123+SUM(AB$133:AB140)),AB140)</f>
        <v>-8059.4802109788398</v>
      </c>
      <c r="AD139" s="1012">
        <f>IF(AC$123+SUM(AC$133:AC139)&gt;0,IF(AC$123+SUM(AC$133:AC140)&gt;0,0,AC$123+SUM(AC$133:AC140)),AC140)</f>
        <v>-9744.8104223767514</v>
      </c>
      <c r="AE139" s="1012">
        <f>IF(AD$123+SUM(AD$133:AD139)&gt;0,IF(AD$123+SUM(AD$133:AD140)&gt;0,0,AD$123+SUM(AD$133:AD140)),AD140)</f>
        <v>0</v>
      </c>
    </row>
    <row r="140" spans="2:31" s="218" customFormat="1" ht="13.5" outlineLevel="1">
      <c r="B140" s="224"/>
      <c r="D140" s="218" t="s">
        <v>1977</v>
      </c>
      <c r="F140" s="218" t="s">
        <v>928</v>
      </c>
      <c r="G140" s="2266"/>
      <c r="H140" s="848">
        <f t="shared" si="21"/>
        <v>-32452.155504430964</v>
      </c>
      <c r="J140" s="1012">
        <f>IF(I$123+SUM(I$133:I140)&gt;0,IF(I$123+SUM(I$133:I141)&gt;0,0,I$123+SUM(I$133:I141)),I141)</f>
        <v>0</v>
      </c>
      <c r="K140" s="1012">
        <f>IF(J$123+SUM(J$133:J140)&gt;0,IF(J$123+SUM(J$133:J141)&gt;0,0,J$123+SUM(J$133:J141)),J141)</f>
        <v>0</v>
      </c>
      <c r="L140" s="1012">
        <f>IF(K$123+SUM(K$133:K140)&gt;0,IF(K$123+SUM(K$133:K141)&gt;0,0,K$123+SUM(K$133:K141)),K141)</f>
        <v>0</v>
      </c>
      <c r="M140" s="1012">
        <f>IF(L$123+SUM(L$133:L140)&gt;0,IF(L$123+SUM(L$133:L141)&gt;0,0,L$123+SUM(L$133:L141)),L141)</f>
        <v>0</v>
      </c>
      <c r="N140" s="1012">
        <f>IF(M$123+SUM(M$133:M140)&gt;0,IF(M$123+SUM(M$133:M141)&gt;0,0,M$123+SUM(M$133:M141)),M141)</f>
        <v>0</v>
      </c>
      <c r="O140" s="1012">
        <f>IF(N$123+SUM(N$133:N140)&gt;0,IF(N$123+SUM(N$133:N141)&gt;0,0,N$123+SUM(N$133:N141)),N141)</f>
        <v>0</v>
      </c>
      <c r="P140" s="1012">
        <f>IF(O$123+SUM(O$133:O140)&gt;0,IF(O$123+SUM(O$133:O141)&gt;0,0,O$123+SUM(O$133:O141)),O141)</f>
        <v>0</v>
      </c>
      <c r="Q140" s="1012">
        <f>IF(P$123+SUM(P$133:P140)&gt;0,IF(P$123+SUM(P$133:P141)&gt;0,0,P$123+SUM(P$133:P141)),P141)</f>
        <v>0</v>
      </c>
      <c r="R140" s="1012">
        <f>IF(Q$123+SUM(Q$133:Q140)&gt;0,IF(Q$123+SUM(Q$133:Q141)&gt;0,0,Q$123+SUM(Q$133:Q141)),Q141)</f>
        <v>0</v>
      </c>
      <c r="S140" s="1012">
        <f>IF(R$123+SUM(R$133:R140)&gt;0,IF(R$123+SUM(R$133:R141)&gt;0,0,R$123+SUM(R$133:R141)),R141)</f>
        <v>0</v>
      </c>
      <c r="T140" s="1012">
        <f>IF(S$123+SUM(S$133:S140)&gt;0,IF(S$123+SUM(S$133:S141)&gt;0,0,S$123+SUM(S$133:S141)),S141)</f>
        <v>0</v>
      </c>
      <c r="U140" s="1012">
        <f>IF(T$123+SUM(T$133:T140)&gt;0,IF(T$123+SUM(T$133:T141)&gt;0,0,T$123+SUM(T$133:T141)),T141)</f>
        <v>0</v>
      </c>
      <c r="V140" s="1012">
        <f>IF(U$123+SUM(U$133:U140)&gt;0,IF(U$123+SUM(U$133:U141)&gt;0,0,U$123+SUM(U$133:U141)),U141)</f>
        <v>0</v>
      </c>
      <c r="W140" s="1012">
        <f>IF(V$123+SUM(V$133:V140)&gt;0,IF(V$123+SUM(V$133:V141)&gt;0,0,V$123+SUM(V$133:V141)),V141)</f>
        <v>0</v>
      </c>
      <c r="X140" s="1012">
        <f>IF(W$123+SUM(W$133:W140)&gt;0,IF(W$123+SUM(W$133:W141)&gt;0,0,W$123+SUM(W$133:W141)),W141)</f>
        <v>0</v>
      </c>
      <c r="Y140" s="1012">
        <f>IF(X$123+SUM(X$133:X140)&gt;0,IF(X$123+SUM(X$133:X141)&gt;0,0,X$123+SUM(X$133:X141)),X141)</f>
        <v>-6100.8872171842295</v>
      </c>
      <c r="Z140" s="1012">
        <f>IF(Y$123+SUM(Y$133:Y140)&gt;0,IF(Y$123+SUM(Y$133:Y141)&gt;0,0,Y$123+SUM(Y$133:Y141)),Y141)</f>
        <v>0</v>
      </c>
      <c r="AA140" s="1012">
        <f>IF(Z$123+SUM(Z$133:Z140)&gt;0,IF(Z$123+SUM(Z$133:Z141)&gt;0,0,Z$123+SUM(Z$133:Z141)),Z141)</f>
        <v>0</v>
      </c>
      <c r="AB140" s="1012">
        <f>IF(AA$123+SUM(AA$133:AA140)&gt;0,IF(AA$123+SUM(AA$133:AA141)&gt;0,0,AA$123+SUM(AA$133:AA141)),AA141)</f>
        <v>-8059.4802109788398</v>
      </c>
      <c r="AC140" s="1012">
        <f>IF(AB$123+SUM(AB$133:AB140)&gt;0,IF(AB$123+SUM(AB$133:AB141)&gt;0,0,AB$123+SUM(AB$133:AB141)),AB141)</f>
        <v>-9744.8104223767514</v>
      </c>
      <c r="AD140" s="1012">
        <f>IF(AC$123+SUM(AC$133:AC140)&gt;0,IF(AC$123+SUM(AC$133:AC141)&gt;0,0,AC$123+SUM(AC$133:AC141)),AC141)</f>
        <v>-8546.9776538911428</v>
      </c>
      <c r="AE140" s="1012">
        <f>IF(AD$123+SUM(AD$133:AD140)&gt;0,IF(AD$123+SUM(AD$133:AD141)&gt;0,0,AD$123+SUM(AD$133:AD141)),AD141)</f>
        <v>0</v>
      </c>
    </row>
    <row r="141" spans="2:31" s="218" customFormat="1" ht="13.5" outlineLevel="1">
      <c r="B141" s="224"/>
      <c r="D141" s="218" t="s">
        <v>929</v>
      </c>
      <c r="F141" s="218" t="s">
        <v>1978</v>
      </c>
      <c r="G141" s="2266"/>
      <c r="H141" s="848">
        <f t="shared" si="21"/>
        <v>-42710.508884691691</v>
      </c>
      <c r="J141" s="1012">
        <f>IF(I$123+SUM(I$133:I141)&gt;0,IF(I$123+SUM(I$133:I142)&gt;0,0,I$123+SUM(I$133:I142)),I142)</f>
        <v>0</v>
      </c>
      <c r="K141" s="1012">
        <f>IF(J$123+SUM(J$133:J141)&gt;0,IF(J$123+SUM(J$133:J142)&gt;0,0,J$123+SUM(J$133:J142)),J142)</f>
        <v>0</v>
      </c>
      <c r="L141" s="1012">
        <f>IF(K$123+SUM(K$133:K141)&gt;0,IF(K$123+SUM(K$133:K142)&gt;0,0,K$123+SUM(K$133:K142)),K142)</f>
        <v>0</v>
      </c>
      <c r="M141" s="1012">
        <f>IF(L$123+SUM(L$133:L141)&gt;0,IF(L$123+SUM(L$133:L142)&gt;0,0,L$123+SUM(L$133:L142)),L142)</f>
        <v>0</v>
      </c>
      <c r="N141" s="1012">
        <f>IF(M$123+SUM(M$133:M141)&gt;0,IF(M$123+SUM(M$133:M142)&gt;0,0,M$123+SUM(M$133:M142)),M142)</f>
        <v>0</v>
      </c>
      <c r="O141" s="1012">
        <f>IF(N$123+SUM(N$133:N141)&gt;0,IF(N$123+SUM(N$133:N142)&gt;0,0,N$123+SUM(N$133:N142)),N142)</f>
        <v>0</v>
      </c>
      <c r="P141" s="1012">
        <f>IF(O$123+SUM(O$133:O141)&gt;0,IF(O$123+SUM(O$133:O142)&gt;0,0,O$123+SUM(O$133:O142)),O142)</f>
        <v>0</v>
      </c>
      <c r="Q141" s="1012">
        <f>IF(P$123+SUM(P$133:P141)&gt;0,IF(P$123+SUM(P$133:P142)&gt;0,0,P$123+SUM(P$133:P142)),P142)</f>
        <v>0</v>
      </c>
      <c r="R141" s="1012">
        <f>IF(Q$123+SUM(Q$133:Q141)&gt;0,IF(Q$123+SUM(Q$133:Q142)&gt;0,0,Q$123+SUM(Q$133:Q142)),Q142)</f>
        <v>0</v>
      </c>
      <c r="S141" s="1012">
        <f>IF(R$123+SUM(R$133:R141)&gt;0,IF(R$123+SUM(R$133:R142)&gt;0,0,R$123+SUM(R$133:R142)),R142)</f>
        <v>0</v>
      </c>
      <c r="T141" s="1012">
        <f>IF(S$123+SUM(S$133:S141)&gt;0,IF(S$123+SUM(S$133:S142)&gt;0,0,S$123+SUM(S$133:S142)),S142)</f>
        <v>0</v>
      </c>
      <c r="U141" s="1012">
        <f>IF(T$123+SUM(T$133:T141)&gt;0,IF(T$123+SUM(T$133:T142)&gt;0,0,T$123+SUM(T$133:T142)),T142)</f>
        <v>0</v>
      </c>
      <c r="V141" s="1012">
        <f>IF(U$123+SUM(U$133:U141)&gt;0,IF(U$123+SUM(U$133:U142)&gt;0,0,U$123+SUM(U$133:U142)),U142)</f>
        <v>0</v>
      </c>
      <c r="W141" s="1012">
        <f>IF(V$123+SUM(V$133:V141)&gt;0,IF(V$123+SUM(V$133:V142)&gt;0,0,V$123+SUM(V$133:V142)),V142)</f>
        <v>0</v>
      </c>
      <c r="X141" s="1012">
        <f>IF(W$123+SUM(W$133:W141)&gt;0,IF(W$123+SUM(W$133:W142)&gt;0,0,W$123+SUM(W$133:W142)),W142)</f>
        <v>-6100.8872171842295</v>
      </c>
      <c r="Y141" s="1012">
        <f>IF(X$123+SUM(X$133:X141)&gt;0,IF(X$123+SUM(X$133:X142)&gt;0,0,X$123+SUM(X$133:X142)),X142)</f>
        <v>0</v>
      </c>
      <c r="Z141" s="1012">
        <f>IF(Y$123+SUM(Y$133:Y141)&gt;0,IF(Y$123+SUM(Y$133:Y142)&gt;0,0,Y$123+SUM(Y$133:Y142)),Y142)</f>
        <v>0</v>
      </c>
      <c r="AA141" s="1012">
        <f>IF(Z$123+SUM(Z$133:Z141)&gt;0,IF(Z$123+SUM(Z$133:Z142)&gt;0,0,Z$123+SUM(Z$133:Z142)),Z142)</f>
        <v>-8059.4802109788398</v>
      </c>
      <c r="AB141" s="1012">
        <f>IF(AA$123+SUM(AA$133:AA141)&gt;0,IF(AA$123+SUM(AA$133:AA142)&gt;0,0,AA$123+SUM(AA$133:AA142)),AA142)</f>
        <v>-9744.8104223767514</v>
      </c>
      <c r="AC141" s="1012">
        <f>IF(AB$123+SUM(AB$133:AB141)&gt;0,IF(AB$123+SUM(AB$133:AB142)&gt;0,0,AB$123+SUM(AB$133:AB142)),AB142)</f>
        <v>-8546.9776538911428</v>
      </c>
      <c r="AD141" s="1012">
        <f>IF(AC$123+SUM(AC$133:AC141)&gt;0,IF(AC$123+SUM(AC$133:AC142)&gt;0,0,AC$123+SUM(AC$133:AC142)),AC142)</f>
        <v>-10258.353380260731</v>
      </c>
      <c r="AE141" s="1012">
        <f>IF(AD$123+SUM(AD$133:AD141)&gt;0,IF(AD$123+SUM(AD$133:AD142)&gt;0,0,AD$123+SUM(AD$133:AD142)),AD142)</f>
        <v>0</v>
      </c>
    </row>
    <row r="142" spans="2:31" s="218" customFormat="1" ht="13.5" outlineLevel="1">
      <c r="B142" s="224"/>
      <c r="D142" s="242" t="s">
        <v>930</v>
      </c>
      <c r="E142" s="243"/>
      <c r="F142" s="243" t="s">
        <v>1979</v>
      </c>
      <c r="G142" s="2266"/>
      <c r="H142" s="848">
        <f t="shared" si="21"/>
        <v>-129593.58219257333</v>
      </c>
      <c r="J142" s="942">
        <f>IF(I$123+SUM(I$133:I142)-I$128&gt;0,0,MIN(0,I$129))</f>
        <v>0</v>
      </c>
      <c r="K142" s="942">
        <f>IF(J$123+SUM(J$133:J142)-J$128&gt;0,0,MIN(0,J$129))</f>
        <v>0</v>
      </c>
      <c r="L142" s="942">
        <f>IF(K$123+SUM(K$133:K142)-K$128&gt;0,0,MIN(0,K$129))</f>
        <v>0</v>
      </c>
      <c r="M142" s="942">
        <f>IF(L$123+SUM(L$133:L142)-L$128&gt;0,0,MIN(0,L$129))</f>
        <v>0</v>
      </c>
      <c r="N142" s="942">
        <f>IF(M$123+SUM(M$133:M142)-M$128&gt;0,0,MIN(0,M$129))</f>
        <v>0</v>
      </c>
      <c r="O142" s="942">
        <f>IF(N$123+SUM(N$133:N142)-N$128&gt;0,0,MIN(0,N$129))</f>
        <v>0</v>
      </c>
      <c r="P142" s="942">
        <f>IF(O$123+SUM(O$133:O142)-O$128&gt;0,0,MIN(0,O$129))</f>
        <v>0</v>
      </c>
      <c r="Q142" s="942">
        <f>IF(P$123+SUM(P$133:P142)-P$128&gt;0,0,MIN(0,P$129))</f>
        <v>0</v>
      </c>
      <c r="R142" s="942">
        <f>IF(Q$123+SUM(Q$133:Q142)-Q$128&gt;0,0,MIN(0,Q$129))</f>
        <v>0</v>
      </c>
      <c r="S142" s="942">
        <f>IF(R$123+SUM(R$133:R142)-R$128&gt;0,0,MIN(0,R$129))</f>
        <v>0</v>
      </c>
      <c r="T142" s="942">
        <f>IF(S$123+SUM(S$133:S142)-S$128&gt;0,0,MIN(0,S$129))</f>
        <v>0</v>
      </c>
      <c r="U142" s="942">
        <f>IF(T$123+SUM(T$133:T142)-T$128&gt;0,0,MIN(0,T$129))</f>
        <v>0</v>
      </c>
      <c r="V142" s="942">
        <f>IF(U$123+SUM(U$133:U142)-U$128&gt;0,0,MIN(0,U$129))</f>
        <v>0</v>
      </c>
      <c r="W142" s="942">
        <f>IF(V$123+SUM(V$133:V142)-V$128&gt;0,0,MIN(0,V$129))</f>
        <v>-6100.8872171842295</v>
      </c>
      <c r="X142" s="942">
        <f>IF(W$123+SUM(W$133:W142)-W$128&gt;0,0,MIN(0,W$129))</f>
        <v>0</v>
      </c>
      <c r="Y142" s="942">
        <f>IF(X$123+SUM(X$133:X142)-X$128&gt;0,0,MIN(0,X$129))</f>
        <v>0</v>
      </c>
      <c r="Z142" s="942">
        <f>IF(Y$123+SUM(Y$133:Y142)-Y$128&gt;0,0,MIN(0,Y$129))</f>
        <v>-8059.4802109788398</v>
      </c>
      <c r="AA142" s="942">
        <f>IF(Z$123+SUM(Z$133:Z142)-Z$128&gt;0,0,MIN(0,Z$129))</f>
        <v>-9744.8104223767514</v>
      </c>
      <c r="AB142" s="942">
        <f>IF(AA$123+SUM(AA$133:AA142)-AA$128&gt;0,0,MIN(0,AA$129))</f>
        <v>-8546.9776538911428</v>
      </c>
      <c r="AC142" s="942">
        <f>IF(AB$123+SUM(AB$133:AB142)-AB$128&gt;0,0,MIN(0,AB$129))</f>
        <v>-10258.353380260731</v>
      </c>
      <c r="AD142" s="942">
        <f>IF(AC$123+SUM(AC$133:AC142)-AC$128&gt;0,0,MIN(0,AC$129))</f>
        <v>-9016.4505219601415</v>
      </c>
      <c r="AE142" s="942">
        <f>IF(AD$123+SUM(AD$133:AD142)-AD$128&gt;0,0,MIN(0,AD$129))</f>
        <v>-77866.6227859215</v>
      </c>
    </row>
    <row r="143" spans="2:31" s="218" customFormat="1" ht="13.5" outlineLevel="1">
      <c r="B143" s="224"/>
      <c r="G143" s="2266"/>
      <c r="H143" s="244"/>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row>
    <row r="144" spans="2:31" s="218" customFormat="1" ht="13.5">
      <c r="B144" s="224"/>
      <c r="D144" s="218" t="s">
        <v>196</v>
      </c>
      <c r="G144" s="2266" t="s">
        <v>1980</v>
      </c>
      <c r="H144" s="848">
        <f>SUM(J144:AE144)</f>
        <v>-261124.45351195155</v>
      </c>
      <c r="J144" s="848">
        <f t="shared" ref="J144:AE144" si="22">SUM(J133:J142)</f>
        <v>0</v>
      </c>
      <c r="K144" s="848">
        <f t="shared" si="22"/>
        <v>0</v>
      </c>
      <c r="L144" s="848">
        <f t="shared" si="22"/>
        <v>0</v>
      </c>
      <c r="M144" s="848">
        <f t="shared" si="22"/>
        <v>0</v>
      </c>
      <c r="N144" s="848">
        <f t="shared" si="22"/>
        <v>0</v>
      </c>
      <c r="O144" s="848">
        <f t="shared" si="22"/>
        <v>0</v>
      </c>
      <c r="P144" s="848">
        <f t="shared" si="22"/>
        <v>0</v>
      </c>
      <c r="Q144" s="848">
        <f t="shared" si="22"/>
        <v>0</v>
      </c>
      <c r="R144" s="848">
        <f t="shared" si="22"/>
        <v>0</v>
      </c>
      <c r="S144" s="848">
        <f t="shared" si="22"/>
        <v>0</v>
      </c>
      <c r="T144" s="848">
        <f t="shared" si="22"/>
        <v>0</v>
      </c>
      <c r="U144" s="848">
        <f t="shared" si="22"/>
        <v>0</v>
      </c>
      <c r="V144" s="848">
        <f t="shared" si="22"/>
        <v>0</v>
      </c>
      <c r="W144" s="848">
        <f t="shared" si="22"/>
        <v>-6100.8872171842295</v>
      </c>
      <c r="X144" s="848">
        <f t="shared" si="22"/>
        <v>-6100.8872171842295</v>
      </c>
      <c r="Y144" s="848">
        <f t="shared" si="22"/>
        <v>-6100.8872171842295</v>
      </c>
      <c r="Z144" s="848">
        <f t="shared" si="22"/>
        <v>-14160.36742816307</v>
      </c>
      <c r="AA144" s="848">
        <f t="shared" si="22"/>
        <v>-23905.177850539822</v>
      </c>
      <c r="AB144" s="848">
        <f t="shared" si="22"/>
        <v>-32452.155504430964</v>
      </c>
      <c r="AC144" s="848">
        <f t="shared" si="22"/>
        <v>-42710.508884691691</v>
      </c>
      <c r="AD144" s="848">
        <f t="shared" si="22"/>
        <v>-51726.959406651833</v>
      </c>
      <c r="AE144" s="848">
        <f t="shared" si="22"/>
        <v>-77866.6227859215</v>
      </c>
    </row>
    <row r="145" spans="2:31" s="219" customFormat="1" ht="13.5">
      <c r="B145" s="220"/>
      <c r="C145" s="221"/>
      <c r="D145" s="221"/>
      <c r="E145" s="221"/>
      <c r="F145" s="221"/>
      <c r="G145" s="2275"/>
      <c r="H145" s="240"/>
      <c r="I145" s="218"/>
      <c r="J145" s="240"/>
      <c r="K145" s="240"/>
      <c r="L145" s="240"/>
      <c r="M145" s="240"/>
      <c r="N145" s="240"/>
      <c r="O145" s="240"/>
      <c r="P145" s="240"/>
      <c r="Q145" s="240"/>
      <c r="R145" s="240"/>
      <c r="S145" s="240"/>
      <c r="T145" s="240"/>
      <c r="U145" s="240"/>
      <c r="V145" s="240"/>
      <c r="W145" s="240"/>
      <c r="X145" s="240"/>
      <c r="Y145" s="240"/>
      <c r="Z145" s="240"/>
      <c r="AA145" s="240"/>
      <c r="AB145" s="240"/>
      <c r="AC145" s="240"/>
      <c r="AD145" s="240"/>
      <c r="AE145" s="240"/>
    </row>
    <row r="146" spans="2:31" s="219" customFormat="1">
      <c r="B146" s="224"/>
      <c r="C146" s="218"/>
      <c r="D146" s="218"/>
      <c r="E146" s="218"/>
      <c r="F146" s="218"/>
      <c r="G146" s="218"/>
      <c r="H146" s="225"/>
      <c r="I146" s="218"/>
      <c r="J146" s="226"/>
      <c r="K146" s="226"/>
      <c r="L146" s="226"/>
      <c r="M146" s="226"/>
      <c r="N146" s="226"/>
      <c r="O146" s="226"/>
      <c r="P146" s="226"/>
      <c r="Q146" s="226"/>
      <c r="R146" s="226"/>
      <c r="S146" s="226"/>
      <c r="T146" s="226"/>
      <c r="U146" s="226"/>
      <c r="V146" s="226"/>
      <c r="W146" s="226"/>
      <c r="X146" s="226"/>
      <c r="Y146" s="226"/>
      <c r="Z146" s="226"/>
      <c r="AA146" s="226"/>
      <c r="AB146" s="226"/>
      <c r="AC146" s="226"/>
      <c r="AD146" s="226"/>
      <c r="AE146" s="226"/>
    </row>
    <row r="147" spans="2:31" s="218" customFormat="1" ht="13.5">
      <c r="B147" s="224"/>
      <c r="C147" s="2267" t="s">
        <v>1981</v>
      </c>
      <c r="G147" s="2266" t="s">
        <v>1982</v>
      </c>
      <c r="H147" s="848">
        <f>SUM(J147:AE147)</f>
        <v>0</v>
      </c>
      <c r="J147" s="848">
        <f t="shared" ref="J147:AE147" si="23">IF(J123+J144-J128&lt;0,0,J123+J144-J128)</f>
        <v>0</v>
      </c>
      <c r="K147" s="848">
        <f t="shared" si="23"/>
        <v>0</v>
      </c>
      <c r="L147" s="848">
        <f t="shared" si="23"/>
        <v>0</v>
      </c>
      <c r="M147" s="848">
        <f t="shared" si="23"/>
        <v>0</v>
      </c>
      <c r="N147" s="848">
        <f t="shared" si="23"/>
        <v>0</v>
      </c>
      <c r="O147" s="848">
        <f t="shared" si="23"/>
        <v>0</v>
      </c>
      <c r="P147" s="848">
        <f t="shared" si="23"/>
        <v>0</v>
      </c>
      <c r="Q147" s="848">
        <f t="shared" si="23"/>
        <v>0</v>
      </c>
      <c r="R147" s="848">
        <f t="shared" si="23"/>
        <v>0</v>
      </c>
      <c r="S147" s="848">
        <f t="shared" si="23"/>
        <v>0</v>
      </c>
      <c r="T147" s="848">
        <f t="shared" si="23"/>
        <v>0</v>
      </c>
      <c r="U147" s="848">
        <f t="shared" si="23"/>
        <v>0</v>
      </c>
      <c r="V147" s="848">
        <f t="shared" si="23"/>
        <v>0</v>
      </c>
      <c r="W147" s="848">
        <f t="shared" si="23"/>
        <v>0</v>
      </c>
      <c r="X147" s="848">
        <f t="shared" si="23"/>
        <v>0</v>
      </c>
      <c r="Y147" s="848">
        <f t="shared" si="23"/>
        <v>0</v>
      </c>
      <c r="Z147" s="848">
        <f t="shared" si="23"/>
        <v>0</v>
      </c>
      <c r="AA147" s="848">
        <f t="shared" si="23"/>
        <v>0</v>
      </c>
      <c r="AB147" s="848">
        <f t="shared" si="23"/>
        <v>0</v>
      </c>
      <c r="AC147" s="848">
        <f t="shared" si="23"/>
        <v>0</v>
      </c>
      <c r="AD147" s="848">
        <f t="shared" si="23"/>
        <v>0</v>
      </c>
      <c r="AE147" s="848">
        <f t="shared" si="23"/>
        <v>0</v>
      </c>
    </row>
    <row r="148" spans="2:31" s="218" customFormat="1" ht="13.5">
      <c r="B148" s="224"/>
      <c r="C148" s="2267" t="s">
        <v>1983</v>
      </c>
      <c r="H148" s="848">
        <f>SUM(J148:AE148)</f>
        <v>0</v>
      </c>
      <c r="J148" s="848">
        <f>IF(ISERROR(J147*12/J$2),0,J147*12/J$2)</f>
        <v>0</v>
      </c>
      <c r="K148" s="848">
        <f>IF(ISERROR(K147*12/K$2),0,K147*12/K$2)</f>
        <v>0</v>
      </c>
      <c r="L148" s="848">
        <f t="shared" ref="L148:AE148" si="24">IF(ISERROR(L147*12/L$2),0,L147*12/L$2)</f>
        <v>0</v>
      </c>
      <c r="M148" s="848">
        <f t="shared" si="24"/>
        <v>0</v>
      </c>
      <c r="N148" s="848">
        <f t="shared" si="24"/>
        <v>0</v>
      </c>
      <c r="O148" s="848">
        <f t="shared" si="24"/>
        <v>0</v>
      </c>
      <c r="P148" s="848">
        <f t="shared" si="24"/>
        <v>0</v>
      </c>
      <c r="Q148" s="848">
        <f t="shared" si="24"/>
        <v>0</v>
      </c>
      <c r="R148" s="848">
        <f t="shared" si="24"/>
        <v>0</v>
      </c>
      <c r="S148" s="848">
        <f t="shared" si="24"/>
        <v>0</v>
      </c>
      <c r="T148" s="848">
        <f t="shared" si="24"/>
        <v>0</v>
      </c>
      <c r="U148" s="848">
        <f t="shared" si="24"/>
        <v>0</v>
      </c>
      <c r="V148" s="848">
        <f t="shared" si="24"/>
        <v>0</v>
      </c>
      <c r="W148" s="848">
        <f t="shared" si="24"/>
        <v>0</v>
      </c>
      <c r="X148" s="848">
        <f t="shared" si="24"/>
        <v>0</v>
      </c>
      <c r="Y148" s="848">
        <f t="shared" si="24"/>
        <v>0</v>
      </c>
      <c r="Z148" s="848">
        <f t="shared" si="24"/>
        <v>0</v>
      </c>
      <c r="AA148" s="848">
        <f t="shared" si="24"/>
        <v>0</v>
      </c>
      <c r="AB148" s="848">
        <f t="shared" si="24"/>
        <v>0</v>
      </c>
      <c r="AC148" s="848">
        <f t="shared" si="24"/>
        <v>0</v>
      </c>
      <c r="AD148" s="848">
        <f t="shared" si="24"/>
        <v>0</v>
      </c>
      <c r="AE148" s="848">
        <f t="shared" si="24"/>
        <v>0</v>
      </c>
    </row>
    <row r="149" spans="2:31" s="218" customFormat="1" ht="13.5">
      <c r="B149" s="224"/>
      <c r="C149" s="2267" t="s">
        <v>1984</v>
      </c>
      <c r="H149" s="227">
        <f>SUM(J149:AE149)</f>
        <v>0</v>
      </c>
      <c r="J149" s="234">
        <v>0</v>
      </c>
      <c r="K149" s="234">
        <v>0</v>
      </c>
      <c r="L149" s="234">
        <v>0</v>
      </c>
      <c r="M149" s="234">
        <v>0</v>
      </c>
      <c r="N149" s="234">
        <v>0</v>
      </c>
      <c r="O149" s="234">
        <v>0</v>
      </c>
      <c r="P149" s="234">
        <v>0</v>
      </c>
      <c r="Q149" s="234">
        <v>0</v>
      </c>
      <c r="R149" s="234">
        <v>0</v>
      </c>
      <c r="S149" s="234">
        <v>0</v>
      </c>
      <c r="T149" s="234">
        <v>0</v>
      </c>
      <c r="U149" s="234">
        <v>0</v>
      </c>
      <c r="V149" s="234">
        <v>0</v>
      </c>
      <c r="W149" s="234">
        <v>0</v>
      </c>
      <c r="X149" s="234">
        <v>0</v>
      </c>
      <c r="Y149" s="234">
        <v>0</v>
      </c>
      <c r="Z149" s="234">
        <v>0</v>
      </c>
      <c r="AA149" s="234">
        <v>0</v>
      </c>
      <c r="AB149" s="234">
        <v>0</v>
      </c>
      <c r="AC149" s="234">
        <v>0</v>
      </c>
      <c r="AD149" s="234">
        <v>0</v>
      </c>
      <c r="AE149" s="234">
        <v>0</v>
      </c>
    </row>
    <row r="150" spans="2:31" s="218" customFormat="1" ht="13.5">
      <c r="B150" s="224"/>
      <c r="C150" s="2267" t="s">
        <v>1985</v>
      </c>
      <c r="H150" s="227">
        <f>SUM(J150:AE150)</f>
        <v>0</v>
      </c>
      <c r="J150" s="234">
        <f>IF(ISERROR(J149*J$2/12),0,J149*J$2/12)</f>
        <v>0</v>
      </c>
      <c r="K150" s="234">
        <f>IF(ISERROR(K149*K$2/12),0,K149*K$2/12)</f>
        <v>0</v>
      </c>
      <c r="L150" s="234">
        <f t="shared" ref="L150:AE150" si="25">IF(ISERROR(L149*L$2/12),0,L149*L$2/12)</f>
        <v>0</v>
      </c>
      <c r="M150" s="234">
        <f t="shared" si="25"/>
        <v>0</v>
      </c>
      <c r="N150" s="234">
        <f t="shared" si="25"/>
        <v>0</v>
      </c>
      <c r="O150" s="234">
        <f t="shared" si="25"/>
        <v>0</v>
      </c>
      <c r="P150" s="234">
        <f t="shared" si="25"/>
        <v>0</v>
      </c>
      <c r="Q150" s="234">
        <f t="shared" si="25"/>
        <v>0</v>
      </c>
      <c r="R150" s="234">
        <f t="shared" si="25"/>
        <v>0</v>
      </c>
      <c r="S150" s="234">
        <f t="shared" si="25"/>
        <v>0</v>
      </c>
      <c r="T150" s="234">
        <f t="shared" si="25"/>
        <v>0</v>
      </c>
      <c r="U150" s="234">
        <f t="shared" si="25"/>
        <v>0</v>
      </c>
      <c r="V150" s="234">
        <f t="shared" si="25"/>
        <v>0</v>
      </c>
      <c r="W150" s="234">
        <f t="shared" si="25"/>
        <v>0</v>
      </c>
      <c r="X150" s="234">
        <f t="shared" si="25"/>
        <v>0</v>
      </c>
      <c r="Y150" s="234">
        <f t="shared" si="25"/>
        <v>0</v>
      </c>
      <c r="Z150" s="234">
        <f t="shared" si="25"/>
        <v>0</v>
      </c>
      <c r="AA150" s="234">
        <f t="shared" si="25"/>
        <v>0</v>
      </c>
      <c r="AB150" s="234">
        <f t="shared" si="25"/>
        <v>0</v>
      </c>
      <c r="AC150" s="234">
        <f t="shared" si="25"/>
        <v>0</v>
      </c>
      <c r="AD150" s="234">
        <f t="shared" si="25"/>
        <v>0</v>
      </c>
      <c r="AE150" s="234">
        <f t="shared" si="25"/>
        <v>0</v>
      </c>
    </row>
    <row r="151" spans="2:31" s="218" customFormat="1">
      <c r="B151" s="220"/>
      <c r="C151" s="221"/>
      <c r="D151" s="221"/>
      <c r="E151" s="221"/>
      <c r="F151" s="221"/>
      <c r="G151" s="221"/>
      <c r="H151" s="245"/>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row>
    <row r="152" spans="2:31" s="219" customFormat="1">
      <c r="B152" s="224"/>
      <c r="C152" s="218"/>
      <c r="D152" s="218"/>
      <c r="E152" s="218"/>
      <c r="F152" s="218"/>
      <c r="G152" s="218"/>
      <c r="H152" s="225"/>
      <c r="I152" s="218"/>
      <c r="J152" s="226"/>
      <c r="K152" s="226"/>
      <c r="L152" s="226"/>
      <c r="M152" s="226"/>
      <c r="N152" s="226"/>
      <c r="O152" s="226"/>
      <c r="P152" s="226"/>
      <c r="Q152" s="226"/>
      <c r="R152" s="226"/>
      <c r="S152" s="226"/>
      <c r="T152" s="226"/>
      <c r="U152" s="226"/>
      <c r="V152" s="226"/>
      <c r="W152" s="226"/>
      <c r="X152" s="226"/>
      <c r="Y152" s="226"/>
      <c r="Z152" s="226"/>
      <c r="AA152" s="226"/>
      <c r="AB152" s="226"/>
      <c r="AC152" s="226"/>
      <c r="AD152" s="226"/>
      <c r="AE152" s="226"/>
    </row>
    <row r="153" spans="2:31" s="219" customFormat="1" ht="13.5">
      <c r="B153" s="224"/>
      <c r="C153" s="218" t="s">
        <v>1986</v>
      </c>
      <c r="D153" s="218"/>
      <c r="E153" s="218"/>
      <c r="F153" s="218"/>
      <c r="G153" s="218"/>
      <c r="H153" s="244"/>
      <c r="I153" s="218"/>
      <c r="J153" s="234"/>
      <c r="K153" s="234"/>
      <c r="L153" s="234"/>
      <c r="M153" s="234"/>
      <c r="N153" s="234"/>
      <c r="O153" s="234"/>
      <c r="P153" s="234"/>
      <c r="Q153" s="234"/>
      <c r="R153" s="234"/>
      <c r="S153" s="234"/>
      <c r="T153" s="234"/>
      <c r="U153" s="234"/>
      <c r="V153" s="234"/>
      <c r="W153" s="234"/>
      <c r="X153" s="234"/>
      <c r="Y153" s="234"/>
      <c r="Z153" s="234"/>
      <c r="AA153" s="234"/>
      <c r="AB153" s="234"/>
      <c r="AC153" s="234"/>
      <c r="AD153" s="234"/>
      <c r="AE153" s="234"/>
    </row>
    <row r="154" spans="2:31" s="219" customFormat="1">
      <c r="B154" s="224"/>
      <c r="C154" s="218"/>
      <c r="D154" s="218"/>
      <c r="E154" s="218"/>
      <c r="F154" s="218"/>
      <c r="G154" s="218"/>
      <c r="H154" s="227"/>
      <c r="I154" s="218"/>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row>
    <row r="155" spans="2:31" s="218" customFormat="1" ht="13.5">
      <c r="B155" s="224"/>
      <c r="C155" s="218" t="s">
        <v>932</v>
      </c>
      <c r="H155" s="227">
        <f>SUM(J155:AE155)</f>
        <v>0</v>
      </c>
      <c r="J155" s="234">
        <f>J150</f>
        <v>0</v>
      </c>
      <c r="K155" s="234">
        <f>K150</f>
        <v>0</v>
      </c>
      <c r="L155" s="234">
        <f t="shared" ref="L155:AE155" si="26">L150</f>
        <v>0</v>
      </c>
      <c r="M155" s="234">
        <f t="shared" si="26"/>
        <v>0</v>
      </c>
      <c r="N155" s="234">
        <f t="shared" si="26"/>
        <v>0</v>
      </c>
      <c r="O155" s="234">
        <f t="shared" si="26"/>
        <v>0</v>
      </c>
      <c r="P155" s="234">
        <f t="shared" si="26"/>
        <v>0</v>
      </c>
      <c r="Q155" s="234">
        <f t="shared" si="26"/>
        <v>0</v>
      </c>
      <c r="R155" s="234">
        <f t="shared" si="26"/>
        <v>0</v>
      </c>
      <c r="S155" s="234">
        <f t="shared" si="26"/>
        <v>0</v>
      </c>
      <c r="T155" s="234">
        <f t="shared" si="26"/>
        <v>0</v>
      </c>
      <c r="U155" s="234">
        <f t="shared" si="26"/>
        <v>0</v>
      </c>
      <c r="V155" s="234">
        <f t="shared" si="26"/>
        <v>0</v>
      </c>
      <c r="W155" s="234">
        <f t="shared" si="26"/>
        <v>0</v>
      </c>
      <c r="X155" s="234">
        <f t="shared" si="26"/>
        <v>0</v>
      </c>
      <c r="Y155" s="234">
        <f t="shared" si="26"/>
        <v>0</v>
      </c>
      <c r="Z155" s="234">
        <f t="shared" si="26"/>
        <v>0</v>
      </c>
      <c r="AA155" s="234">
        <f t="shared" si="26"/>
        <v>0</v>
      </c>
      <c r="AB155" s="234">
        <f t="shared" si="26"/>
        <v>0</v>
      </c>
      <c r="AC155" s="234">
        <f t="shared" si="26"/>
        <v>0</v>
      </c>
      <c r="AD155" s="234">
        <f t="shared" si="26"/>
        <v>0</v>
      </c>
      <c r="AE155" s="234">
        <f t="shared" si="26"/>
        <v>0</v>
      </c>
    </row>
    <row r="156" spans="2:31" s="218" customFormat="1" ht="13.5">
      <c r="B156" s="224"/>
      <c r="C156" s="218" t="s">
        <v>933</v>
      </c>
      <c r="H156" s="227"/>
      <c r="J156" s="912">
        <v>44500</v>
      </c>
      <c r="K156" s="912">
        <v>44681</v>
      </c>
      <c r="L156" s="912">
        <v>44865</v>
      </c>
      <c r="M156" s="912">
        <v>45046</v>
      </c>
      <c r="N156" s="912">
        <v>45230</v>
      </c>
      <c r="O156" s="912">
        <v>45412</v>
      </c>
      <c r="P156" s="912">
        <v>45596</v>
      </c>
      <c r="Q156" s="912">
        <v>45777</v>
      </c>
      <c r="R156" s="912">
        <v>45961</v>
      </c>
      <c r="S156" s="912">
        <v>46142</v>
      </c>
      <c r="T156" s="912">
        <v>46326</v>
      </c>
      <c r="U156" s="912">
        <v>46507</v>
      </c>
      <c r="V156" s="912">
        <v>46691</v>
      </c>
      <c r="W156" s="912">
        <v>46873</v>
      </c>
      <c r="X156" s="912">
        <v>47057</v>
      </c>
      <c r="Y156" s="912">
        <v>47238</v>
      </c>
      <c r="Z156" s="912">
        <v>47422</v>
      </c>
      <c r="AA156" s="912">
        <v>47603</v>
      </c>
      <c r="AB156" s="912">
        <v>47787</v>
      </c>
      <c r="AC156" s="912">
        <v>47968</v>
      </c>
      <c r="AD156" s="912">
        <v>48029</v>
      </c>
      <c r="AE156" s="912">
        <v>0</v>
      </c>
    </row>
    <row r="157" spans="2:31" s="218" customFormat="1" ht="13.5">
      <c r="B157" s="224"/>
      <c r="C157" s="218" t="s">
        <v>1987</v>
      </c>
      <c r="H157" s="227"/>
      <c r="J157" s="912">
        <v>44592</v>
      </c>
      <c r="K157" s="912">
        <v>44773</v>
      </c>
      <c r="L157" s="912">
        <v>44957</v>
      </c>
      <c r="M157" s="912">
        <v>45138</v>
      </c>
      <c r="N157" s="912">
        <v>45322</v>
      </c>
      <c r="O157" s="912">
        <v>45504</v>
      </c>
      <c r="P157" s="912">
        <v>45688</v>
      </c>
      <c r="Q157" s="912">
        <v>45869</v>
      </c>
      <c r="R157" s="912">
        <v>46053</v>
      </c>
      <c r="S157" s="912">
        <v>46234</v>
      </c>
      <c r="T157" s="912">
        <v>46418</v>
      </c>
      <c r="U157" s="912">
        <v>46599</v>
      </c>
      <c r="V157" s="912">
        <v>46783</v>
      </c>
      <c r="W157" s="912">
        <v>46965</v>
      </c>
      <c r="X157" s="912">
        <v>47149</v>
      </c>
      <c r="Y157" s="912">
        <v>47330</v>
      </c>
      <c r="Z157" s="912">
        <v>47514</v>
      </c>
      <c r="AA157" s="912">
        <v>47695</v>
      </c>
      <c r="AB157" s="912">
        <v>47879</v>
      </c>
      <c r="AC157" s="912">
        <v>48029</v>
      </c>
      <c r="AD157" s="912">
        <v>48029</v>
      </c>
      <c r="AE157" s="912">
        <v>0</v>
      </c>
    </row>
    <row r="158" spans="2:31" s="218" customFormat="1">
      <c r="B158" s="220"/>
      <c r="C158" s="221"/>
      <c r="D158" s="221"/>
      <c r="E158" s="221"/>
      <c r="F158" s="221"/>
      <c r="G158" s="221"/>
      <c r="H158" s="245"/>
      <c r="J158" s="246"/>
      <c r="K158" s="246"/>
      <c r="L158" s="246"/>
      <c r="M158" s="246"/>
      <c r="N158" s="246"/>
      <c r="O158" s="246"/>
      <c r="P158" s="246"/>
      <c r="Q158" s="246"/>
      <c r="R158" s="246"/>
      <c r="S158" s="246"/>
      <c r="T158" s="246"/>
      <c r="U158" s="246"/>
      <c r="V158" s="246"/>
      <c r="W158" s="246"/>
      <c r="X158" s="246"/>
      <c r="Y158" s="246"/>
      <c r="Z158" s="246"/>
      <c r="AA158" s="246"/>
      <c r="AB158" s="246"/>
      <c r="AC158" s="246"/>
      <c r="AD158" s="246"/>
      <c r="AE158" s="246"/>
    </row>
    <row r="159" spans="2:31">
      <c r="I159" s="218"/>
    </row>
    <row r="160" spans="2:31" s="987" customFormat="1" ht="13.5" outlineLevel="1">
      <c r="D160" s="1063" t="s">
        <v>1988</v>
      </c>
      <c r="F160" s="1064" t="s">
        <v>1989</v>
      </c>
      <c r="H160" s="990">
        <f>SUM(J160:AE160)</f>
        <v>283645.21012723522</v>
      </c>
      <c r="J160" s="990">
        <v>0</v>
      </c>
      <c r="K160" s="990">
        <v>0</v>
      </c>
      <c r="L160" s="990">
        <v>0</v>
      </c>
      <c r="M160" s="990">
        <v>0</v>
      </c>
      <c r="N160" s="990">
        <v>0</v>
      </c>
      <c r="O160" s="990">
        <v>15841.120589058621</v>
      </c>
      <c r="P160" s="990">
        <v>16757.517318416511</v>
      </c>
      <c r="Q160" s="990">
        <v>16425.70472908983</v>
      </c>
      <c r="R160" s="990">
        <v>17195.722033019709</v>
      </c>
      <c r="S160" s="990">
        <v>16784.484553465012</v>
      </c>
      <c r="T160" s="990">
        <v>17514.247798653065</v>
      </c>
      <c r="U160" s="990">
        <v>17783.175059161549</v>
      </c>
      <c r="V160" s="990">
        <v>19344.398412630122</v>
      </c>
      <c r="W160" s="990">
        <v>18379.068929251083</v>
      </c>
      <c r="X160" s="990">
        <v>20055.938147657213</v>
      </c>
      <c r="Y160" s="990">
        <v>18935.522294448743</v>
      </c>
      <c r="Z160" s="990">
        <v>20622.538885843253</v>
      </c>
      <c r="AA160" s="990">
        <v>19490.399847010271</v>
      </c>
      <c r="AB160" s="990">
        <v>21203.520724799397</v>
      </c>
      <c r="AC160" s="990">
        <v>20039.777165999709</v>
      </c>
      <c r="AD160" s="990">
        <v>7272.0736387311335</v>
      </c>
      <c r="AE160" s="990">
        <v>0</v>
      </c>
    </row>
    <row r="161" spans="3:31" s="987" customFormat="1" ht="13.5" outlineLevel="1">
      <c r="D161" s="1063" t="s">
        <v>1990</v>
      </c>
      <c r="H161" s="990">
        <f>SUM(J161:AE161)</f>
        <v>223288.83092573506</v>
      </c>
      <c r="J161" s="990">
        <v>0</v>
      </c>
      <c r="K161" s="990">
        <v>0</v>
      </c>
      <c r="L161" s="990">
        <v>0</v>
      </c>
      <c r="M161" s="990">
        <v>0</v>
      </c>
      <c r="N161" s="990">
        <v>0</v>
      </c>
      <c r="O161" s="990">
        <v>11083.669487534878</v>
      </c>
      <c r="P161" s="990">
        <v>24622.719880999488</v>
      </c>
      <c r="Q161" s="990">
        <v>15556.465348234477</v>
      </c>
      <c r="R161" s="990">
        <v>15557.862141077294</v>
      </c>
      <c r="S161" s="990">
        <v>15617.877232621016</v>
      </c>
      <c r="T161" s="990">
        <v>22367.64278588321</v>
      </c>
      <c r="U161" s="990">
        <v>13340.764866191981</v>
      </c>
      <c r="V161" s="990">
        <v>13243.511195445892</v>
      </c>
      <c r="W161" s="990">
        <v>13294.52051261728</v>
      </c>
      <c r="X161" s="990">
        <v>20207.667494776128</v>
      </c>
      <c r="Y161" s="990">
        <v>10876.042083469902</v>
      </c>
      <c r="Z161" s="990">
        <v>10877.728463466499</v>
      </c>
      <c r="AA161" s="990">
        <v>10943.422193119128</v>
      </c>
      <c r="AB161" s="990">
        <v>10945.167344538668</v>
      </c>
      <c r="AC161" s="990">
        <v>11023.326644039566</v>
      </c>
      <c r="AD161" s="990">
        <v>3730.4432517196374</v>
      </c>
      <c r="AE161" s="990">
        <v>0</v>
      </c>
    </row>
    <row r="162" spans="3:31" s="2365" customFormat="1" ht="13.5" outlineLevel="1">
      <c r="D162" s="2366" t="s">
        <v>1991</v>
      </c>
      <c r="H162" s="1817">
        <f>H160-H161</f>
        <v>60356.379201500153</v>
      </c>
      <c r="J162" s="1817">
        <f>J160-J161</f>
        <v>0</v>
      </c>
      <c r="K162" s="1817">
        <f t="shared" ref="K162:AE162" si="27">K160-K161</f>
        <v>0</v>
      </c>
      <c r="L162" s="1817">
        <f t="shared" si="27"/>
        <v>0</v>
      </c>
      <c r="M162" s="1817">
        <f t="shared" si="27"/>
        <v>0</v>
      </c>
      <c r="N162" s="1817">
        <f t="shared" si="27"/>
        <v>0</v>
      </c>
      <c r="O162" s="1817">
        <f>O160-O161</f>
        <v>4757.4511015237422</v>
      </c>
      <c r="P162" s="1817">
        <f t="shared" si="27"/>
        <v>-7865.2025625829774</v>
      </c>
      <c r="Q162" s="1817">
        <f t="shared" si="27"/>
        <v>869.23938085535337</v>
      </c>
      <c r="R162" s="1817">
        <f t="shared" si="27"/>
        <v>1637.8598919424148</v>
      </c>
      <c r="S162" s="1817">
        <f t="shared" si="27"/>
        <v>1166.6073208439957</v>
      </c>
      <c r="T162" s="1817">
        <f t="shared" si="27"/>
        <v>-4853.3949872301455</v>
      </c>
      <c r="U162" s="1817">
        <f t="shared" si="27"/>
        <v>4442.410192969568</v>
      </c>
      <c r="V162" s="1817">
        <f t="shared" si="27"/>
        <v>6100.8872171842304</v>
      </c>
      <c r="W162" s="1817">
        <f t="shared" si="27"/>
        <v>5084.5484166338028</v>
      </c>
      <c r="X162" s="1817">
        <f t="shared" si="27"/>
        <v>-151.72934711891503</v>
      </c>
      <c r="Y162" s="1817">
        <f t="shared" si="27"/>
        <v>8059.4802109788416</v>
      </c>
      <c r="Z162" s="1817">
        <f t="shared" si="27"/>
        <v>9744.8104223767532</v>
      </c>
      <c r="AA162" s="1817">
        <f t="shared" si="27"/>
        <v>8546.9776538911428</v>
      </c>
      <c r="AB162" s="1817">
        <f t="shared" si="27"/>
        <v>10258.353380260729</v>
      </c>
      <c r="AC162" s="1817">
        <f t="shared" si="27"/>
        <v>9016.4505219601433</v>
      </c>
      <c r="AD162" s="1817">
        <f t="shared" si="27"/>
        <v>3541.6303870114962</v>
      </c>
      <c r="AE162" s="1817">
        <f t="shared" si="27"/>
        <v>0</v>
      </c>
    </row>
    <row r="163" spans="3:31" s="987" customFormat="1" ht="13.5" outlineLevel="1">
      <c r="D163" s="1063" t="s">
        <v>1992</v>
      </c>
      <c r="H163" s="990">
        <f>SUM(J163:AE163)</f>
        <v>82954.41219375834</v>
      </c>
      <c r="J163" s="990">
        <f t="shared" ref="J163:AE163" si="28">J40</f>
        <v>0</v>
      </c>
      <c r="K163" s="990">
        <f t="shared" si="28"/>
        <v>0</v>
      </c>
      <c r="L163" s="990">
        <f t="shared" si="28"/>
        <v>0</v>
      </c>
      <c r="M163" s="990">
        <f t="shared" si="28"/>
        <v>0</v>
      </c>
      <c r="N163" s="990">
        <f t="shared" si="28"/>
        <v>0</v>
      </c>
      <c r="O163" s="990">
        <f t="shared" si="28"/>
        <v>5410.0703604625005</v>
      </c>
      <c r="P163" s="990">
        <f t="shared" si="28"/>
        <v>5410.0703604625005</v>
      </c>
      <c r="Q163" s="990">
        <f t="shared" si="28"/>
        <v>5410.0703604625005</v>
      </c>
      <c r="R163" s="990">
        <f t="shared" si="28"/>
        <v>5410.0703604625005</v>
      </c>
      <c r="S163" s="990">
        <f t="shared" si="28"/>
        <v>5410.0703604625005</v>
      </c>
      <c r="T163" s="990">
        <f t="shared" si="28"/>
        <v>5410.0703604625005</v>
      </c>
      <c r="U163" s="990">
        <f t="shared" si="28"/>
        <v>5410.0703604625005</v>
      </c>
      <c r="V163" s="990">
        <f t="shared" si="28"/>
        <v>5410.0703604625005</v>
      </c>
      <c r="W163" s="990">
        <f t="shared" si="28"/>
        <v>5410.0703604625005</v>
      </c>
      <c r="X163" s="990">
        <f t="shared" si="28"/>
        <v>5410.0703604625005</v>
      </c>
      <c r="Y163" s="990">
        <f t="shared" si="28"/>
        <v>5410.0703604625005</v>
      </c>
      <c r="Z163" s="990">
        <f t="shared" si="28"/>
        <v>5410.0703604625005</v>
      </c>
      <c r="AA163" s="990">
        <f t="shared" si="28"/>
        <v>5410.0703604625005</v>
      </c>
      <c r="AB163" s="990">
        <f t="shared" si="28"/>
        <v>5410.0703604625005</v>
      </c>
      <c r="AC163" s="990">
        <f t="shared" si="28"/>
        <v>5410.0703604625005</v>
      </c>
      <c r="AD163" s="990">
        <f t="shared" si="28"/>
        <v>1803.3567868208333</v>
      </c>
      <c r="AE163" s="990">
        <f t="shared" si="28"/>
        <v>0</v>
      </c>
    </row>
    <row r="164" spans="3:31" s="987" customFormat="1" ht="13.5" outlineLevel="1">
      <c r="D164" s="1063" t="s">
        <v>1993</v>
      </c>
      <c r="H164" s="1065">
        <f>H162-H163</f>
        <v>-22598.032992258188</v>
      </c>
      <c r="J164" s="1065">
        <f>J162-J163</f>
        <v>0</v>
      </c>
      <c r="K164" s="1065">
        <f t="shared" ref="K164:AE164" si="29">K162-K163</f>
        <v>0</v>
      </c>
      <c r="L164" s="1065">
        <f t="shared" si="29"/>
        <v>0</v>
      </c>
      <c r="M164" s="1065">
        <f t="shared" si="29"/>
        <v>0</v>
      </c>
      <c r="N164" s="1065">
        <f t="shared" si="29"/>
        <v>0</v>
      </c>
      <c r="O164" s="1065">
        <f t="shared" si="29"/>
        <v>-652.61925893875832</v>
      </c>
      <c r="P164" s="1065">
        <f t="shared" si="29"/>
        <v>-13275.272923045479</v>
      </c>
      <c r="Q164" s="1065">
        <f t="shared" si="29"/>
        <v>-4540.8309796071471</v>
      </c>
      <c r="R164" s="1065">
        <f t="shared" si="29"/>
        <v>-3772.2104685200857</v>
      </c>
      <c r="S164" s="1065">
        <f t="shared" si="29"/>
        <v>-4243.4630396185048</v>
      </c>
      <c r="T164" s="1065">
        <f t="shared" si="29"/>
        <v>-10263.465347692647</v>
      </c>
      <c r="U164" s="1065">
        <f t="shared" si="29"/>
        <v>-967.66016749293249</v>
      </c>
      <c r="V164" s="1065">
        <f t="shared" si="29"/>
        <v>690.81685672172989</v>
      </c>
      <c r="W164" s="1065">
        <f t="shared" si="29"/>
        <v>-325.52194382869766</v>
      </c>
      <c r="X164" s="1065">
        <f t="shared" si="29"/>
        <v>-5561.7997075814155</v>
      </c>
      <c r="Y164" s="1065">
        <f t="shared" si="29"/>
        <v>2649.4098505163411</v>
      </c>
      <c r="Z164" s="1065">
        <f t="shared" si="29"/>
        <v>4334.7400619142527</v>
      </c>
      <c r="AA164" s="1065">
        <f t="shared" si="29"/>
        <v>3136.9072934286423</v>
      </c>
      <c r="AB164" s="1065">
        <f t="shared" si="29"/>
        <v>4848.2830197982285</v>
      </c>
      <c r="AC164" s="1065">
        <f t="shared" si="29"/>
        <v>3606.3801614976428</v>
      </c>
      <c r="AD164" s="1065">
        <f t="shared" si="29"/>
        <v>1738.2736001906628</v>
      </c>
      <c r="AE164" s="1065">
        <f t="shared" si="29"/>
        <v>0</v>
      </c>
    </row>
    <row r="165" spans="3:31" outlineLevel="1">
      <c r="I165" s="987"/>
    </row>
    <row r="166" spans="3:31" outlineLevel="1"/>
    <row r="167" spans="3:31" outlineLevel="1"/>
    <row r="168" spans="3:31" ht="13.5" outlineLevel="1">
      <c r="D168" s="826" t="s">
        <v>1988</v>
      </c>
      <c r="H168" s="990">
        <f>SUM(J168:AE168)</f>
        <v>279602.50005266274</v>
      </c>
      <c r="J168" s="981">
        <f t="shared" ref="J168:AE168" si="30">SUM(J11:J14)</f>
        <v>0</v>
      </c>
      <c r="K168" s="981">
        <f t="shared" si="30"/>
        <v>0</v>
      </c>
      <c r="L168" s="981">
        <f t="shared" si="30"/>
        <v>0</v>
      </c>
      <c r="M168" s="981">
        <f t="shared" si="30"/>
        <v>0</v>
      </c>
      <c r="N168" s="981">
        <f t="shared" si="30"/>
        <v>0</v>
      </c>
      <c r="O168" s="981">
        <f t="shared" si="30"/>
        <v>15532.686705944499</v>
      </c>
      <c r="P168" s="981">
        <f t="shared" si="30"/>
        <v>16334.109473165001</v>
      </c>
      <c r="Q168" s="981">
        <f t="shared" si="30"/>
        <v>15974.074324673471</v>
      </c>
      <c r="R168" s="981">
        <f t="shared" si="30"/>
        <v>16789.400556091867</v>
      </c>
      <c r="S168" s="981">
        <f t="shared" si="30"/>
        <v>16419.43231620298</v>
      </c>
      <c r="T168" s="981">
        <f t="shared" si="30"/>
        <v>17257.715549871038</v>
      </c>
      <c r="U168" s="981">
        <f t="shared" si="30"/>
        <v>17580.465911647625</v>
      </c>
      <c r="V168" s="981">
        <f t="shared" si="30"/>
        <v>19145.278162500595</v>
      </c>
      <c r="W168" s="981">
        <f t="shared" si="30"/>
        <v>18172.991738726003</v>
      </c>
      <c r="X168" s="981">
        <f t="shared" si="30"/>
        <v>19880.535324438231</v>
      </c>
      <c r="Y168" s="981">
        <f t="shared" si="30"/>
        <v>18766.672343125621</v>
      </c>
      <c r="Z168" s="981">
        <f t="shared" si="30"/>
        <v>20424.681853348218</v>
      </c>
      <c r="AA168" s="981">
        <f t="shared" si="30"/>
        <v>19294.003487917227</v>
      </c>
      <c r="AB168" s="981">
        <f t="shared" si="30"/>
        <v>20998.620058221561</v>
      </c>
      <c r="AC168" s="981">
        <f t="shared" si="30"/>
        <v>19836.493514338519</v>
      </c>
      <c r="AD168" s="981">
        <f t="shared" si="30"/>
        <v>7195.338732450251</v>
      </c>
      <c r="AE168" s="981">
        <f t="shared" si="30"/>
        <v>0</v>
      </c>
    </row>
    <row r="169" spans="3:31" ht="13.5" outlineLevel="1">
      <c r="D169" s="826" t="s">
        <v>1990</v>
      </c>
      <c r="H169" s="990">
        <f>SUM(J169:AE169)</f>
        <v>50020.289829401714</v>
      </c>
      <c r="J169" s="981">
        <f t="shared" ref="J169:AE169" si="31">SUM(J25:J35)</f>
        <v>0</v>
      </c>
      <c r="K169" s="981">
        <f t="shared" si="31"/>
        <v>0</v>
      </c>
      <c r="L169" s="981">
        <f t="shared" si="31"/>
        <v>0</v>
      </c>
      <c r="M169" s="981">
        <f t="shared" si="31"/>
        <v>0</v>
      </c>
      <c r="N169" s="981">
        <f t="shared" si="31"/>
        <v>0</v>
      </c>
      <c r="O169" s="981">
        <f t="shared" si="31"/>
        <v>3032.0923032909986</v>
      </c>
      <c r="P169" s="981">
        <f t="shared" si="31"/>
        <v>3046.9760300889448</v>
      </c>
      <c r="Q169" s="981">
        <f t="shared" si="31"/>
        <v>3105.6381639905958</v>
      </c>
      <c r="R169" s="981">
        <f t="shared" si="31"/>
        <v>3107.0349568334145</v>
      </c>
      <c r="S169" s="981">
        <f t="shared" si="31"/>
        <v>3167.0500483771348</v>
      </c>
      <c r="T169" s="981">
        <f t="shared" si="31"/>
        <v>3168.4822683059942</v>
      </c>
      <c r="U169" s="981">
        <f t="shared" si="31"/>
        <v>3232.4376819481013</v>
      </c>
      <c r="V169" s="981">
        <f t="shared" si="31"/>
        <v>3235.1840112020113</v>
      </c>
      <c r="W169" s="981">
        <f t="shared" si="31"/>
        <v>3300.4366859028123</v>
      </c>
      <c r="X169" s="981">
        <f t="shared" si="31"/>
        <v>3306.6281378566077</v>
      </c>
      <c r="Y169" s="981">
        <f t="shared" si="31"/>
        <v>3371.5082878780654</v>
      </c>
      <c r="Z169" s="981">
        <f t="shared" si="31"/>
        <v>3373.1946678746635</v>
      </c>
      <c r="AA169" s="981">
        <f t="shared" si="31"/>
        <v>3438.8883975272938</v>
      </c>
      <c r="AB169" s="981">
        <f t="shared" si="31"/>
        <v>3440.633548946832</v>
      </c>
      <c r="AC169" s="981">
        <f t="shared" si="31"/>
        <v>3518.7928484477297</v>
      </c>
      <c r="AD169" s="981">
        <f t="shared" si="31"/>
        <v>1175.3117909305238</v>
      </c>
      <c r="AE169" s="981">
        <f t="shared" si="31"/>
        <v>0</v>
      </c>
    </row>
    <row r="170" spans="3:31" s="987" customFormat="1" ht="13.5" outlineLevel="1">
      <c r="D170" s="1066" t="s">
        <v>1994</v>
      </c>
      <c r="H170" s="1065">
        <f>H168-H169</f>
        <v>229582.21022326103</v>
      </c>
      <c r="J170" s="1065">
        <f>J168-J169</f>
        <v>0</v>
      </c>
      <c r="K170" s="1065">
        <f t="shared" ref="K170:AE170" si="32">K168-K169</f>
        <v>0</v>
      </c>
      <c r="L170" s="1065">
        <f t="shared" si="32"/>
        <v>0</v>
      </c>
      <c r="M170" s="1065">
        <f t="shared" si="32"/>
        <v>0</v>
      </c>
      <c r="N170" s="1065">
        <f t="shared" si="32"/>
        <v>0</v>
      </c>
      <c r="O170" s="1065">
        <f t="shared" si="32"/>
        <v>12500.5944026535</v>
      </c>
      <c r="P170" s="1065">
        <f t="shared" si="32"/>
        <v>13287.133443076056</v>
      </c>
      <c r="Q170" s="1065">
        <f t="shared" si="32"/>
        <v>12868.436160682875</v>
      </c>
      <c r="R170" s="1065">
        <f t="shared" si="32"/>
        <v>13682.365599258452</v>
      </c>
      <c r="S170" s="1065">
        <f t="shared" si="32"/>
        <v>13252.382267825844</v>
      </c>
      <c r="T170" s="1065">
        <f t="shared" si="32"/>
        <v>14089.233281565044</v>
      </c>
      <c r="U170" s="1065">
        <f t="shared" si="32"/>
        <v>14348.028229699525</v>
      </c>
      <c r="V170" s="1065">
        <f t="shared" si="32"/>
        <v>15910.094151298585</v>
      </c>
      <c r="W170" s="1065">
        <f t="shared" si="32"/>
        <v>14872.555052823191</v>
      </c>
      <c r="X170" s="1065">
        <f t="shared" si="32"/>
        <v>16573.907186581622</v>
      </c>
      <c r="Y170" s="1065">
        <f t="shared" si="32"/>
        <v>15395.164055247556</v>
      </c>
      <c r="Z170" s="1065">
        <f t="shared" si="32"/>
        <v>17051.487185473554</v>
      </c>
      <c r="AA170" s="1065">
        <f t="shared" si="32"/>
        <v>15855.115090389932</v>
      </c>
      <c r="AB170" s="1065">
        <f t="shared" si="32"/>
        <v>17557.986509274728</v>
      </c>
      <c r="AC170" s="1065">
        <f t="shared" si="32"/>
        <v>16317.700665890789</v>
      </c>
      <c r="AD170" s="1065">
        <f t="shared" si="32"/>
        <v>6020.0269415197272</v>
      </c>
      <c r="AE170" s="1065">
        <f t="shared" si="32"/>
        <v>0</v>
      </c>
    </row>
    <row r="171" spans="3:31" outlineLevel="1"/>
    <row r="174" spans="3:31">
      <c r="C174" s="1007" t="s">
        <v>1995</v>
      </c>
      <c r="P174" s="981">
        <f>P9</f>
        <v>16334.109473165001</v>
      </c>
      <c r="Q174" s="981">
        <f>Q9</f>
        <v>15974.074324673471</v>
      </c>
    </row>
    <row r="175" spans="3:31">
      <c r="C175" s="1007" t="s">
        <v>1996</v>
      </c>
      <c r="P175" s="981">
        <f>P17</f>
        <v>10767.873574795325</v>
      </c>
      <c r="Q175" s="981">
        <f>Q17</f>
        <v>9426.5357086969761</v>
      </c>
    </row>
    <row r="176" spans="3:31">
      <c r="D176" s="835" t="s">
        <v>1997</v>
      </c>
      <c r="P176" s="981">
        <f>SUM(P25:P38,P40:P43)</f>
        <v>8641.9599747953253</v>
      </c>
      <c r="Q176" s="981">
        <f>SUM(Q25:Q38,Q40:Q43)</f>
        <v>8700.6221086969763</v>
      </c>
    </row>
    <row r="177" spans="3:17">
      <c r="D177" s="835" t="s">
        <v>1998</v>
      </c>
      <c r="P177" s="981">
        <f>SUM(P19:P24,P39)</f>
        <v>2125.9135999999999</v>
      </c>
      <c r="Q177" s="981">
        <f>SUM(Q19:Q24,Q39)</f>
        <v>725.91359999999997</v>
      </c>
    </row>
    <row r="178" spans="3:17">
      <c r="C178" s="1007" t="s">
        <v>1999</v>
      </c>
      <c r="P178" s="1026">
        <f>P45</f>
        <v>5566.2358983696759</v>
      </c>
      <c r="Q178" s="1026">
        <f>Q45</f>
        <v>6547.5386159764948</v>
      </c>
    </row>
    <row r="179" spans="3:17">
      <c r="P179" s="835" t="b">
        <f>P176+P177=P175</f>
        <v>1</v>
      </c>
      <c r="Q179" s="835" t="b">
        <f>Q176+Q177=Q175</f>
        <v>1</v>
      </c>
    </row>
    <row r="180" spans="3:17">
      <c r="P180" s="835" t="b">
        <f>P174-P175=P178</f>
        <v>1</v>
      </c>
      <c r="Q180" s="835" t="b">
        <f>Q174-Q175=Q178</f>
        <v>1</v>
      </c>
    </row>
    <row r="183" spans="3:17">
      <c r="C183" s="1007" t="s">
        <v>2000</v>
      </c>
      <c r="P183" s="981">
        <f>P47</f>
        <v>423.40784525151116</v>
      </c>
      <c r="Q183" s="981">
        <f>Q47</f>
        <v>451.63040441635911</v>
      </c>
    </row>
    <row r="184" spans="3:17">
      <c r="C184" s="1007" t="s">
        <v>2001</v>
      </c>
      <c r="P184" s="1026">
        <f>P51</f>
        <v>19264.916666666664</v>
      </c>
      <c r="Q184" s="1026">
        <f>Q51</f>
        <v>11540</v>
      </c>
    </row>
    <row r="185" spans="3:17">
      <c r="C185" s="1007" t="s">
        <v>2002</v>
      </c>
      <c r="P185" s="1026">
        <f>P183-P184</f>
        <v>-18841.508821415155</v>
      </c>
      <c r="Q185" s="1026">
        <f>Q183-Q184</f>
        <v>-11088.369595583641</v>
      </c>
    </row>
    <row r="188" spans="3:17">
      <c r="D188" s="2276" t="s">
        <v>2003</v>
      </c>
      <c r="P188" s="1026">
        <f>P65</f>
        <v>-13275.272923045477</v>
      </c>
      <c r="Q188" s="1026">
        <f>Q65</f>
        <v>-4540.8309796071462</v>
      </c>
    </row>
    <row r="189" spans="3:17">
      <c r="P189" s="1026" t="b">
        <f>P178+P185=P188</f>
        <v>1</v>
      </c>
      <c r="Q189" s="1026" t="b">
        <f>Q178+Q185=Q188</f>
        <v>1</v>
      </c>
    </row>
  </sheetData>
  <phoneticPr fontId="3" type="noConversion"/>
  <conditionalFormatting sqref="H133:H142 J133:AE144">
    <cfRule type="cellIs" dxfId="625" priority="10" stopIfTrue="1" operator="equal">
      <formula>0</formula>
    </cfRule>
  </conditionalFormatting>
  <conditionalFormatting sqref="H123">
    <cfRule type="cellIs" dxfId="624" priority="16" stopIfTrue="1" operator="equal">
      <formula>0</formula>
    </cfRule>
  </conditionalFormatting>
  <conditionalFormatting sqref="K129:AE129">
    <cfRule type="cellIs" dxfId="623" priority="11" stopIfTrue="1" operator="equal">
      <formula>0</formula>
    </cfRule>
  </conditionalFormatting>
  <conditionalFormatting sqref="J147:AE147">
    <cfRule type="cellIs" dxfId="622" priority="1" stopIfTrue="1" operator="equal">
      <formula>0</formula>
    </cfRule>
  </conditionalFormatting>
  <conditionalFormatting sqref="H72 H85 H121 H148 H63 H126 J72:AE72 J85:AE85 J148:AE148 O126 H90:H119 J90:AE121">
    <cfRule type="cellIs" dxfId="621" priority="35" stopIfTrue="1" operator="equal">
      <formula>0</formula>
    </cfRule>
  </conditionalFormatting>
  <conditionalFormatting sqref="J69:AE69 J6:AE6">
    <cfRule type="cellIs" dxfId="620" priority="34" operator="equal">
      <formula>-1</formula>
    </cfRule>
  </conditionalFormatting>
  <conditionalFormatting sqref="J156:AE157 J70:AE70 J7:AE7">
    <cfRule type="cellIs" dxfId="619" priority="33" operator="equal">
      <formula>0</formula>
    </cfRule>
  </conditionalFormatting>
  <conditionalFormatting sqref="J5:AE5">
    <cfRule type="cellIs" dxfId="618" priority="32" operator="equal">
      <formula>1900</formula>
    </cfRule>
  </conditionalFormatting>
  <conditionalFormatting sqref="G9">
    <cfRule type="cellIs" dxfId="617" priority="31" operator="equal">
      <formula>" - "</formula>
    </cfRule>
  </conditionalFormatting>
  <conditionalFormatting sqref="J162:AE162">
    <cfRule type="cellIs" dxfId="616" priority="30" stopIfTrue="1" operator="equal">
      <formula>0</formula>
    </cfRule>
  </conditionalFormatting>
  <conditionalFormatting sqref="H162">
    <cfRule type="cellIs" dxfId="615" priority="29" stopIfTrue="1" operator="equal">
      <formula>0</formula>
    </cfRule>
  </conditionalFormatting>
  <conditionalFormatting sqref="D11:D14 D59 D39">
    <cfRule type="expression" dxfId="614" priority="28">
      <formula>($H11=0)*1</formula>
    </cfRule>
  </conditionalFormatting>
  <conditionalFormatting sqref="D15">
    <cfRule type="expression" dxfId="613" priority="27">
      <formula>($H15=0)*1</formula>
    </cfRule>
  </conditionalFormatting>
  <conditionalFormatting sqref="D19:D36 D40:D41 D38">
    <cfRule type="expression" dxfId="612" priority="26">
      <formula>($H19=0)*1</formula>
    </cfRule>
  </conditionalFormatting>
  <conditionalFormatting sqref="D42:D43">
    <cfRule type="expression" dxfId="611" priority="25">
      <formula>($H42=0)*1</formula>
    </cfRule>
  </conditionalFormatting>
  <conditionalFormatting sqref="D49">
    <cfRule type="expression" dxfId="610" priority="24">
      <formula>($H49=0)*1</formula>
    </cfRule>
  </conditionalFormatting>
  <conditionalFormatting sqref="D53:D58">
    <cfRule type="expression" dxfId="609" priority="23">
      <formula>($H53=0)*1</formula>
    </cfRule>
  </conditionalFormatting>
  <conditionalFormatting sqref="D63">
    <cfRule type="expression" dxfId="608" priority="22">
      <formula>($H63=0)*1</formula>
    </cfRule>
  </conditionalFormatting>
  <conditionalFormatting sqref="C63">
    <cfRule type="expression" dxfId="607" priority="21">
      <formula>($H63=0)*1</formula>
    </cfRule>
  </conditionalFormatting>
  <conditionalFormatting sqref="D37">
    <cfRule type="expression" dxfId="606" priority="20">
      <formula>($H37=0)*1</formula>
    </cfRule>
  </conditionalFormatting>
  <conditionalFormatting sqref="J123:AC123">
    <cfRule type="cellIs" dxfId="605" priority="19" stopIfTrue="1" operator="equal">
      <formula>0</formula>
    </cfRule>
  </conditionalFormatting>
  <conditionalFormatting sqref="AD123">
    <cfRule type="cellIs" dxfId="604" priority="18" stopIfTrue="1" operator="equal">
      <formula>0</formula>
    </cfRule>
  </conditionalFormatting>
  <conditionalFormatting sqref="AE123">
    <cfRule type="cellIs" dxfId="603" priority="17" stopIfTrue="1" operator="equal">
      <formula>0</formula>
    </cfRule>
  </conditionalFormatting>
  <conditionalFormatting sqref="H127">
    <cfRule type="cellIs" dxfId="602" priority="15" stopIfTrue="1" operator="equal">
      <formula>0</formula>
    </cfRule>
  </conditionalFormatting>
  <conditionalFormatting sqref="H128 O128">
    <cfRule type="cellIs" dxfId="601" priority="14" stopIfTrue="1" operator="equal">
      <formula>0</formula>
    </cfRule>
  </conditionalFormatting>
  <conditionalFormatting sqref="H129 K129:AE129">
    <cfRule type="cellIs" dxfId="600" priority="13" stopIfTrue="1" operator="equal">
      <formula>0</formula>
    </cfRule>
  </conditionalFormatting>
  <conditionalFormatting sqref="K129:AE129">
    <cfRule type="cellIs" dxfId="599" priority="12" stopIfTrue="1" operator="equal">
      <formula>0</formula>
    </cfRule>
  </conditionalFormatting>
  <conditionalFormatting sqref="H144">
    <cfRule type="cellIs" dxfId="598" priority="9" stopIfTrue="1" operator="equal">
      <formula>0</formula>
    </cfRule>
  </conditionalFormatting>
  <conditionalFormatting sqref="J129:AE129">
    <cfRule type="cellIs" dxfId="597" priority="8" stopIfTrue="1" operator="equal">
      <formula>0</formula>
    </cfRule>
  </conditionalFormatting>
  <conditionalFormatting sqref="J129:AE129">
    <cfRule type="cellIs" dxfId="596" priority="7" stopIfTrue="1" operator="equal">
      <formula>0</formula>
    </cfRule>
  </conditionalFormatting>
  <conditionalFormatting sqref="J129:AE129">
    <cfRule type="cellIs" dxfId="595" priority="6" stopIfTrue="1" operator="equal">
      <formula>0</formula>
    </cfRule>
  </conditionalFormatting>
  <conditionalFormatting sqref="H147 K147:AE147">
    <cfRule type="cellIs" dxfId="594" priority="5" stopIfTrue="1" operator="equal">
      <formula>0</formula>
    </cfRule>
  </conditionalFormatting>
  <conditionalFormatting sqref="R147:AA147">
    <cfRule type="cellIs" dxfId="593" priority="4" stopIfTrue="1" operator="equal">
      <formula>0</formula>
    </cfRule>
  </conditionalFormatting>
  <conditionalFormatting sqref="J147:AE147">
    <cfRule type="cellIs" dxfId="592" priority="3" stopIfTrue="1" operator="equal">
      <formula>0</formula>
    </cfRule>
  </conditionalFormatting>
  <conditionalFormatting sqref="J147:AE147">
    <cfRule type="cellIs" dxfId="591" priority="2" stopIfTrue="1" operator="equal">
      <formula>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XQ124"/>
  <sheetViews>
    <sheetView showGridLines="0" zoomScale="85" zoomScaleNormal="85" workbookViewId="0">
      <pane xSplit="8" ySplit="7" topLeftCell="AA98" activePane="bottomRight" state="frozen"/>
      <selection activeCell="N92" sqref="N92"/>
      <selection pane="topRight" activeCell="N92" sqref="N92"/>
      <selection pane="bottomLeft" activeCell="N92" sqref="N92"/>
      <selection pane="bottomRight" activeCell="AU126" sqref="AU126"/>
    </sheetView>
  </sheetViews>
  <sheetFormatPr defaultColWidth="0" defaultRowHeight="12.75" outlineLevelRow="1" outlineLevelCol="1"/>
  <cols>
    <col min="1" max="1" width="0.75" style="835" customWidth="1"/>
    <col min="2" max="3" width="1.25" style="835" customWidth="1"/>
    <col min="4" max="4" width="3.75" style="835" customWidth="1"/>
    <col min="5" max="5" width="10.375" style="835" customWidth="1"/>
    <col min="6" max="6" width="8.25" style="835" customWidth="1"/>
    <col min="7" max="7" width="6.25" style="835" customWidth="1"/>
    <col min="8" max="8" width="9" style="835" customWidth="1"/>
    <col min="9" max="9" width="3.125" style="835" customWidth="1"/>
    <col min="10" max="37" width="6.75" style="835" customWidth="1" outlineLevel="1"/>
    <col min="38" max="38" width="6.75" style="835" customWidth="1"/>
    <col min="39" max="130" width="7.375" style="835" bestFit="1" customWidth="1"/>
    <col min="131" max="142" width="7.375" style="887" customWidth="1"/>
    <col min="143" max="143" width="4.12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2024</v>
      </c>
      <c r="C1" s="810"/>
      <c r="D1" s="810"/>
      <c r="E1" s="810"/>
      <c r="F1" s="810"/>
      <c r="G1" s="810"/>
      <c r="H1" s="810"/>
      <c r="I1" s="810"/>
      <c r="J1" s="810"/>
      <c r="K1" s="810"/>
      <c r="L1" s="810"/>
      <c r="M1" s="810"/>
      <c r="N1" s="810"/>
      <c r="O1" s="811" t="s">
        <v>767</v>
      </c>
      <c r="P1" s="811"/>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2025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993">
        <v>2031</v>
      </c>
      <c r="EB5" s="993">
        <v>2031</v>
      </c>
      <c r="EC5" s="993">
        <v>2031</v>
      </c>
      <c r="ED5" s="993">
        <v>2031</v>
      </c>
      <c r="EE5" s="993">
        <v>2031</v>
      </c>
      <c r="EF5" s="993">
        <v>2031</v>
      </c>
      <c r="EG5" s="993">
        <v>2032</v>
      </c>
      <c r="EH5" s="993">
        <v>2032</v>
      </c>
      <c r="EI5" s="993">
        <v>2032</v>
      </c>
      <c r="EJ5" s="993">
        <v>2032</v>
      </c>
      <c r="EK5" s="993">
        <v>2032</v>
      </c>
      <c r="EL5" s="993">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8">
        <v>21</v>
      </c>
      <c r="EB6" s="998">
        <v>21</v>
      </c>
      <c r="EC6" s="998">
        <v>21</v>
      </c>
      <c r="ED6" s="998">
        <v>21</v>
      </c>
      <c r="EE6" s="998">
        <v>22</v>
      </c>
      <c r="EF6" s="998">
        <v>22</v>
      </c>
      <c r="EG6" s="998">
        <v>22</v>
      </c>
      <c r="EH6" s="998">
        <v>22</v>
      </c>
      <c r="EI6" s="998">
        <v>22</v>
      </c>
      <c r="EJ6" s="998">
        <v>22</v>
      </c>
      <c r="EK6" s="998">
        <v>23</v>
      </c>
      <c r="EL6" s="998">
        <v>23</v>
      </c>
    </row>
    <row r="7" spans="2:142" ht="13.5">
      <c r="B7" s="828"/>
      <c r="C7" s="829"/>
      <c r="D7" s="829"/>
      <c r="E7" s="829"/>
      <c r="F7" s="830" t="s">
        <v>1601</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999">
        <v>48060</v>
      </c>
      <c r="EB7" s="999">
        <v>48091</v>
      </c>
      <c r="EC7" s="999">
        <v>48121</v>
      </c>
      <c r="ED7" s="999">
        <v>48152</v>
      </c>
      <c r="EE7" s="999">
        <v>48182</v>
      </c>
      <c r="EF7" s="999">
        <v>48213</v>
      </c>
      <c r="EG7" s="999">
        <v>48244</v>
      </c>
      <c r="EH7" s="999">
        <v>48273</v>
      </c>
      <c r="EI7" s="999">
        <v>48304</v>
      </c>
      <c r="EJ7" s="999">
        <v>48334</v>
      </c>
      <c r="EK7" s="999">
        <v>48365</v>
      </c>
      <c r="EL7" s="999">
        <v>48395</v>
      </c>
    </row>
    <row r="8" spans="2:142">
      <c r="B8" s="1000"/>
      <c r="C8" s="1001"/>
      <c r="D8" s="1001"/>
      <c r="E8" s="1001"/>
      <c r="F8" s="1001"/>
      <c r="G8" s="1001"/>
      <c r="H8" s="214"/>
      <c r="I8" s="833"/>
      <c r="J8" s="2277"/>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3"/>
      <c r="EB8" s="1003"/>
      <c r="EC8" s="1003"/>
      <c r="ED8" s="1003"/>
      <c r="EE8" s="1003"/>
      <c r="EF8" s="1003"/>
      <c r="EG8" s="1003"/>
      <c r="EH8" s="1003"/>
      <c r="EI8" s="1003"/>
      <c r="EJ8" s="1003"/>
      <c r="EK8" s="1003"/>
      <c r="EL8" s="1003"/>
    </row>
    <row r="9" spans="2:142" s="1007" customFormat="1" ht="13.5">
      <c r="B9" s="1004"/>
      <c r="C9" s="1005" t="s">
        <v>2029</v>
      </c>
      <c r="D9" s="994"/>
      <c r="E9" s="994"/>
      <c r="F9" s="1006"/>
      <c r="G9" s="519"/>
      <c r="H9" s="842">
        <f>SUM(J9:EL9)</f>
        <v>800552.37545676949</v>
      </c>
      <c r="I9" s="843"/>
      <c r="J9" s="2278"/>
      <c r="K9" s="842">
        <f t="shared" ref="K9:BV9" si="0">SUM(K11,K12,K13:K15)</f>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0</v>
      </c>
      <c r="AM9" s="2279">
        <f t="shared" si="0"/>
        <v>2857.6170789999996</v>
      </c>
      <c r="AN9" s="2279">
        <f t="shared" si="0"/>
        <v>1598.7880099999998</v>
      </c>
      <c r="AO9" s="2279">
        <f t="shared" si="0"/>
        <v>2910.4878999120001</v>
      </c>
      <c r="AP9" s="2279">
        <f t="shared" si="0"/>
        <v>2937.6106194995</v>
      </c>
      <c r="AQ9" s="2279">
        <f t="shared" si="0"/>
        <v>2290.5724780334999</v>
      </c>
      <c r="AR9" s="2279">
        <f t="shared" si="0"/>
        <v>2937.6106194995</v>
      </c>
      <c r="AS9" s="2279">
        <f t="shared" si="0"/>
        <v>2937.6106194995</v>
      </c>
      <c r="AT9" s="842">
        <f t="shared" si="0"/>
        <v>1643.5343365674998</v>
      </c>
      <c r="AU9" s="842">
        <f t="shared" si="0"/>
        <v>2937.6106194995</v>
      </c>
      <c r="AV9" s="842">
        <f t="shared" si="0"/>
        <v>2937.6106194995</v>
      </c>
      <c r="AW9" s="842">
        <f t="shared" si="0"/>
        <v>2937.6106194995</v>
      </c>
      <c r="AX9" s="842">
        <f t="shared" si="0"/>
        <v>2940.1326585995002</v>
      </c>
      <c r="AY9" s="842">
        <f t="shared" si="0"/>
        <v>2940.1326585995002</v>
      </c>
      <c r="AZ9" s="842">
        <f t="shared" si="0"/>
        <v>1646.0563756675001</v>
      </c>
      <c r="BA9" s="842">
        <f t="shared" si="0"/>
        <v>2994.4838624970357</v>
      </c>
      <c r="BB9" s="842">
        <f t="shared" si="0"/>
        <v>3019.5188791121609</v>
      </c>
      <c r="BC9" s="842">
        <f t="shared" si="0"/>
        <v>2354.3636696851131</v>
      </c>
      <c r="BD9" s="842">
        <f t="shared" si="0"/>
        <v>3019.5188791121609</v>
      </c>
      <c r="BE9" s="842">
        <f t="shared" si="0"/>
        <v>3019.5188791121609</v>
      </c>
      <c r="BF9" s="842">
        <f t="shared" si="0"/>
        <v>1689.2084602580651</v>
      </c>
      <c r="BG9" s="842">
        <f t="shared" si="0"/>
        <v>3019.5188791121609</v>
      </c>
      <c r="BH9" s="842">
        <f t="shared" si="0"/>
        <v>3019.5188791121609</v>
      </c>
      <c r="BI9" s="842">
        <f t="shared" si="0"/>
        <v>3019.5188791121609</v>
      </c>
      <c r="BJ9" s="842">
        <f t="shared" si="0"/>
        <v>3022.116579385161</v>
      </c>
      <c r="BK9" s="842">
        <f t="shared" si="0"/>
        <v>3022.116579385161</v>
      </c>
      <c r="BL9" s="842">
        <f t="shared" si="0"/>
        <v>1691.8061605310654</v>
      </c>
      <c r="BM9" s="842">
        <f t="shared" si="0"/>
        <v>3077.9896169918284</v>
      </c>
      <c r="BN9" s="842">
        <f t="shared" si="0"/>
        <v>3103.7665048619765</v>
      </c>
      <c r="BO9" s="842">
        <f t="shared" si="0"/>
        <v>2419.9869495709718</v>
      </c>
      <c r="BP9" s="842">
        <f t="shared" si="0"/>
        <v>3103.7665048619765</v>
      </c>
      <c r="BQ9" s="842">
        <f t="shared" si="0"/>
        <v>3103.7665048619765</v>
      </c>
      <c r="BR9" s="842">
        <f t="shared" si="0"/>
        <v>1736.2073942799661</v>
      </c>
      <c r="BS9" s="842">
        <f t="shared" si="0"/>
        <v>3103.7665048619765</v>
      </c>
      <c r="BT9" s="842">
        <f t="shared" si="0"/>
        <v>3103.7665048619765</v>
      </c>
      <c r="BU9" s="842">
        <f t="shared" si="0"/>
        <v>3103.7665048619765</v>
      </c>
      <c r="BV9" s="842">
        <f t="shared" si="0"/>
        <v>3106.4421361431669</v>
      </c>
      <c r="BW9" s="842">
        <f t="shared" ref="BW9:EH9" si="1">SUM(BW11,BW12,BW13:BW15)</f>
        <v>3106.4421361431669</v>
      </c>
      <c r="BX9" s="842">
        <f t="shared" si="1"/>
        <v>1738.8830255611565</v>
      </c>
      <c r="BY9" s="842">
        <f t="shared" si="1"/>
        <v>3163.87961880282</v>
      </c>
      <c r="BZ9" s="842">
        <f t="shared" si="1"/>
        <v>3190.420377046828</v>
      </c>
      <c r="CA9" s="842">
        <f t="shared" si="1"/>
        <v>3190.420377046828</v>
      </c>
      <c r="CB9" s="842">
        <f t="shared" si="1"/>
        <v>3190.420377046828</v>
      </c>
      <c r="CC9" s="842">
        <f t="shared" si="1"/>
        <v>3190.420377046828</v>
      </c>
      <c r="CD9" s="842">
        <f t="shared" si="1"/>
        <v>3190.420377046828</v>
      </c>
      <c r="CE9" s="842">
        <f t="shared" si="1"/>
        <v>3190.420377046828</v>
      </c>
      <c r="CF9" s="842">
        <f t="shared" si="1"/>
        <v>3190.420377046828</v>
      </c>
      <c r="CG9" s="842">
        <f t="shared" si="1"/>
        <v>3190.420377046828</v>
      </c>
      <c r="CH9" s="842">
        <f t="shared" si="1"/>
        <v>3193.1762772664542</v>
      </c>
      <c r="CI9" s="842">
        <f t="shared" si="1"/>
        <v>3193.1762772664542</v>
      </c>
      <c r="CJ9" s="842">
        <f t="shared" si="1"/>
        <v>1787.3255115881466</v>
      </c>
      <c r="CK9" s="842">
        <f t="shared" si="1"/>
        <v>3252.2220094405779</v>
      </c>
      <c r="CL9" s="842">
        <f t="shared" si="1"/>
        <v>3313.4226468102747</v>
      </c>
      <c r="CM9" s="842">
        <f t="shared" si="1"/>
        <v>3313.4226468102747</v>
      </c>
      <c r="CN9" s="842">
        <f t="shared" si="1"/>
        <v>3313.4226468102747</v>
      </c>
      <c r="CO9" s="842">
        <f t="shared" si="1"/>
        <v>3313.4226468102747</v>
      </c>
      <c r="CP9" s="842">
        <f t="shared" si="1"/>
        <v>3313.4226468102747</v>
      </c>
      <c r="CQ9" s="842">
        <f t="shared" si="1"/>
        <v>3313.4226468102747</v>
      </c>
      <c r="CR9" s="842">
        <f t="shared" si="1"/>
        <v>3313.4226468102747</v>
      </c>
      <c r="CS9" s="842">
        <f t="shared" si="1"/>
        <v>3313.4226468102747</v>
      </c>
      <c r="CT9" s="842">
        <f t="shared" si="1"/>
        <v>3313.4220903868568</v>
      </c>
      <c r="CU9" s="842">
        <f t="shared" si="1"/>
        <v>3313.4220903868568</v>
      </c>
      <c r="CV9" s="842">
        <f t="shared" si="1"/>
        <v>1868.2075032695573</v>
      </c>
      <c r="CW9" s="842">
        <f t="shared" si="1"/>
        <v>3374.121103061856</v>
      </c>
      <c r="CX9" s="842">
        <f t="shared" si="1"/>
        <v>3403.6405488024511</v>
      </c>
      <c r="CY9" s="842">
        <f t="shared" si="1"/>
        <v>3403.6405488024511</v>
      </c>
      <c r="CZ9" s="842">
        <f t="shared" si="1"/>
        <v>3403.6405488024511</v>
      </c>
      <c r="DA9" s="842">
        <f t="shared" si="1"/>
        <v>3403.6405488024511</v>
      </c>
      <c r="DB9" s="842">
        <f t="shared" si="1"/>
        <v>3403.6405488024511</v>
      </c>
      <c r="DC9" s="842">
        <f t="shared" si="1"/>
        <v>3403.6405488024511</v>
      </c>
      <c r="DD9" s="842">
        <f t="shared" si="1"/>
        <v>3403.6405488024511</v>
      </c>
      <c r="DE9" s="842">
        <f t="shared" si="1"/>
        <v>3403.6405488024511</v>
      </c>
      <c r="DF9" s="842">
        <f t="shared" si="1"/>
        <v>3406.4791093359627</v>
      </c>
      <c r="DG9" s="842">
        <f t="shared" si="1"/>
        <v>3406.4791093359627</v>
      </c>
      <c r="DH9" s="842">
        <f t="shared" si="1"/>
        <v>1920.7985137793787</v>
      </c>
      <c r="DI9" s="842">
        <f t="shared" si="1"/>
        <v>3468.8776943658622</v>
      </c>
      <c r="DJ9" s="842">
        <f t="shared" si="1"/>
        <v>3499.2827234786741</v>
      </c>
      <c r="DK9" s="842">
        <f t="shared" si="1"/>
        <v>3499.2827234786741</v>
      </c>
      <c r="DL9" s="842">
        <f t="shared" si="1"/>
        <v>3499.2827234786741</v>
      </c>
      <c r="DM9" s="842">
        <f t="shared" si="1"/>
        <v>3499.2827234786741</v>
      </c>
      <c r="DN9" s="842">
        <f t="shared" si="1"/>
        <v>3499.2827234786741</v>
      </c>
      <c r="DO9" s="842">
        <f t="shared" si="1"/>
        <v>3499.2827234786741</v>
      </c>
      <c r="DP9" s="842">
        <f t="shared" si="1"/>
        <v>3499.2827234786741</v>
      </c>
      <c r="DQ9" s="842">
        <f t="shared" si="1"/>
        <v>3499.2827234786741</v>
      </c>
      <c r="DR9" s="842">
        <f t="shared" si="1"/>
        <v>3502.2064408281917</v>
      </c>
      <c r="DS9" s="842">
        <f t="shared" si="1"/>
        <v>3502.2064408281917</v>
      </c>
      <c r="DT9" s="842">
        <f t="shared" si="1"/>
        <v>1974.9267885960235</v>
      </c>
      <c r="DU9" s="842">
        <f t="shared" si="1"/>
        <v>3566.3521862389289</v>
      </c>
      <c r="DV9" s="842">
        <f t="shared" si="1"/>
        <v>3597.6693662251255</v>
      </c>
      <c r="DW9" s="842">
        <f t="shared" si="1"/>
        <v>3597.6693662251255</v>
      </c>
      <c r="DX9" s="842">
        <f t="shared" si="1"/>
        <v>3597.6693662251255</v>
      </c>
      <c r="DY9" s="842">
        <f t="shared" si="1"/>
        <v>3597.6693662251255</v>
      </c>
      <c r="DZ9" s="842">
        <f t="shared" si="1"/>
        <v>524547.54477033182</v>
      </c>
      <c r="EA9" s="842">
        <f t="shared" si="1"/>
        <v>0</v>
      </c>
      <c r="EB9" s="842">
        <f t="shared" si="1"/>
        <v>0</v>
      </c>
      <c r="EC9" s="842">
        <f t="shared" si="1"/>
        <v>0</v>
      </c>
      <c r="ED9" s="842">
        <f t="shared" si="1"/>
        <v>0</v>
      </c>
      <c r="EE9" s="842">
        <f t="shared" si="1"/>
        <v>0</v>
      </c>
      <c r="EF9" s="842">
        <f t="shared" si="1"/>
        <v>0</v>
      </c>
      <c r="EG9" s="842">
        <f t="shared" si="1"/>
        <v>0</v>
      </c>
      <c r="EH9" s="842">
        <f t="shared" si="1"/>
        <v>0</v>
      </c>
      <c r="EI9" s="842">
        <f>SUM(EI11,EI12,EI13:EI15)</f>
        <v>0</v>
      </c>
      <c r="EJ9" s="842">
        <f>SUM(EJ11,EJ12,EJ13:EJ15)</f>
        <v>0</v>
      </c>
      <c r="EK9" s="842">
        <f>SUM(EK11,EK12,EK13:EK15)</f>
        <v>0</v>
      </c>
      <c r="EL9" s="842">
        <f>SUM(EL11,EL12,EL13:EL15)</f>
        <v>0</v>
      </c>
    </row>
    <row r="10" spans="2:142">
      <c r="B10" s="1000"/>
      <c r="C10" s="986"/>
      <c r="D10" s="1001"/>
      <c r="E10" s="1001"/>
      <c r="F10" s="1008"/>
      <c r="G10" s="986"/>
      <c r="H10" s="842"/>
      <c r="I10" s="833"/>
      <c r="J10" s="2280"/>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8"/>
      <c r="CD10" s="848"/>
      <c r="CE10" s="848"/>
      <c r="CF10" s="848"/>
      <c r="CG10" s="848"/>
      <c r="CH10" s="848"/>
      <c r="CI10" s="848"/>
      <c r="CJ10" s="848"/>
      <c r="CK10" s="848"/>
      <c r="CL10" s="848"/>
      <c r="CM10" s="848"/>
      <c r="CN10" s="848"/>
      <c r="CO10" s="848"/>
      <c r="CP10" s="848"/>
      <c r="CQ10" s="848"/>
      <c r="CR10" s="848"/>
      <c r="CS10" s="848"/>
      <c r="CT10" s="848"/>
      <c r="CU10" s="848"/>
      <c r="CV10" s="848"/>
      <c r="CW10" s="848"/>
      <c r="CX10" s="848"/>
      <c r="CY10" s="848"/>
      <c r="CZ10" s="848"/>
      <c r="DA10" s="848"/>
      <c r="DB10" s="848"/>
      <c r="DC10" s="848"/>
      <c r="DD10" s="848"/>
      <c r="DE10" s="848"/>
      <c r="DF10" s="848"/>
      <c r="DG10" s="848"/>
      <c r="DH10" s="848"/>
      <c r="DI10" s="848"/>
      <c r="DJ10" s="848"/>
      <c r="DK10" s="848"/>
      <c r="DL10" s="848"/>
      <c r="DM10" s="848"/>
      <c r="DN10" s="848"/>
      <c r="DO10" s="848"/>
      <c r="DP10" s="848"/>
      <c r="DQ10" s="848"/>
      <c r="DR10" s="848"/>
      <c r="DS10" s="848"/>
      <c r="DT10" s="848"/>
      <c r="DU10" s="848"/>
      <c r="DV10" s="848"/>
      <c r="DW10" s="848"/>
      <c r="DX10" s="848"/>
      <c r="DY10" s="848"/>
      <c r="DZ10" s="848"/>
      <c r="EA10" s="960"/>
      <c r="EB10" s="960"/>
      <c r="EC10" s="960"/>
      <c r="ED10" s="960"/>
      <c r="EE10" s="960"/>
      <c r="EF10" s="960"/>
      <c r="EG10" s="960"/>
      <c r="EH10" s="960"/>
      <c r="EI10" s="960"/>
      <c r="EJ10" s="960"/>
      <c r="EK10" s="960"/>
      <c r="EL10" s="960"/>
    </row>
    <row r="11" spans="2:142" ht="13.5">
      <c r="B11" s="1000"/>
      <c r="C11" s="986"/>
      <c r="D11" s="881" t="s">
        <v>779</v>
      </c>
      <c r="E11" s="1001"/>
      <c r="F11" s="1008"/>
      <c r="G11" s="986"/>
      <c r="H11" s="848">
        <f>SUM(J11:EL11)</f>
        <v>178660.62558264786</v>
      </c>
      <c r="I11" s="520"/>
      <c r="J11" s="2280"/>
      <c r="K11" s="848">
        <v>0</v>
      </c>
      <c r="L11" s="848">
        <v>0</v>
      </c>
      <c r="M11" s="848">
        <v>0</v>
      </c>
      <c r="N11" s="848">
        <v>0</v>
      </c>
      <c r="O11" s="848">
        <v>0</v>
      </c>
      <c r="P11" s="848">
        <v>0</v>
      </c>
      <c r="Q11" s="848">
        <v>0</v>
      </c>
      <c r="R11" s="848">
        <v>0</v>
      </c>
      <c r="S11" s="848">
        <v>0</v>
      </c>
      <c r="T11" s="848">
        <v>0</v>
      </c>
      <c r="U11" s="848">
        <v>0</v>
      </c>
      <c r="V11" s="848">
        <v>0</v>
      </c>
      <c r="W11" s="848">
        <v>0</v>
      </c>
      <c r="X11" s="848">
        <v>0</v>
      </c>
      <c r="Y11" s="848">
        <v>0</v>
      </c>
      <c r="Z11" s="848">
        <v>0</v>
      </c>
      <c r="AA11" s="848">
        <v>0</v>
      </c>
      <c r="AB11" s="848">
        <v>0</v>
      </c>
      <c r="AC11" s="848">
        <v>0</v>
      </c>
      <c r="AD11" s="848">
        <v>0</v>
      </c>
      <c r="AE11" s="848">
        <v>0</v>
      </c>
      <c r="AF11" s="848">
        <v>0</v>
      </c>
      <c r="AG11" s="848">
        <v>0</v>
      </c>
      <c r="AH11" s="848">
        <v>0</v>
      </c>
      <c r="AI11" s="848">
        <v>0</v>
      </c>
      <c r="AJ11" s="848">
        <v>0</v>
      </c>
      <c r="AK11" s="848">
        <v>0</v>
      </c>
      <c r="AL11" s="848">
        <v>0</v>
      </c>
      <c r="AM11" s="848">
        <v>1883.4785149999996</v>
      </c>
      <c r="AN11" s="848">
        <v>624.64944599999967</v>
      </c>
      <c r="AO11" s="848">
        <v>1918.7257289319998</v>
      </c>
      <c r="AP11" s="848">
        <v>1937.5705645994999</v>
      </c>
      <c r="AQ11" s="848">
        <v>1290.5324231334998</v>
      </c>
      <c r="AR11" s="848">
        <v>1937.5705645994999</v>
      </c>
      <c r="AS11" s="848">
        <v>1937.5705645994999</v>
      </c>
      <c r="AT11" s="848">
        <v>643.49428166749976</v>
      </c>
      <c r="AU11" s="848">
        <v>1937.5705645994999</v>
      </c>
      <c r="AV11" s="848">
        <v>1937.5705645994999</v>
      </c>
      <c r="AW11" s="848">
        <v>1937.5705645994999</v>
      </c>
      <c r="AX11" s="848">
        <v>1939.2961702995001</v>
      </c>
      <c r="AY11" s="848">
        <v>1939.2961702995001</v>
      </c>
      <c r="AZ11" s="848">
        <v>645.21988736749995</v>
      </c>
      <c r="BA11" s="848">
        <v>1975.5303062215958</v>
      </c>
      <c r="BB11" s="848">
        <v>1992.8739002291209</v>
      </c>
      <c r="BC11" s="848">
        <v>1327.7186908020731</v>
      </c>
      <c r="BD11" s="848">
        <v>1992.8739002291209</v>
      </c>
      <c r="BE11" s="848">
        <v>1992.8739002291209</v>
      </c>
      <c r="BF11" s="848">
        <v>662.56348137502505</v>
      </c>
      <c r="BG11" s="848">
        <v>1992.8739002291209</v>
      </c>
      <c r="BH11" s="848">
        <v>1992.8739002291209</v>
      </c>
      <c r="BI11" s="848">
        <v>1992.8739002291209</v>
      </c>
      <c r="BJ11" s="848">
        <v>1994.6512741001211</v>
      </c>
      <c r="BK11" s="848">
        <v>1994.6512741001211</v>
      </c>
      <c r="BL11" s="848">
        <v>664.34085524602528</v>
      </c>
      <c r="BM11" s="848">
        <v>2031.8999658280359</v>
      </c>
      <c r="BN11" s="848">
        <v>2049.7572700509963</v>
      </c>
      <c r="BO11" s="848">
        <v>1365.9777147599912</v>
      </c>
      <c r="BP11" s="848">
        <v>2049.7572700509963</v>
      </c>
      <c r="BQ11" s="848">
        <v>2049.7572700509963</v>
      </c>
      <c r="BR11" s="848">
        <v>682.19815946898575</v>
      </c>
      <c r="BS11" s="848">
        <v>2049.7572700509963</v>
      </c>
      <c r="BT11" s="848">
        <v>2049.7572700509963</v>
      </c>
      <c r="BU11" s="848">
        <v>2049.7572700509963</v>
      </c>
      <c r="BV11" s="848">
        <v>2051.5879651381265</v>
      </c>
      <c r="BW11" s="848">
        <v>2051.5879651381265</v>
      </c>
      <c r="BX11" s="848">
        <v>684.0288545561159</v>
      </c>
      <c r="BY11" s="848">
        <v>2089.8796202344224</v>
      </c>
      <c r="BZ11" s="848">
        <v>2108.2658612463483</v>
      </c>
      <c r="CA11" s="848">
        <v>2108.2658612463483</v>
      </c>
      <c r="CB11" s="848">
        <v>2108.2658612463483</v>
      </c>
      <c r="CC11" s="848">
        <v>2108.2658612463483</v>
      </c>
      <c r="CD11" s="848">
        <v>2108.2658612463483</v>
      </c>
      <c r="CE11" s="848">
        <v>2108.2658612463483</v>
      </c>
      <c r="CF11" s="848">
        <v>2108.2658612463483</v>
      </c>
      <c r="CG11" s="848">
        <v>2108.2658612463483</v>
      </c>
      <c r="CH11" s="848">
        <v>2110.1514771860925</v>
      </c>
      <c r="CI11" s="848">
        <v>2110.1514771860925</v>
      </c>
      <c r="CJ11" s="848">
        <v>704.30071150778508</v>
      </c>
      <c r="CK11" s="848">
        <v>2149.5152986250851</v>
      </c>
      <c r="CL11" s="848">
        <v>2183.2045846059218</v>
      </c>
      <c r="CM11" s="848">
        <v>2183.2045846059218</v>
      </c>
      <c r="CN11" s="848">
        <v>2183.2045846059218</v>
      </c>
      <c r="CO11" s="848">
        <v>2183.2045846059218</v>
      </c>
      <c r="CP11" s="848">
        <v>2183.2045846059218</v>
      </c>
      <c r="CQ11" s="848">
        <v>2183.2045846059218</v>
      </c>
      <c r="CR11" s="848">
        <v>2183.2045846059218</v>
      </c>
      <c r="CS11" s="848">
        <v>2183.2045846059218</v>
      </c>
      <c r="CT11" s="848">
        <v>2183.2042038951622</v>
      </c>
      <c r="CU11" s="848">
        <v>2183.2042038951622</v>
      </c>
      <c r="CV11" s="848">
        <v>737.98961677786269</v>
      </c>
      <c r="CW11" s="848">
        <v>2223.6702123344467</v>
      </c>
      <c r="CX11" s="848">
        <v>2243.8677278411692</v>
      </c>
      <c r="CY11" s="848">
        <v>2243.8677278411692</v>
      </c>
      <c r="CZ11" s="848">
        <v>2243.8677278411692</v>
      </c>
      <c r="DA11" s="848">
        <v>2243.8677278411692</v>
      </c>
      <c r="DB11" s="848">
        <v>2243.8677278411692</v>
      </c>
      <c r="DC11" s="848">
        <v>2243.8677278411692</v>
      </c>
      <c r="DD11" s="848">
        <v>2243.8677278411692</v>
      </c>
      <c r="DE11" s="848">
        <v>2243.8677278411692</v>
      </c>
      <c r="DF11" s="848">
        <v>2245.8099008377826</v>
      </c>
      <c r="DG11" s="848">
        <v>2245.8099008377826</v>
      </c>
      <c r="DH11" s="848">
        <v>760.12930528119841</v>
      </c>
      <c r="DI11" s="848">
        <v>2287.4089575133667</v>
      </c>
      <c r="DJ11" s="848">
        <v>2308.212398485291</v>
      </c>
      <c r="DK11" s="848">
        <v>2308.212398485291</v>
      </c>
      <c r="DL11" s="848">
        <v>2308.212398485291</v>
      </c>
      <c r="DM11" s="848">
        <v>2308.212398485291</v>
      </c>
      <c r="DN11" s="848">
        <v>2308.212398485291</v>
      </c>
      <c r="DO11" s="848">
        <v>2308.212398485291</v>
      </c>
      <c r="DP11" s="848">
        <v>2308.212398485291</v>
      </c>
      <c r="DQ11" s="848">
        <v>2308.212398485291</v>
      </c>
      <c r="DR11" s="848">
        <v>2310.212836671803</v>
      </c>
      <c r="DS11" s="848">
        <v>2310.212836671803</v>
      </c>
      <c r="DT11" s="848">
        <v>782.93318443963472</v>
      </c>
      <c r="DU11" s="848">
        <v>2352.9766669343039</v>
      </c>
      <c r="DV11" s="848">
        <v>2374.4042111353856</v>
      </c>
      <c r="DW11" s="848">
        <v>2374.4042111353856</v>
      </c>
      <c r="DX11" s="848">
        <v>2374.4042111353856</v>
      </c>
      <c r="DY11" s="848">
        <v>2374.4042111353856</v>
      </c>
      <c r="DZ11" s="848">
        <v>2374.4042111353856</v>
      </c>
      <c r="EA11" s="848">
        <v>0</v>
      </c>
      <c r="EB11" s="848">
        <v>0</v>
      </c>
      <c r="EC11" s="848">
        <v>0</v>
      </c>
      <c r="ED11" s="848">
        <v>0</v>
      </c>
      <c r="EE11" s="848">
        <v>0</v>
      </c>
      <c r="EF11" s="848">
        <v>0</v>
      </c>
      <c r="EG11" s="848">
        <v>0</v>
      </c>
      <c r="EH11" s="848">
        <v>0</v>
      </c>
      <c r="EI11" s="848">
        <v>0</v>
      </c>
      <c r="EJ11" s="848">
        <v>0</v>
      </c>
      <c r="EK11" s="848">
        <v>0</v>
      </c>
      <c r="EL11" s="848">
        <v>0</v>
      </c>
    </row>
    <row r="12" spans="2:142" ht="13.5">
      <c r="B12" s="1000"/>
      <c r="C12" s="986"/>
      <c r="D12" s="881" t="s">
        <v>780</v>
      </c>
      <c r="E12" s="1001"/>
      <c r="F12" s="1008"/>
      <c r="G12" s="986"/>
      <c r="H12" s="848">
        <f>SUM(J12:EL12)</f>
        <v>94777.874470014664</v>
      </c>
      <c r="I12" s="520"/>
      <c r="J12" s="2280"/>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48">
        <v>0</v>
      </c>
      <c r="AG12" s="848">
        <v>0</v>
      </c>
      <c r="AH12" s="848">
        <v>0</v>
      </c>
      <c r="AI12" s="848">
        <v>0</v>
      </c>
      <c r="AJ12" s="848">
        <v>0</v>
      </c>
      <c r="AK12" s="848">
        <v>0</v>
      </c>
      <c r="AL12" s="848">
        <v>0</v>
      </c>
      <c r="AM12" s="848">
        <v>907.13856400000009</v>
      </c>
      <c r="AN12" s="848">
        <v>907.13856400000009</v>
      </c>
      <c r="AO12" s="848">
        <v>924.76217098000006</v>
      </c>
      <c r="AP12" s="848">
        <v>933.04005490000009</v>
      </c>
      <c r="AQ12" s="848">
        <v>933.04005490000009</v>
      </c>
      <c r="AR12" s="848">
        <v>933.04005490000009</v>
      </c>
      <c r="AS12" s="848">
        <v>933.04005490000009</v>
      </c>
      <c r="AT12" s="848">
        <v>933.04005490000009</v>
      </c>
      <c r="AU12" s="848">
        <v>933.04005490000009</v>
      </c>
      <c r="AV12" s="848">
        <v>933.04005490000009</v>
      </c>
      <c r="AW12" s="848">
        <v>933.04005490000009</v>
      </c>
      <c r="AX12" s="848">
        <v>933.83648830000016</v>
      </c>
      <c r="AY12" s="848">
        <v>933.83648830000016</v>
      </c>
      <c r="AZ12" s="848">
        <v>933.83648830000016</v>
      </c>
      <c r="BA12" s="848">
        <v>951.95355627544006</v>
      </c>
      <c r="BB12" s="848">
        <v>959.64497888304004</v>
      </c>
      <c r="BC12" s="848">
        <v>959.64497888304004</v>
      </c>
      <c r="BD12" s="848">
        <v>959.64497888304004</v>
      </c>
      <c r="BE12" s="848">
        <v>959.64497888304004</v>
      </c>
      <c r="BF12" s="848">
        <v>959.64497888304004</v>
      </c>
      <c r="BG12" s="848">
        <v>959.64497888304004</v>
      </c>
      <c r="BH12" s="848">
        <v>959.64497888304004</v>
      </c>
      <c r="BI12" s="848">
        <v>959.64497888304004</v>
      </c>
      <c r="BJ12" s="848">
        <v>960.46530528504002</v>
      </c>
      <c r="BK12" s="848">
        <v>960.46530528504002</v>
      </c>
      <c r="BL12" s="848">
        <v>960.46530528504002</v>
      </c>
      <c r="BM12" s="848">
        <v>979.0896511637925</v>
      </c>
      <c r="BN12" s="848">
        <v>987.00923481098039</v>
      </c>
      <c r="BO12" s="848">
        <v>987.00923481098039</v>
      </c>
      <c r="BP12" s="848">
        <v>987.00923481098039</v>
      </c>
      <c r="BQ12" s="848">
        <v>987.00923481098039</v>
      </c>
      <c r="BR12" s="848">
        <v>987.00923481098039</v>
      </c>
      <c r="BS12" s="848">
        <v>987.00923481098039</v>
      </c>
      <c r="BT12" s="848">
        <v>987.00923481098039</v>
      </c>
      <c r="BU12" s="848">
        <v>987.00923481098039</v>
      </c>
      <c r="BV12" s="848">
        <v>987.85417100504048</v>
      </c>
      <c r="BW12" s="848">
        <v>987.85417100504048</v>
      </c>
      <c r="BX12" s="848">
        <v>987.85417100504048</v>
      </c>
      <c r="BY12" s="848">
        <v>1006.9999985683978</v>
      </c>
      <c r="BZ12" s="848">
        <v>1015.1545158004797</v>
      </c>
      <c r="CA12" s="848">
        <v>1015.1545158004797</v>
      </c>
      <c r="CB12" s="848">
        <v>1015.1545158004797</v>
      </c>
      <c r="CC12" s="848">
        <v>1015.1545158004797</v>
      </c>
      <c r="CD12" s="848">
        <v>1015.1545158004797</v>
      </c>
      <c r="CE12" s="848">
        <v>1015.1545158004797</v>
      </c>
      <c r="CF12" s="848">
        <v>1015.1545158004797</v>
      </c>
      <c r="CG12" s="848">
        <v>1015.1545158004797</v>
      </c>
      <c r="CH12" s="848">
        <v>1016.0248000803615</v>
      </c>
      <c r="CI12" s="848">
        <v>1016.0248000803615</v>
      </c>
      <c r="CJ12" s="848">
        <v>1016.0248000803615</v>
      </c>
      <c r="CK12" s="848">
        <v>1035.7067108154929</v>
      </c>
      <c r="CL12" s="848">
        <v>1063.2180622043529</v>
      </c>
      <c r="CM12" s="848">
        <v>1063.2180622043529</v>
      </c>
      <c r="CN12" s="848">
        <v>1063.2180622043529</v>
      </c>
      <c r="CO12" s="848">
        <v>1063.2180622043529</v>
      </c>
      <c r="CP12" s="848">
        <v>1063.2180622043529</v>
      </c>
      <c r="CQ12" s="848">
        <v>1063.2180622043529</v>
      </c>
      <c r="CR12" s="848">
        <v>1063.2180622043529</v>
      </c>
      <c r="CS12" s="848">
        <v>1063.2180622043529</v>
      </c>
      <c r="CT12" s="848">
        <v>1063.2178864916946</v>
      </c>
      <c r="CU12" s="848">
        <v>1063.2178864916946</v>
      </c>
      <c r="CV12" s="848">
        <v>1063.2178864916946</v>
      </c>
      <c r="CW12" s="848">
        <v>1083.4508907274096</v>
      </c>
      <c r="CX12" s="848">
        <v>1092.7728209612817</v>
      </c>
      <c r="CY12" s="848">
        <v>1092.7728209612817</v>
      </c>
      <c r="CZ12" s="848">
        <v>1092.7728209612817</v>
      </c>
      <c r="DA12" s="848">
        <v>1092.7728209612817</v>
      </c>
      <c r="DB12" s="848">
        <v>1092.7728209612817</v>
      </c>
      <c r="DC12" s="848">
        <v>1092.7728209612817</v>
      </c>
      <c r="DD12" s="848">
        <v>1092.7728209612817</v>
      </c>
      <c r="DE12" s="848">
        <v>1092.7728209612817</v>
      </c>
      <c r="DF12" s="848">
        <v>1093.6692084981803</v>
      </c>
      <c r="DG12" s="848">
        <v>1093.6692084981803</v>
      </c>
      <c r="DH12" s="848">
        <v>1093.6692084981803</v>
      </c>
      <c r="DI12" s="848">
        <v>1114.4687368524953</v>
      </c>
      <c r="DJ12" s="848">
        <v>1124.0703249933831</v>
      </c>
      <c r="DK12" s="848">
        <v>1124.0703249933831</v>
      </c>
      <c r="DL12" s="848">
        <v>1124.0703249933831</v>
      </c>
      <c r="DM12" s="848">
        <v>1124.0703249933831</v>
      </c>
      <c r="DN12" s="848">
        <v>1124.0703249933831</v>
      </c>
      <c r="DO12" s="848">
        <v>1124.0703249933831</v>
      </c>
      <c r="DP12" s="848">
        <v>1124.0703249933831</v>
      </c>
      <c r="DQ12" s="848">
        <v>1124.0703249933831</v>
      </c>
      <c r="DR12" s="848">
        <v>1124.9936041563888</v>
      </c>
      <c r="DS12" s="848">
        <v>1124.9936041563888</v>
      </c>
      <c r="DT12" s="848">
        <v>1124.9936041563888</v>
      </c>
      <c r="DU12" s="848">
        <v>1146.3755193046247</v>
      </c>
      <c r="DV12" s="848">
        <v>1156.2651550897397</v>
      </c>
      <c r="DW12" s="848">
        <v>1156.2651550897397</v>
      </c>
      <c r="DX12" s="848">
        <v>1156.2651550897397</v>
      </c>
      <c r="DY12" s="848">
        <v>1156.2651550897397</v>
      </c>
      <c r="DZ12" s="848">
        <v>1156.2651550897397</v>
      </c>
      <c r="EA12" s="848">
        <v>0</v>
      </c>
      <c r="EB12" s="848">
        <v>0</v>
      </c>
      <c r="EC12" s="848">
        <v>0</v>
      </c>
      <c r="ED12" s="848">
        <v>0</v>
      </c>
      <c r="EE12" s="848">
        <v>0</v>
      </c>
      <c r="EF12" s="848">
        <v>0</v>
      </c>
      <c r="EG12" s="848">
        <v>0</v>
      </c>
      <c r="EH12" s="848">
        <v>0</v>
      </c>
      <c r="EI12" s="848">
        <v>0</v>
      </c>
      <c r="EJ12" s="848">
        <v>0</v>
      </c>
      <c r="EK12" s="848">
        <v>0</v>
      </c>
      <c r="EL12" s="848">
        <v>0</v>
      </c>
    </row>
    <row r="13" spans="2:142" ht="13.5">
      <c r="B13" s="1000"/>
      <c r="C13" s="986"/>
      <c r="D13" s="881" t="s">
        <v>781</v>
      </c>
      <c r="E13" s="1001"/>
      <c r="F13" s="1008"/>
      <c r="G13" s="986"/>
      <c r="H13" s="848">
        <f>SUM(J13:EL13)</f>
        <v>3312</v>
      </c>
      <c r="I13" s="520"/>
      <c r="J13" s="2280"/>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36</v>
      </c>
      <c r="AN13" s="848">
        <v>36</v>
      </c>
      <c r="AO13" s="848">
        <v>36</v>
      </c>
      <c r="AP13" s="848">
        <v>36</v>
      </c>
      <c r="AQ13" s="848">
        <v>36</v>
      </c>
      <c r="AR13" s="848">
        <v>36</v>
      </c>
      <c r="AS13" s="848">
        <v>36</v>
      </c>
      <c r="AT13" s="848">
        <v>36</v>
      </c>
      <c r="AU13" s="848">
        <v>36</v>
      </c>
      <c r="AV13" s="848">
        <v>36</v>
      </c>
      <c r="AW13" s="848">
        <v>36</v>
      </c>
      <c r="AX13" s="848">
        <v>36</v>
      </c>
      <c r="AY13" s="848">
        <v>36</v>
      </c>
      <c r="AZ13" s="848">
        <v>36</v>
      </c>
      <c r="BA13" s="848">
        <v>36</v>
      </c>
      <c r="BB13" s="848">
        <v>36</v>
      </c>
      <c r="BC13" s="848">
        <v>36</v>
      </c>
      <c r="BD13" s="848">
        <v>36</v>
      </c>
      <c r="BE13" s="848">
        <v>36</v>
      </c>
      <c r="BF13" s="848">
        <v>36</v>
      </c>
      <c r="BG13" s="848">
        <v>36</v>
      </c>
      <c r="BH13" s="848">
        <v>36</v>
      </c>
      <c r="BI13" s="848">
        <v>36</v>
      </c>
      <c r="BJ13" s="848">
        <v>36</v>
      </c>
      <c r="BK13" s="848">
        <v>36</v>
      </c>
      <c r="BL13" s="848">
        <v>36</v>
      </c>
      <c r="BM13" s="848">
        <v>36</v>
      </c>
      <c r="BN13" s="848">
        <v>36</v>
      </c>
      <c r="BO13" s="848">
        <v>36</v>
      </c>
      <c r="BP13" s="848">
        <v>36</v>
      </c>
      <c r="BQ13" s="848">
        <v>36</v>
      </c>
      <c r="BR13" s="848">
        <v>36</v>
      </c>
      <c r="BS13" s="848">
        <v>36</v>
      </c>
      <c r="BT13" s="848">
        <v>36</v>
      </c>
      <c r="BU13" s="848">
        <v>36</v>
      </c>
      <c r="BV13" s="848">
        <v>36</v>
      </c>
      <c r="BW13" s="848">
        <v>36</v>
      </c>
      <c r="BX13" s="848">
        <v>36</v>
      </c>
      <c r="BY13" s="848">
        <v>36</v>
      </c>
      <c r="BZ13" s="848">
        <v>36</v>
      </c>
      <c r="CA13" s="848">
        <v>36</v>
      </c>
      <c r="CB13" s="848">
        <v>36</v>
      </c>
      <c r="CC13" s="848">
        <v>36</v>
      </c>
      <c r="CD13" s="848">
        <v>36</v>
      </c>
      <c r="CE13" s="848">
        <v>36</v>
      </c>
      <c r="CF13" s="848">
        <v>36</v>
      </c>
      <c r="CG13" s="848">
        <v>36</v>
      </c>
      <c r="CH13" s="848">
        <v>36</v>
      </c>
      <c r="CI13" s="848">
        <v>36</v>
      </c>
      <c r="CJ13" s="848">
        <v>36</v>
      </c>
      <c r="CK13" s="848">
        <v>36</v>
      </c>
      <c r="CL13" s="848">
        <v>36</v>
      </c>
      <c r="CM13" s="848">
        <v>36</v>
      </c>
      <c r="CN13" s="848">
        <v>36</v>
      </c>
      <c r="CO13" s="848">
        <v>36</v>
      </c>
      <c r="CP13" s="848">
        <v>36</v>
      </c>
      <c r="CQ13" s="848">
        <v>36</v>
      </c>
      <c r="CR13" s="848">
        <v>36</v>
      </c>
      <c r="CS13" s="848">
        <v>36</v>
      </c>
      <c r="CT13" s="848">
        <v>36</v>
      </c>
      <c r="CU13" s="848">
        <v>36</v>
      </c>
      <c r="CV13" s="848">
        <v>36</v>
      </c>
      <c r="CW13" s="848">
        <v>36</v>
      </c>
      <c r="CX13" s="848">
        <v>36</v>
      </c>
      <c r="CY13" s="848">
        <v>36</v>
      </c>
      <c r="CZ13" s="848">
        <v>36</v>
      </c>
      <c r="DA13" s="848">
        <v>36</v>
      </c>
      <c r="DB13" s="848">
        <v>36</v>
      </c>
      <c r="DC13" s="848">
        <v>36</v>
      </c>
      <c r="DD13" s="848">
        <v>36</v>
      </c>
      <c r="DE13" s="848">
        <v>36</v>
      </c>
      <c r="DF13" s="848">
        <v>36</v>
      </c>
      <c r="DG13" s="848">
        <v>36</v>
      </c>
      <c r="DH13" s="848">
        <v>36</v>
      </c>
      <c r="DI13" s="848">
        <v>36</v>
      </c>
      <c r="DJ13" s="848">
        <v>36</v>
      </c>
      <c r="DK13" s="848">
        <v>36</v>
      </c>
      <c r="DL13" s="848">
        <v>36</v>
      </c>
      <c r="DM13" s="848">
        <v>36</v>
      </c>
      <c r="DN13" s="848">
        <v>36</v>
      </c>
      <c r="DO13" s="848">
        <v>36</v>
      </c>
      <c r="DP13" s="848">
        <v>36</v>
      </c>
      <c r="DQ13" s="848">
        <v>36</v>
      </c>
      <c r="DR13" s="848">
        <v>36</v>
      </c>
      <c r="DS13" s="848">
        <v>36</v>
      </c>
      <c r="DT13" s="848">
        <v>36</v>
      </c>
      <c r="DU13" s="848">
        <v>36</v>
      </c>
      <c r="DV13" s="848">
        <v>36</v>
      </c>
      <c r="DW13" s="848">
        <v>36</v>
      </c>
      <c r="DX13" s="848">
        <v>36</v>
      </c>
      <c r="DY13" s="848">
        <v>36</v>
      </c>
      <c r="DZ13" s="848">
        <v>36</v>
      </c>
      <c r="EA13" s="848">
        <v>0</v>
      </c>
      <c r="EB13" s="848">
        <v>0</v>
      </c>
      <c r="EC13" s="848">
        <v>0</v>
      </c>
      <c r="ED13" s="848">
        <v>0</v>
      </c>
      <c r="EE13" s="848">
        <v>0</v>
      </c>
      <c r="EF13" s="848">
        <v>0</v>
      </c>
      <c r="EG13" s="848">
        <v>0</v>
      </c>
      <c r="EH13" s="848">
        <v>0</v>
      </c>
      <c r="EI13" s="848">
        <v>0</v>
      </c>
      <c r="EJ13" s="848">
        <v>0</v>
      </c>
      <c r="EK13" s="848">
        <v>0</v>
      </c>
      <c r="EL13" s="848">
        <v>0</v>
      </c>
    </row>
    <row r="14" spans="2:142" ht="13.5">
      <c r="B14" s="1000"/>
      <c r="C14" s="986"/>
      <c r="D14" s="881" t="s">
        <v>782</v>
      </c>
      <c r="E14" s="1001"/>
      <c r="F14" s="1008"/>
      <c r="G14" s="986"/>
      <c r="H14" s="848">
        <f>SUM(J14:EL14)</f>
        <v>2852</v>
      </c>
      <c r="I14" s="520"/>
      <c r="J14" s="2280"/>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31</v>
      </c>
      <c r="AN14" s="848">
        <v>31</v>
      </c>
      <c r="AO14" s="848">
        <v>31</v>
      </c>
      <c r="AP14" s="848">
        <v>31</v>
      </c>
      <c r="AQ14" s="848">
        <v>31</v>
      </c>
      <c r="AR14" s="848">
        <v>31</v>
      </c>
      <c r="AS14" s="848">
        <v>31</v>
      </c>
      <c r="AT14" s="848">
        <v>31</v>
      </c>
      <c r="AU14" s="848">
        <v>31</v>
      </c>
      <c r="AV14" s="848">
        <v>31</v>
      </c>
      <c r="AW14" s="848">
        <v>31</v>
      </c>
      <c r="AX14" s="848">
        <v>31</v>
      </c>
      <c r="AY14" s="848">
        <v>31</v>
      </c>
      <c r="AZ14" s="848">
        <v>31</v>
      </c>
      <c r="BA14" s="848">
        <v>31</v>
      </c>
      <c r="BB14" s="848">
        <v>31</v>
      </c>
      <c r="BC14" s="848">
        <v>31</v>
      </c>
      <c r="BD14" s="848">
        <v>31</v>
      </c>
      <c r="BE14" s="848">
        <v>31</v>
      </c>
      <c r="BF14" s="848">
        <v>31</v>
      </c>
      <c r="BG14" s="848">
        <v>31</v>
      </c>
      <c r="BH14" s="848">
        <v>31</v>
      </c>
      <c r="BI14" s="848">
        <v>31</v>
      </c>
      <c r="BJ14" s="848">
        <v>31</v>
      </c>
      <c r="BK14" s="848">
        <v>31</v>
      </c>
      <c r="BL14" s="848">
        <v>31</v>
      </c>
      <c r="BM14" s="848">
        <v>31</v>
      </c>
      <c r="BN14" s="848">
        <v>31</v>
      </c>
      <c r="BO14" s="848">
        <v>31</v>
      </c>
      <c r="BP14" s="848">
        <v>31</v>
      </c>
      <c r="BQ14" s="848">
        <v>31</v>
      </c>
      <c r="BR14" s="848">
        <v>31</v>
      </c>
      <c r="BS14" s="848">
        <v>31</v>
      </c>
      <c r="BT14" s="848">
        <v>31</v>
      </c>
      <c r="BU14" s="848">
        <v>31</v>
      </c>
      <c r="BV14" s="848">
        <v>31</v>
      </c>
      <c r="BW14" s="848">
        <v>31</v>
      </c>
      <c r="BX14" s="848">
        <v>31</v>
      </c>
      <c r="BY14" s="848">
        <v>31</v>
      </c>
      <c r="BZ14" s="848">
        <v>31</v>
      </c>
      <c r="CA14" s="848">
        <v>31</v>
      </c>
      <c r="CB14" s="848">
        <v>31</v>
      </c>
      <c r="CC14" s="848">
        <v>31</v>
      </c>
      <c r="CD14" s="848">
        <v>31</v>
      </c>
      <c r="CE14" s="848">
        <v>31</v>
      </c>
      <c r="CF14" s="848">
        <v>31</v>
      </c>
      <c r="CG14" s="848">
        <v>31</v>
      </c>
      <c r="CH14" s="848">
        <v>31</v>
      </c>
      <c r="CI14" s="848">
        <v>31</v>
      </c>
      <c r="CJ14" s="848">
        <v>31</v>
      </c>
      <c r="CK14" s="848">
        <v>31</v>
      </c>
      <c r="CL14" s="848">
        <v>31</v>
      </c>
      <c r="CM14" s="848">
        <v>31</v>
      </c>
      <c r="CN14" s="848">
        <v>31</v>
      </c>
      <c r="CO14" s="848">
        <v>31</v>
      </c>
      <c r="CP14" s="848">
        <v>31</v>
      </c>
      <c r="CQ14" s="848">
        <v>31</v>
      </c>
      <c r="CR14" s="848">
        <v>31</v>
      </c>
      <c r="CS14" s="848">
        <v>31</v>
      </c>
      <c r="CT14" s="848">
        <v>31</v>
      </c>
      <c r="CU14" s="848">
        <v>31</v>
      </c>
      <c r="CV14" s="848">
        <v>31</v>
      </c>
      <c r="CW14" s="848">
        <v>31</v>
      </c>
      <c r="CX14" s="848">
        <v>31</v>
      </c>
      <c r="CY14" s="848">
        <v>31</v>
      </c>
      <c r="CZ14" s="848">
        <v>31</v>
      </c>
      <c r="DA14" s="848">
        <v>31</v>
      </c>
      <c r="DB14" s="848">
        <v>31</v>
      </c>
      <c r="DC14" s="848">
        <v>31</v>
      </c>
      <c r="DD14" s="848">
        <v>31</v>
      </c>
      <c r="DE14" s="848">
        <v>31</v>
      </c>
      <c r="DF14" s="848">
        <v>31</v>
      </c>
      <c r="DG14" s="848">
        <v>31</v>
      </c>
      <c r="DH14" s="848">
        <v>31</v>
      </c>
      <c r="DI14" s="848">
        <v>31</v>
      </c>
      <c r="DJ14" s="848">
        <v>31</v>
      </c>
      <c r="DK14" s="848">
        <v>31</v>
      </c>
      <c r="DL14" s="848">
        <v>31</v>
      </c>
      <c r="DM14" s="848">
        <v>31</v>
      </c>
      <c r="DN14" s="848">
        <v>31</v>
      </c>
      <c r="DO14" s="848">
        <v>31</v>
      </c>
      <c r="DP14" s="848">
        <v>31</v>
      </c>
      <c r="DQ14" s="848">
        <v>31</v>
      </c>
      <c r="DR14" s="848">
        <v>31</v>
      </c>
      <c r="DS14" s="848">
        <v>31</v>
      </c>
      <c r="DT14" s="848">
        <v>31</v>
      </c>
      <c r="DU14" s="848">
        <v>31</v>
      </c>
      <c r="DV14" s="848">
        <v>31</v>
      </c>
      <c r="DW14" s="848">
        <v>31</v>
      </c>
      <c r="DX14" s="848">
        <v>31</v>
      </c>
      <c r="DY14" s="848">
        <v>31</v>
      </c>
      <c r="DZ14" s="848">
        <v>31</v>
      </c>
      <c r="EA14" s="848">
        <v>0</v>
      </c>
      <c r="EB14" s="848">
        <v>0</v>
      </c>
      <c r="EC14" s="848">
        <v>0</v>
      </c>
      <c r="ED14" s="848">
        <v>0</v>
      </c>
      <c r="EE14" s="848">
        <v>0</v>
      </c>
      <c r="EF14" s="848">
        <v>0</v>
      </c>
      <c r="EG14" s="848">
        <v>0</v>
      </c>
      <c r="EH14" s="848">
        <v>0</v>
      </c>
      <c r="EI14" s="848">
        <v>0</v>
      </c>
      <c r="EJ14" s="848">
        <v>0</v>
      </c>
      <c r="EK14" s="848">
        <v>0</v>
      </c>
      <c r="EL14" s="848">
        <v>0</v>
      </c>
    </row>
    <row r="15" spans="2:142" ht="13.5">
      <c r="B15" s="1000"/>
      <c r="C15" s="986"/>
      <c r="D15" s="881" t="s">
        <v>2005</v>
      </c>
      <c r="E15" s="1001"/>
      <c r="F15" s="1008"/>
      <c r="G15" s="986"/>
      <c r="H15" s="848">
        <f>SUM(J15:EL15)</f>
        <v>520949.87540410669</v>
      </c>
      <c r="I15" s="520"/>
      <c r="J15" s="2280"/>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0</v>
      </c>
      <c r="AN15" s="848">
        <v>0</v>
      </c>
      <c r="AO15" s="848">
        <v>0</v>
      </c>
      <c r="AP15" s="848">
        <v>0</v>
      </c>
      <c r="AQ15" s="848">
        <v>0</v>
      </c>
      <c r="AR15" s="848">
        <v>0</v>
      </c>
      <c r="AS15" s="848">
        <v>0</v>
      </c>
      <c r="AT15" s="848">
        <v>0</v>
      </c>
      <c r="AU15" s="848">
        <v>0</v>
      </c>
      <c r="AV15" s="848">
        <v>0</v>
      </c>
      <c r="AW15" s="848">
        <v>0</v>
      </c>
      <c r="AX15" s="848">
        <v>0</v>
      </c>
      <c r="AY15" s="848">
        <v>0</v>
      </c>
      <c r="AZ15" s="848">
        <v>0</v>
      </c>
      <c r="BA15" s="848">
        <v>0</v>
      </c>
      <c r="BB15" s="848">
        <v>0</v>
      </c>
      <c r="BC15" s="848">
        <v>0</v>
      </c>
      <c r="BD15" s="848">
        <v>0</v>
      </c>
      <c r="BE15" s="848">
        <v>0</v>
      </c>
      <c r="BF15" s="848">
        <v>0</v>
      </c>
      <c r="BG15" s="848">
        <v>0</v>
      </c>
      <c r="BH15" s="848">
        <v>0</v>
      </c>
      <c r="BI15" s="848">
        <v>0</v>
      </c>
      <c r="BJ15" s="848">
        <v>0</v>
      </c>
      <c r="BK15" s="848">
        <v>0</v>
      </c>
      <c r="BL15" s="848">
        <v>0</v>
      </c>
      <c r="BM15" s="848">
        <v>0</v>
      </c>
      <c r="BN15" s="848">
        <v>0</v>
      </c>
      <c r="BO15" s="848">
        <v>0</v>
      </c>
      <c r="BP15" s="848">
        <v>0</v>
      </c>
      <c r="BQ15" s="848">
        <v>0</v>
      </c>
      <c r="BR15" s="848">
        <v>0</v>
      </c>
      <c r="BS15" s="848">
        <v>0</v>
      </c>
      <c r="BT15" s="848">
        <v>0</v>
      </c>
      <c r="BU15" s="848">
        <v>0</v>
      </c>
      <c r="BV15" s="848">
        <v>0</v>
      </c>
      <c r="BW15" s="848">
        <v>0</v>
      </c>
      <c r="BX15" s="848">
        <v>0</v>
      </c>
      <c r="BY15" s="848">
        <v>0</v>
      </c>
      <c r="BZ15" s="848">
        <v>0</v>
      </c>
      <c r="CA15" s="848">
        <v>0</v>
      </c>
      <c r="CB15" s="848">
        <v>0</v>
      </c>
      <c r="CC15" s="848">
        <v>0</v>
      </c>
      <c r="CD15" s="848">
        <v>0</v>
      </c>
      <c r="CE15" s="848">
        <v>0</v>
      </c>
      <c r="CF15" s="848">
        <v>0</v>
      </c>
      <c r="CG15" s="848">
        <v>0</v>
      </c>
      <c r="CH15" s="848">
        <v>0</v>
      </c>
      <c r="CI15" s="848">
        <v>0</v>
      </c>
      <c r="CJ15" s="848">
        <v>0</v>
      </c>
      <c r="CK15" s="848">
        <v>0</v>
      </c>
      <c r="CL15" s="848">
        <v>0</v>
      </c>
      <c r="CM15" s="848">
        <v>0</v>
      </c>
      <c r="CN15" s="848">
        <v>0</v>
      </c>
      <c r="CO15" s="848">
        <v>0</v>
      </c>
      <c r="CP15" s="848">
        <v>0</v>
      </c>
      <c r="CQ15" s="848">
        <v>0</v>
      </c>
      <c r="CR15" s="848">
        <v>0</v>
      </c>
      <c r="CS15" s="848">
        <v>0</v>
      </c>
      <c r="CT15" s="848">
        <v>0</v>
      </c>
      <c r="CU15" s="848">
        <v>0</v>
      </c>
      <c r="CV15" s="848">
        <v>0</v>
      </c>
      <c r="CW15" s="848">
        <v>0</v>
      </c>
      <c r="CX15" s="848">
        <v>0</v>
      </c>
      <c r="CY15" s="848">
        <v>0</v>
      </c>
      <c r="CZ15" s="848">
        <v>0</v>
      </c>
      <c r="DA15" s="848">
        <v>0</v>
      </c>
      <c r="DB15" s="848">
        <v>0</v>
      </c>
      <c r="DC15" s="848">
        <v>0</v>
      </c>
      <c r="DD15" s="848">
        <v>0</v>
      </c>
      <c r="DE15" s="848">
        <v>0</v>
      </c>
      <c r="DF15" s="848">
        <v>0</v>
      </c>
      <c r="DG15" s="848">
        <v>0</v>
      </c>
      <c r="DH15" s="848">
        <v>0</v>
      </c>
      <c r="DI15" s="848">
        <v>0</v>
      </c>
      <c r="DJ15" s="848">
        <v>0</v>
      </c>
      <c r="DK15" s="848">
        <v>0</v>
      </c>
      <c r="DL15" s="848">
        <v>0</v>
      </c>
      <c r="DM15" s="848">
        <v>0</v>
      </c>
      <c r="DN15" s="848">
        <v>0</v>
      </c>
      <c r="DO15" s="848">
        <v>0</v>
      </c>
      <c r="DP15" s="848">
        <v>0</v>
      </c>
      <c r="DQ15" s="848">
        <v>0</v>
      </c>
      <c r="DR15" s="848">
        <v>0</v>
      </c>
      <c r="DS15" s="848">
        <v>0</v>
      </c>
      <c r="DT15" s="848">
        <v>0</v>
      </c>
      <c r="DU15" s="848">
        <v>0</v>
      </c>
      <c r="DV15" s="848">
        <v>0</v>
      </c>
      <c r="DW15" s="848">
        <v>0</v>
      </c>
      <c r="DX15" s="848">
        <v>0</v>
      </c>
      <c r="DY15" s="848">
        <v>0</v>
      </c>
      <c r="DZ15" s="848">
        <v>520949.87540410669</v>
      </c>
      <c r="EA15" s="960">
        <v>0</v>
      </c>
      <c r="EB15" s="960">
        <v>0</v>
      </c>
      <c r="EC15" s="960">
        <v>0</v>
      </c>
      <c r="ED15" s="960">
        <v>0</v>
      </c>
      <c r="EE15" s="960">
        <v>0</v>
      </c>
      <c r="EF15" s="960">
        <v>0</v>
      </c>
      <c r="EG15" s="960">
        <v>0</v>
      </c>
      <c r="EH15" s="960">
        <v>0</v>
      </c>
      <c r="EI15" s="960">
        <v>0</v>
      </c>
      <c r="EJ15" s="960">
        <v>0</v>
      </c>
      <c r="EK15" s="960">
        <v>0</v>
      </c>
      <c r="EL15" s="960">
        <v>0</v>
      </c>
    </row>
    <row r="16" spans="2:142">
      <c r="B16" s="1000"/>
      <c r="C16" s="986"/>
      <c r="D16" s="1001"/>
      <c r="E16" s="1001"/>
      <c r="F16" s="1008"/>
      <c r="G16" s="986"/>
      <c r="H16" s="214"/>
      <c r="I16" s="520"/>
      <c r="J16" s="2280"/>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8"/>
      <c r="CD16" s="848"/>
      <c r="CE16" s="848"/>
      <c r="CF16" s="848"/>
      <c r="CG16" s="848"/>
      <c r="CH16" s="848"/>
      <c r="CI16" s="848"/>
      <c r="CJ16" s="848"/>
      <c r="CK16" s="848"/>
      <c r="CL16" s="848"/>
      <c r="CM16" s="848"/>
      <c r="CN16" s="848"/>
      <c r="CO16" s="848"/>
      <c r="CP16" s="848"/>
      <c r="CQ16" s="848"/>
      <c r="CR16" s="848"/>
      <c r="CS16" s="848"/>
      <c r="CT16" s="848"/>
      <c r="CU16" s="848"/>
      <c r="CV16" s="848"/>
      <c r="CW16" s="848"/>
      <c r="CX16" s="848"/>
      <c r="CY16" s="848"/>
      <c r="CZ16" s="848"/>
      <c r="DA16" s="848"/>
      <c r="DB16" s="848"/>
      <c r="DC16" s="848"/>
      <c r="DD16" s="848"/>
      <c r="DE16" s="848"/>
      <c r="DF16" s="848"/>
      <c r="DG16" s="848"/>
      <c r="DH16" s="848"/>
      <c r="DI16" s="848"/>
      <c r="DJ16" s="848"/>
      <c r="DK16" s="848"/>
      <c r="DL16" s="848"/>
      <c r="DM16" s="848"/>
      <c r="DN16" s="848"/>
      <c r="DO16" s="848"/>
      <c r="DP16" s="848"/>
      <c r="DQ16" s="848"/>
      <c r="DR16" s="848"/>
      <c r="DS16" s="848"/>
      <c r="DT16" s="848"/>
      <c r="DU16" s="848"/>
      <c r="DV16" s="848"/>
      <c r="DW16" s="848"/>
      <c r="DX16" s="848"/>
      <c r="DY16" s="848"/>
      <c r="DZ16" s="848"/>
      <c r="EA16" s="960"/>
      <c r="EB16" s="960"/>
      <c r="EC16" s="960"/>
      <c r="ED16" s="960"/>
      <c r="EE16" s="960"/>
      <c r="EF16" s="960"/>
      <c r="EG16" s="960"/>
      <c r="EH16" s="960"/>
      <c r="EI16" s="960"/>
      <c r="EJ16" s="960"/>
      <c r="EK16" s="960"/>
      <c r="EL16" s="960"/>
    </row>
    <row r="17" spans="2:142" s="1007" customFormat="1" ht="13.5">
      <c r="B17" s="1004"/>
      <c r="C17" s="1005" t="s">
        <v>2006</v>
      </c>
      <c r="D17" s="994"/>
      <c r="E17" s="994"/>
      <c r="F17" s="1006"/>
      <c r="G17" s="1005"/>
      <c r="H17" s="215">
        <f>SUM(J17:EL17)</f>
        <v>214262.84076020954</v>
      </c>
      <c r="I17" s="521"/>
      <c r="J17" s="2278"/>
      <c r="K17" s="842">
        <f t="shared" ref="K17:BV17" si="2">SUM(K19:K43)</f>
        <v>0</v>
      </c>
      <c r="L17" s="842">
        <f t="shared" si="2"/>
        <v>0</v>
      </c>
      <c r="M17" s="842">
        <f t="shared" si="2"/>
        <v>0</v>
      </c>
      <c r="N17" s="842">
        <f t="shared" si="2"/>
        <v>0</v>
      </c>
      <c r="O17" s="842">
        <f t="shared" si="2"/>
        <v>0</v>
      </c>
      <c r="P17" s="842">
        <f t="shared" si="2"/>
        <v>0</v>
      </c>
      <c r="Q17" s="842">
        <f t="shared" si="2"/>
        <v>0</v>
      </c>
      <c r="R17" s="842">
        <f t="shared" si="2"/>
        <v>0</v>
      </c>
      <c r="S17" s="842">
        <f t="shared" si="2"/>
        <v>0</v>
      </c>
      <c r="T17" s="842">
        <f t="shared" si="2"/>
        <v>0</v>
      </c>
      <c r="U17" s="842">
        <f t="shared" si="2"/>
        <v>0</v>
      </c>
      <c r="V17" s="842">
        <f t="shared" si="2"/>
        <v>0</v>
      </c>
      <c r="W17" s="842">
        <f t="shared" si="2"/>
        <v>0</v>
      </c>
      <c r="X17" s="842">
        <f t="shared" si="2"/>
        <v>0</v>
      </c>
      <c r="Y17" s="842">
        <f t="shared" si="2"/>
        <v>0</v>
      </c>
      <c r="Z17" s="842">
        <f t="shared" si="2"/>
        <v>0</v>
      </c>
      <c r="AA17" s="842">
        <f t="shared" si="2"/>
        <v>0</v>
      </c>
      <c r="AB17" s="842">
        <f t="shared" si="2"/>
        <v>0</v>
      </c>
      <c r="AC17" s="842">
        <f t="shared" si="2"/>
        <v>0</v>
      </c>
      <c r="AD17" s="842">
        <f t="shared" si="2"/>
        <v>0</v>
      </c>
      <c r="AE17" s="842">
        <f t="shared" si="2"/>
        <v>0</v>
      </c>
      <c r="AF17" s="842">
        <f t="shared" si="2"/>
        <v>0</v>
      </c>
      <c r="AG17" s="842">
        <f t="shared" si="2"/>
        <v>0</v>
      </c>
      <c r="AH17" s="842">
        <f t="shared" si="2"/>
        <v>0</v>
      </c>
      <c r="AI17" s="842">
        <f t="shared" si="2"/>
        <v>0</v>
      </c>
      <c r="AJ17" s="842">
        <f t="shared" si="2"/>
        <v>0</v>
      </c>
      <c r="AK17" s="842">
        <f t="shared" si="2"/>
        <v>0</v>
      </c>
      <c r="AL17" s="842">
        <f t="shared" si="2"/>
        <v>0</v>
      </c>
      <c r="AM17" s="842">
        <f t="shared" si="2"/>
        <v>1537.2343962915802</v>
      </c>
      <c r="AN17" s="842">
        <f t="shared" si="2"/>
        <v>1537.2950271676236</v>
      </c>
      <c r="AO17" s="842">
        <f t="shared" si="2"/>
        <v>1544.6699875309623</v>
      </c>
      <c r="AP17" s="842">
        <f t="shared" si="2"/>
        <v>1544.5236371405131</v>
      </c>
      <c r="AQ17" s="842">
        <f t="shared" si="2"/>
        <v>1544.6699875309623</v>
      </c>
      <c r="AR17" s="842">
        <f t="shared" si="2"/>
        <v>1874.5968123357377</v>
      </c>
      <c r="AS17" s="842">
        <f t="shared" si="2"/>
        <v>1544.6699875309623</v>
      </c>
      <c r="AT17" s="842">
        <f t="shared" si="2"/>
        <v>2944.5968123357379</v>
      </c>
      <c r="AU17" s="842">
        <f t="shared" si="2"/>
        <v>1544.6699875309623</v>
      </c>
      <c r="AV17" s="842">
        <f t="shared" si="2"/>
        <v>1544.6699875309623</v>
      </c>
      <c r="AW17" s="842">
        <f t="shared" si="2"/>
        <v>1544.5968123357375</v>
      </c>
      <c r="AX17" s="842">
        <f t="shared" si="2"/>
        <v>1644.6699875309623</v>
      </c>
      <c r="AY17" s="842">
        <f t="shared" si="2"/>
        <v>1554.0179998312437</v>
      </c>
      <c r="AZ17" s="842">
        <f t="shared" si="2"/>
        <v>1554.0911750264684</v>
      </c>
      <c r="BA17" s="842">
        <f t="shared" si="2"/>
        <v>1554.6798086550407</v>
      </c>
      <c r="BB17" s="842">
        <f t="shared" si="2"/>
        <v>1554.4602830693668</v>
      </c>
      <c r="BC17" s="842">
        <f t="shared" si="2"/>
        <v>1554.6798086550409</v>
      </c>
      <c r="BD17" s="842">
        <f t="shared" si="2"/>
        <v>1654.6066334598163</v>
      </c>
      <c r="BE17" s="842">
        <f t="shared" si="2"/>
        <v>1554.6798086550407</v>
      </c>
      <c r="BF17" s="842">
        <f t="shared" si="2"/>
        <v>1554.6066334598163</v>
      </c>
      <c r="BG17" s="842">
        <f t="shared" si="2"/>
        <v>1554.6798086550409</v>
      </c>
      <c r="BH17" s="842">
        <f t="shared" si="2"/>
        <v>1554.6798086550409</v>
      </c>
      <c r="BI17" s="842">
        <f t="shared" si="2"/>
        <v>1554.6066334598163</v>
      </c>
      <c r="BJ17" s="842">
        <f t="shared" si="2"/>
        <v>1654.6798086550407</v>
      </c>
      <c r="BK17" s="842">
        <f t="shared" si="2"/>
        <v>1564.2415048669868</v>
      </c>
      <c r="BL17" s="842">
        <f t="shared" si="2"/>
        <v>1564.3146800622114</v>
      </c>
      <c r="BM17" s="842">
        <f t="shared" si="2"/>
        <v>1564.9210272338041</v>
      </c>
      <c r="BN17" s="842">
        <f t="shared" si="2"/>
        <v>1564.70150164813</v>
      </c>
      <c r="BO17" s="842">
        <f t="shared" si="2"/>
        <v>1564.9210272338041</v>
      </c>
      <c r="BP17" s="842">
        <f t="shared" si="2"/>
        <v>1664.8478520385795</v>
      </c>
      <c r="BQ17" s="842">
        <f t="shared" si="2"/>
        <v>1564.9210272338041</v>
      </c>
      <c r="BR17" s="842">
        <f t="shared" si="2"/>
        <v>2064.8478520385797</v>
      </c>
      <c r="BS17" s="842">
        <f t="shared" si="2"/>
        <v>1564.9210272338041</v>
      </c>
      <c r="BT17" s="842">
        <f t="shared" si="2"/>
        <v>1564.9210272338041</v>
      </c>
      <c r="BU17" s="842">
        <f t="shared" si="2"/>
        <v>1564.8478520385793</v>
      </c>
      <c r="BV17" s="842">
        <f t="shared" si="2"/>
        <v>1664.9210272338041</v>
      </c>
      <c r="BW17" s="842">
        <f t="shared" ref="BW17:EH17" si="3">SUM(BW19:BW43)</f>
        <v>1574.7014073537975</v>
      </c>
      <c r="BX17" s="842">
        <f t="shared" si="3"/>
        <v>1574.7745825490222</v>
      </c>
      <c r="BY17" s="842">
        <f t="shared" si="3"/>
        <v>1576.0379843831402</v>
      </c>
      <c r="BZ17" s="842">
        <f t="shared" si="3"/>
        <v>1575.8184587974661</v>
      </c>
      <c r="CA17" s="842">
        <f t="shared" si="3"/>
        <v>1576.0379843831402</v>
      </c>
      <c r="CB17" s="842">
        <f t="shared" si="3"/>
        <v>1675.9648091879158</v>
      </c>
      <c r="CC17" s="842">
        <f t="shared" si="3"/>
        <v>1576.0379843831402</v>
      </c>
      <c r="CD17" s="842">
        <f t="shared" si="3"/>
        <v>1575.9648091879155</v>
      </c>
      <c r="CE17" s="842">
        <f t="shared" si="3"/>
        <v>1576.0379843831402</v>
      </c>
      <c r="CF17" s="842">
        <f t="shared" si="3"/>
        <v>1576.0379843831402</v>
      </c>
      <c r="CG17" s="842">
        <f t="shared" si="3"/>
        <v>1575.9648091879158</v>
      </c>
      <c r="CH17" s="842">
        <f t="shared" si="3"/>
        <v>1576.0379843831402</v>
      </c>
      <c r="CI17" s="842">
        <f t="shared" si="3"/>
        <v>1586.0421670885614</v>
      </c>
      <c r="CJ17" s="842">
        <f t="shared" si="3"/>
        <v>1586.115342283786</v>
      </c>
      <c r="CK17" s="842">
        <f t="shared" si="3"/>
        <v>1586.7592308248211</v>
      </c>
      <c r="CL17" s="842">
        <f t="shared" si="3"/>
        <v>1581.8650945912345</v>
      </c>
      <c r="CM17" s="842">
        <f t="shared" si="3"/>
        <v>1583.2104454607047</v>
      </c>
      <c r="CN17" s="842">
        <f t="shared" si="3"/>
        <v>1583.0985928306732</v>
      </c>
      <c r="CO17" s="842">
        <f t="shared" si="3"/>
        <v>1583.2104454607047</v>
      </c>
      <c r="CP17" s="842">
        <f t="shared" si="3"/>
        <v>2083.0985928306727</v>
      </c>
      <c r="CQ17" s="842">
        <f t="shared" si="3"/>
        <v>1583.2104454607047</v>
      </c>
      <c r="CR17" s="842">
        <f t="shared" si="3"/>
        <v>1583.2104454607047</v>
      </c>
      <c r="CS17" s="842">
        <f t="shared" si="3"/>
        <v>1583.0985928306729</v>
      </c>
      <c r="CT17" s="842">
        <f t="shared" si="3"/>
        <v>1582.7426665285013</v>
      </c>
      <c r="CU17" s="842">
        <f t="shared" si="3"/>
        <v>1593.0530419414149</v>
      </c>
      <c r="CV17" s="842">
        <f t="shared" si="3"/>
        <v>1593.1687554832713</v>
      </c>
      <c r="CW17" s="842">
        <f t="shared" si="3"/>
        <v>1593.8383751687857</v>
      </c>
      <c r="CX17" s="842">
        <f t="shared" si="3"/>
        <v>1593.4912345432163</v>
      </c>
      <c r="CY17" s="842">
        <f t="shared" si="3"/>
        <v>1593.8383751687857</v>
      </c>
      <c r="CZ17" s="842">
        <f t="shared" si="3"/>
        <v>1593.722661626929</v>
      </c>
      <c r="DA17" s="842">
        <f t="shared" si="3"/>
        <v>1593.8383751687857</v>
      </c>
      <c r="DB17" s="842">
        <f t="shared" si="3"/>
        <v>1593.722661626929</v>
      </c>
      <c r="DC17" s="842">
        <f t="shared" si="3"/>
        <v>1593.8383751687857</v>
      </c>
      <c r="DD17" s="842">
        <f t="shared" si="3"/>
        <v>1593.8383751687857</v>
      </c>
      <c r="DE17" s="842">
        <f t="shared" si="3"/>
        <v>1593.722661626929</v>
      </c>
      <c r="DF17" s="842">
        <f t="shared" si="3"/>
        <v>1593.8383751687857</v>
      </c>
      <c r="DG17" s="842">
        <f t="shared" si="3"/>
        <v>1604.263469741973</v>
      </c>
      <c r="DH17" s="842">
        <f t="shared" si="3"/>
        <v>1604.3791832838294</v>
      </c>
      <c r="DI17" s="842">
        <f t="shared" si="3"/>
        <v>1605.0781886808136</v>
      </c>
      <c r="DJ17" s="842">
        <f t="shared" si="3"/>
        <v>1604.7310480552442</v>
      </c>
      <c r="DK17" s="842">
        <f t="shared" si="3"/>
        <v>1605.0781886808138</v>
      </c>
      <c r="DL17" s="842">
        <f t="shared" si="3"/>
        <v>1604.9624751389574</v>
      </c>
      <c r="DM17" s="842">
        <f t="shared" si="3"/>
        <v>1605.0781886808138</v>
      </c>
      <c r="DN17" s="842">
        <f t="shared" si="3"/>
        <v>1604.9624751389572</v>
      </c>
      <c r="DO17" s="842">
        <f t="shared" si="3"/>
        <v>1605.0781886808138</v>
      </c>
      <c r="DP17" s="842">
        <f t="shared" si="3"/>
        <v>1605.0781886808138</v>
      </c>
      <c r="DQ17" s="842">
        <f t="shared" si="3"/>
        <v>1604.9624751389572</v>
      </c>
      <c r="DR17" s="842">
        <f t="shared" si="3"/>
        <v>1605.0781886808136</v>
      </c>
      <c r="DS17" s="842">
        <f t="shared" si="3"/>
        <v>1615.7431827399928</v>
      </c>
      <c r="DT17" s="842">
        <f t="shared" si="3"/>
        <v>1615.8588962818492</v>
      </c>
      <c r="DU17" s="842">
        <f t="shared" si="3"/>
        <v>1619.3144449119131</v>
      </c>
      <c r="DV17" s="842">
        <f t="shared" si="3"/>
        <v>1618.9673042863435</v>
      </c>
      <c r="DW17" s="842">
        <f t="shared" si="3"/>
        <v>1619.3144449119131</v>
      </c>
      <c r="DX17" s="842">
        <f t="shared" si="3"/>
        <v>1619.1987313700565</v>
      </c>
      <c r="DY17" s="842">
        <f t="shared" si="3"/>
        <v>1619.3144449119129</v>
      </c>
      <c r="DZ17" s="842">
        <f t="shared" si="3"/>
        <v>67354.749901011368</v>
      </c>
      <c r="EA17" s="1009">
        <f t="shared" si="3"/>
        <v>0</v>
      </c>
      <c r="EB17" s="1009">
        <f t="shared" si="3"/>
        <v>0</v>
      </c>
      <c r="EC17" s="1009">
        <f t="shared" si="3"/>
        <v>0</v>
      </c>
      <c r="ED17" s="1009">
        <f t="shared" si="3"/>
        <v>0</v>
      </c>
      <c r="EE17" s="1009">
        <f t="shared" si="3"/>
        <v>0</v>
      </c>
      <c r="EF17" s="1009">
        <f t="shared" si="3"/>
        <v>0</v>
      </c>
      <c r="EG17" s="1009">
        <f t="shared" si="3"/>
        <v>0</v>
      </c>
      <c r="EH17" s="1009">
        <f t="shared" si="3"/>
        <v>0</v>
      </c>
      <c r="EI17" s="1009">
        <f>SUM(EI19:EI43)</f>
        <v>0</v>
      </c>
      <c r="EJ17" s="1009">
        <f>SUM(EJ19:EJ43)</f>
        <v>0</v>
      </c>
      <c r="EK17" s="1009">
        <f>SUM(EK19:EK43)</f>
        <v>0</v>
      </c>
      <c r="EL17" s="1009">
        <f>SUM(EL19:EL43)</f>
        <v>0</v>
      </c>
    </row>
    <row r="18" spans="2:142" s="833" customFormat="1">
      <c r="B18" s="1000"/>
      <c r="C18" s="1001"/>
      <c r="D18" s="1001"/>
      <c r="E18" s="1001"/>
      <c r="F18" s="1008"/>
      <c r="G18" s="1001"/>
      <c r="H18" s="214"/>
      <c r="I18" s="520"/>
      <c r="J18" s="2280"/>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8"/>
      <c r="CD18" s="848"/>
      <c r="CE18" s="848"/>
      <c r="CF18" s="848"/>
      <c r="CG18" s="848"/>
      <c r="CH18" s="848"/>
      <c r="CI18" s="848"/>
      <c r="CJ18" s="848"/>
      <c r="CK18" s="848"/>
      <c r="CL18" s="848"/>
      <c r="CM18" s="848"/>
      <c r="CN18" s="848"/>
      <c r="CO18" s="848"/>
      <c r="CP18" s="848"/>
      <c r="CQ18" s="848"/>
      <c r="CR18" s="848"/>
      <c r="CS18" s="848"/>
      <c r="CT18" s="848"/>
      <c r="CU18" s="848"/>
      <c r="CV18" s="848"/>
      <c r="CW18" s="848"/>
      <c r="CX18" s="848"/>
      <c r="CY18" s="848"/>
      <c r="CZ18" s="848"/>
      <c r="DA18" s="848"/>
      <c r="DB18" s="848"/>
      <c r="DC18" s="848"/>
      <c r="DD18" s="848"/>
      <c r="DE18" s="848"/>
      <c r="DF18" s="848"/>
      <c r="DG18" s="848"/>
      <c r="DH18" s="848"/>
      <c r="DI18" s="848"/>
      <c r="DJ18" s="848"/>
      <c r="DK18" s="848"/>
      <c r="DL18" s="848"/>
      <c r="DM18" s="848"/>
      <c r="DN18" s="848"/>
      <c r="DO18" s="848"/>
      <c r="DP18" s="848"/>
      <c r="DQ18" s="848"/>
      <c r="DR18" s="848"/>
      <c r="DS18" s="848"/>
      <c r="DT18" s="848"/>
      <c r="DU18" s="848"/>
      <c r="DV18" s="848"/>
      <c r="DW18" s="848"/>
      <c r="DX18" s="848"/>
      <c r="DY18" s="848"/>
      <c r="DZ18" s="848"/>
      <c r="EA18" s="960"/>
      <c r="EB18" s="960"/>
      <c r="EC18" s="960"/>
      <c r="ED18" s="960"/>
      <c r="EE18" s="960"/>
      <c r="EF18" s="960"/>
      <c r="EG18" s="960"/>
      <c r="EH18" s="960"/>
      <c r="EI18" s="960"/>
      <c r="EJ18" s="960"/>
      <c r="EK18" s="960"/>
      <c r="EL18" s="960"/>
    </row>
    <row r="19" spans="2:142" ht="13.5">
      <c r="B19" s="1000"/>
      <c r="C19" s="986"/>
      <c r="D19" s="881" t="s">
        <v>790</v>
      </c>
      <c r="E19" s="1001"/>
      <c r="F19" s="1008"/>
      <c r="G19" s="986"/>
      <c r="H19" s="848">
        <f>SUM(J19:EL19)</f>
        <v>9781.3418666666639</v>
      </c>
      <c r="I19" s="520"/>
      <c r="J19" s="2280"/>
      <c r="K19" s="1010">
        <v>0</v>
      </c>
      <c r="L19" s="1010">
        <v>0</v>
      </c>
      <c r="M19" s="1010">
        <v>0</v>
      </c>
      <c r="N19" s="1010">
        <v>0</v>
      </c>
      <c r="O19" s="1010">
        <v>0</v>
      </c>
      <c r="P19" s="1010">
        <v>0</v>
      </c>
      <c r="Q19" s="1010">
        <v>0</v>
      </c>
      <c r="R19" s="1010">
        <v>0</v>
      </c>
      <c r="S19" s="1010">
        <v>0</v>
      </c>
      <c r="T19" s="1010">
        <v>0</v>
      </c>
      <c r="U19" s="1010">
        <v>0</v>
      </c>
      <c r="V19" s="1010">
        <v>0</v>
      </c>
      <c r="W19" s="1010">
        <v>0</v>
      </c>
      <c r="X19" s="1010">
        <v>0</v>
      </c>
      <c r="Y19" s="1010">
        <v>0</v>
      </c>
      <c r="Z19" s="1010">
        <v>0</v>
      </c>
      <c r="AA19" s="1010">
        <v>0</v>
      </c>
      <c r="AB19" s="1010">
        <v>0</v>
      </c>
      <c r="AC19" s="1010">
        <v>0</v>
      </c>
      <c r="AD19" s="1010">
        <v>0</v>
      </c>
      <c r="AE19" s="1010">
        <v>0</v>
      </c>
      <c r="AF19" s="1010">
        <v>0</v>
      </c>
      <c r="AG19" s="1010">
        <v>0</v>
      </c>
      <c r="AH19" s="1010">
        <v>0</v>
      </c>
      <c r="AI19" s="1010">
        <v>0</v>
      </c>
      <c r="AJ19" s="1010">
        <v>0</v>
      </c>
      <c r="AK19" s="1010">
        <v>0</v>
      </c>
      <c r="AL19" s="1010">
        <v>0</v>
      </c>
      <c r="AM19" s="1010">
        <v>106.31893333333333</v>
      </c>
      <c r="AN19" s="1010">
        <v>106.31893333333333</v>
      </c>
      <c r="AO19" s="1010">
        <v>106.31893333333333</v>
      </c>
      <c r="AP19" s="1010">
        <v>106.31893333333333</v>
      </c>
      <c r="AQ19" s="1010">
        <v>106.31893333333333</v>
      </c>
      <c r="AR19" s="1010">
        <v>106.31893333333333</v>
      </c>
      <c r="AS19" s="1010">
        <v>106.31893333333333</v>
      </c>
      <c r="AT19" s="1010">
        <v>106.31893333333333</v>
      </c>
      <c r="AU19" s="1010">
        <v>106.31893333333333</v>
      </c>
      <c r="AV19" s="1010">
        <v>106.31893333333333</v>
      </c>
      <c r="AW19" s="1010">
        <v>106.31893333333333</v>
      </c>
      <c r="AX19" s="1010">
        <v>106.31893333333333</v>
      </c>
      <c r="AY19" s="1010">
        <v>106.31893333333333</v>
      </c>
      <c r="AZ19" s="1010">
        <v>106.31893333333333</v>
      </c>
      <c r="BA19" s="1010">
        <v>106.31893333333333</v>
      </c>
      <c r="BB19" s="1010">
        <v>106.31893333333333</v>
      </c>
      <c r="BC19" s="1010">
        <v>106.31893333333333</v>
      </c>
      <c r="BD19" s="1010">
        <v>106.31893333333333</v>
      </c>
      <c r="BE19" s="1010">
        <v>106.31893333333333</v>
      </c>
      <c r="BF19" s="1010">
        <v>106.31893333333333</v>
      </c>
      <c r="BG19" s="1010">
        <v>106.31893333333333</v>
      </c>
      <c r="BH19" s="1010">
        <v>106.31893333333333</v>
      </c>
      <c r="BI19" s="1010">
        <v>106.31893333333333</v>
      </c>
      <c r="BJ19" s="1010">
        <v>106.31893333333333</v>
      </c>
      <c r="BK19" s="1010">
        <v>106.31893333333333</v>
      </c>
      <c r="BL19" s="1010">
        <v>106.31893333333333</v>
      </c>
      <c r="BM19" s="1010">
        <v>106.31893333333333</v>
      </c>
      <c r="BN19" s="1010">
        <v>106.31893333333333</v>
      </c>
      <c r="BO19" s="1010">
        <v>106.31893333333333</v>
      </c>
      <c r="BP19" s="1010">
        <v>106.31893333333333</v>
      </c>
      <c r="BQ19" s="1010">
        <v>106.31893333333333</v>
      </c>
      <c r="BR19" s="1010">
        <v>106.31893333333333</v>
      </c>
      <c r="BS19" s="1010">
        <v>106.31893333333333</v>
      </c>
      <c r="BT19" s="1010">
        <v>106.31893333333333</v>
      </c>
      <c r="BU19" s="1010">
        <v>106.31893333333333</v>
      </c>
      <c r="BV19" s="1010">
        <v>106.31893333333333</v>
      </c>
      <c r="BW19" s="1010">
        <v>106.31893333333333</v>
      </c>
      <c r="BX19" s="1010">
        <v>106.31893333333333</v>
      </c>
      <c r="BY19" s="1010">
        <v>106.31893333333333</v>
      </c>
      <c r="BZ19" s="1010">
        <v>106.31893333333333</v>
      </c>
      <c r="CA19" s="1010">
        <v>106.31893333333333</v>
      </c>
      <c r="CB19" s="1010">
        <v>106.31893333333333</v>
      </c>
      <c r="CC19" s="1010">
        <v>106.31893333333333</v>
      </c>
      <c r="CD19" s="1010">
        <v>106.31893333333333</v>
      </c>
      <c r="CE19" s="1010">
        <v>106.31893333333333</v>
      </c>
      <c r="CF19" s="1010">
        <v>106.31893333333333</v>
      </c>
      <c r="CG19" s="1010">
        <v>106.31893333333333</v>
      </c>
      <c r="CH19" s="1010">
        <v>106.31893333333333</v>
      </c>
      <c r="CI19" s="1010">
        <v>106.31893333333333</v>
      </c>
      <c r="CJ19" s="1010">
        <v>106.31893333333333</v>
      </c>
      <c r="CK19" s="1010">
        <v>106.31893333333333</v>
      </c>
      <c r="CL19" s="1010">
        <v>106.31893333333333</v>
      </c>
      <c r="CM19" s="1010">
        <v>106.31893333333333</v>
      </c>
      <c r="CN19" s="1010">
        <v>106.31893333333333</v>
      </c>
      <c r="CO19" s="1010">
        <v>106.31893333333333</v>
      </c>
      <c r="CP19" s="1010">
        <v>106.31893333333333</v>
      </c>
      <c r="CQ19" s="1010">
        <v>106.31893333333333</v>
      </c>
      <c r="CR19" s="1010">
        <v>106.31893333333333</v>
      </c>
      <c r="CS19" s="1010">
        <v>106.31893333333333</v>
      </c>
      <c r="CT19" s="1010">
        <v>106.31893333333333</v>
      </c>
      <c r="CU19" s="1010">
        <v>106.31893333333333</v>
      </c>
      <c r="CV19" s="1010">
        <v>106.31893333333333</v>
      </c>
      <c r="CW19" s="1010">
        <v>106.31893333333333</v>
      </c>
      <c r="CX19" s="1010">
        <v>106.31893333333333</v>
      </c>
      <c r="CY19" s="1010">
        <v>106.31893333333333</v>
      </c>
      <c r="CZ19" s="1010">
        <v>106.31893333333333</v>
      </c>
      <c r="DA19" s="1010">
        <v>106.31893333333333</v>
      </c>
      <c r="DB19" s="1010">
        <v>106.31893333333333</v>
      </c>
      <c r="DC19" s="1010">
        <v>106.31893333333333</v>
      </c>
      <c r="DD19" s="1010">
        <v>106.31893333333333</v>
      </c>
      <c r="DE19" s="1010">
        <v>106.31893333333333</v>
      </c>
      <c r="DF19" s="1010">
        <v>106.31893333333333</v>
      </c>
      <c r="DG19" s="1010">
        <v>106.31893333333333</v>
      </c>
      <c r="DH19" s="1010">
        <v>106.31893333333333</v>
      </c>
      <c r="DI19" s="1010">
        <v>106.31893333333333</v>
      </c>
      <c r="DJ19" s="1010">
        <v>106.31893333333333</v>
      </c>
      <c r="DK19" s="1010">
        <v>106.31893333333333</v>
      </c>
      <c r="DL19" s="1010">
        <v>106.31893333333333</v>
      </c>
      <c r="DM19" s="1010">
        <v>106.31893333333333</v>
      </c>
      <c r="DN19" s="1010">
        <v>106.31893333333333</v>
      </c>
      <c r="DO19" s="1010">
        <v>106.31893333333333</v>
      </c>
      <c r="DP19" s="1010">
        <v>106.31893333333333</v>
      </c>
      <c r="DQ19" s="1010">
        <v>106.31893333333333</v>
      </c>
      <c r="DR19" s="1010">
        <v>106.31893333333333</v>
      </c>
      <c r="DS19" s="1010">
        <v>106.31893333333333</v>
      </c>
      <c r="DT19" s="1010">
        <v>106.31893333333333</v>
      </c>
      <c r="DU19" s="1010">
        <v>106.31893333333333</v>
      </c>
      <c r="DV19" s="1010">
        <v>106.31893333333333</v>
      </c>
      <c r="DW19" s="1010">
        <v>106.31893333333333</v>
      </c>
      <c r="DX19" s="1010">
        <v>106.31893333333333</v>
      </c>
      <c r="DY19" s="1010">
        <v>106.31893333333333</v>
      </c>
      <c r="DZ19" s="1010">
        <v>106.31893333333333</v>
      </c>
      <c r="EA19" s="1011">
        <v>0</v>
      </c>
      <c r="EB19" s="1011">
        <v>0</v>
      </c>
      <c r="EC19" s="1011">
        <v>0</v>
      </c>
      <c r="ED19" s="1011">
        <v>0</v>
      </c>
      <c r="EE19" s="1011">
        <v>0</v>
      </c>
      <c r="EF19" s="1011">
        <v>0</v>
      </c>
      <c r="EG19" s="1011">
        <v>0</v>
      </c>
      <c r="EH19" s="1011">
        <v>0</v>
      </c>
      <c r="EI19" s="1011">
        <v>0</v>
      </c>
      <c r="EJ19" s="1011">
        <v>0</v>
      </c>
      <c r="EK19" s="1011">
        <v>0</v>
      </c>
      <c r="EL19" s="1011">
        <v>0</v>
      </c>
    </row>
    <row r="20" spans="2:142" ht="13.5">
      <c r="B20" s="1000"/>
      <c r="C20" s="986"/>
      <c r="D20" s="881" t="s">
        <v>791</v>
      </c>
      <c r="E20" s="1001"/>
      <c r="F20" s="1008"/>
      <c r="G20" s="986"/>
      <c r="H20" s="848">
        <f t="shared" ref="H20:H57" si="4">SUM(J20:EL20)</f>
        <v>230</v>
      </c>
      <c r="I20" s="520"/>
      <c r="J20" s="2280"/>
      <c r="K20" s="1010">
        <v>0</v>
      </c>
      <c r="L20" s="1010">
        <v>0</v>
      </c>
      <c r="M20" s="1010">
        <v>0</v>
      </c>
      <c r="N20" s="1010">
        <v>0</v>
      </c>
      <c r="O20" s="1010">
        <v>0</v>
      </c>
      <c r="P20" s="1010">
        <v>0</v>
      </c>
      <c r="Q20" s="1010">
        <v>0</v>
      </c>
      <c r="R20" s="1010">
        <v>0</v>
      </c>
      <c r="S20" s="1010">
        <v>0</v>
      </c>
      <c r="T20" s="1010">
        <v>0</v>
      </c>
      <c r="U20" s="1010">
        <v>0</v>
      </c>
      <c r="V20" s="1010">
        <v>0</v>
      </c>
      <c r="W20" s="1010">
        <v>0</v>
      </c>
      <c r="X20" s="1010">
        <v>0</v>
      </c>
      <c r="Y20" s="1010">
        <v>0</v>
      </c>
      <c r="Z20" s="1010">
        <v>0</v>
      </c>
      <c r="AA20" s="1010">
        <v>0</v>
      </c>
      <c r="AB20" s="1010">
        <v>0</v>
      </c>
      <c r="AC20" s="1010">
        <v>0</v>
      </c>
      <c r="AD20" s="1010">
        <v>0</v>
      </c>
      <c r="AE20" s="1010">
        <v>0</v>
      </c>
      <c r="AF20" s="1010">
        <v>0</v>
      </c>
      <c r="AG20" s="1010">
        <v>0</v>
      </c>
      <c r="AH20" s="1010">
        <v>0</v>
      </c>
      <c r="AI20" s="1010">
        <v>0</v>
      </c>
      <c r="AJ20" s="1010">
        <v>0</v>
      </c>
      <c r="AK20" s="1010">
        <v>0</v>
      </c>
      <c r="AL20" s="1010">
        <v>0</v>
      </c>
      <c r="AM20" s="1010">
        <v>2.5</v>
      </c>
      <c r="AN20" s="1010">
        <v>2.5</v>
      </c>
      <c r="AO20" s="1010">
        <v>2.5</v>
      </c>
      <c r="AP20" s="1010">
        <v>2.5</v>
      </c>
      <c r="AQ20" s="1010">
        <v>2.5</v>
      </c>
      <c r="AR20" s="1010">
        <v>2.5</v>
      </c>
      <c r="AS20" s="1010">
        <v>2.5</v>
      </c>
      <c r="AT20" s="1010">
        <v>2.5</v>
      </c>
      <c r="AU20" s="1010">
        <v>2.5</v>
      </c>
      <c r="AV20" s="1010">
        <v>2.5</v>
      </c>
      <c r="AW20" s="1010">
        <v>2.5</v>
      </c>
      <c r="AX20" s="1010">
        <v>2.5</v>
      </c>
      <c r="AY20" s="1010">
        <v>2.5</v>
      </c>
      <c r="AZ20" s="1010">
        <v>2.5</v>
      </c>
      <c r="BA20" s="1010">
        <v>2.5</v>
      </c>
      <c r="BB20" s="1010">
        <v>2.5</v>
      </c>
      <c r="BC20" s="1010">
        <v>2.5</v>
      </c>
      <c r="BD20" s="1010">
        <v>2.5</v>
      </c>
      <c r="BE20" s="1010">
        <v>2.5</v>
      </c>
      <c r="BF20" s="1010">
        <v>2.5</v>
      </c>
      <c r="BG20" s="1010">
        <v>2.5</v>
      </c>
      <c r="BH20" s="1010">
        <v>2.5</v>
      </c>
      <c r="BI20" s="1010">
        <v>2.5</v>
      </c>
      <c r="BJ20" s="1010">
        <v>2.5</v>
      </c>
      <c r="BK20" s="1010">
        <v>2.5</v>
      </c>
      <c r="BL20" s="1010">
        <v>2.5</v>
      </c>
      <c r="BM20" s="1010">
        <v>2.5</v>
      </c>
      <c r="BN20" s="1010">
        <v>2.5</v>
      </c>
      <c r="BO20" s="1010">
        <v>2.5</v>
      </c>
      <c r="BP20" s="1010">
        <v>2.5</v>
      </c>
      <c r="BQ20" s="1010">
        <v>2.5</v>
      </c>
      <c r="BR20" s="1010">
        <v>2.5</v>
      </c>
      <c r="BS20" s="1010">
        <v>2.5</v>
      </c>
      <c r="BT20" s="1010">
        <v>2.5</v>
      </c>
      <c r="BU20" s="1010">
        <v>2.5</v>
      </c>
      <c r="BV20" s="1010">
        <v>2.5</v>
      </c>
      <c r="BW20" s="1010">
        <v>2.5</v>
      </c>
      <c r="BX20" s="1010">
        <v>2.5</v>
      </c>
      <c r="BY20" s="1010">
        <v>2.5</v>
      </c>
      <c r="BZ20" s="1010">
        <v>2.5</v>
      </c>
      <c r="CA20" s="1010">
        <v>2.5</v>
      </c>
      <c r="CB20" s="1010">
        <v>2.5</v>
      </c>
      <c r="CC20" s="1010">
        <v>2.5</v>
      </c>
      <c r="CD20" s="1010">
        <v>2.5</v>
      </c>
      <c r="CE20" s="1010">
        <v>2.5</v>
      </c>
      <c r="CF20" s="1010">
        <v>2.5</v>
      </c>
      <c r="CG20" s="1010">
        <v>2.5</v>
      </c>
      <c r="CH20" s="1010">
        <v>2.5</v>
      </c>
      <c r="CI20" s="1010">
        <v>2.5</v>
      </c>
      <c r="CJ20" s="1010">
        <v>2.5</v>
      </c>
      <c r="CK20" s="1010">
        <v>2.5</v>
      </c>
      <c r="CL20" s="1010">
        <v>2.5</v>
      </c>
      <c r="CM20" s="1010">
        <v>2.5</v>
      </c>
      <c r="CN20" s="1010">
        <v>2.5</v>
      </c>
      <c r="CO20" s="1010">
        <v>2.5</v>
      </c>
      <c r="CP20" s="1010">
        <v>2.5</v>
      </c>
      <c r="CQ20" s="1010">
        <v>2.5</v>
      </c>
      <c r="CR20" s="1010">
        <v>2.5</v>
      </c>
      <c r="CS20" s="1010">
        <v>2.5</v>
      </c>
      <c r="CT20" s="1010">
        <v>2.5</v>
      </c>
      <c r="CU20" s="1010">
        <v>2.5</v>
      </c>
      <c r="CV20" s="1010">
        <v>2.5</v>
      </c>
      <c r="CW20" s="1010">
        <v>2.5</v>
      </c>
      <c r="CX20" s="1010">
        <v>2.5</v>
      </c>
      <c r="CY20" s="1010">
        <v>2.5</v>
      </c>
      <c r="CZ20" s="1010">
        <v>2.5</v>
      </c>
      <c r="DA20" s="1010">
        <v>2.5</v>
      </c>
      <c r="DB20" s="1010">
        <v>2.5</v>
      </c>
      <c r="DC20" s="1010">
        <v>2.5</v>
      </c>
      <c r="DD20" s="1010">
        <v>2.5</v>
      </c>
      <c r="DE20" s="1010">
        <v>2.5</v>
      </c>
      <c r="DF20" s="1010">
        <v>2.5</v>
      </c>
      <c r="DG20" s="1010">
        <v>2.5</v>
      </c>
      <c r="DH20" s="1010">
        <v>2.5</v>
      </c>
      <c r="DI20" s="1010">
        <v>2.5</v>
      </c>
      <c r="DJ20" s="1010">
        <v>2.5</v>
      </c>
      <c r="DK20" s="1010">
        <v>2.5</v>
      </c>
      <c r="DL20" s="1010">
        <v>2.5</v>
      </c>
      <c r="DM20" s="1010">
        <v>2.5</v>
      </c>
      <c r="DN20" s="1010">
        <v>2.5</v>
      </c>
      <c r="DO20" s="1010">
        <v>2.5</v>
      </c>
      <c r="DP20" s="1010">
        <v>2.5</v>
      </c>
      <c r="DQ20" s="1010">
        <v>2.5</v>
      </c>
      <c r="DR20" s="1010">
        <v>2.5</v>
      </c>
      <c r="DS20" s="1010">
        <v>2.5</v>
      </c>
      <c r="DT20" s="1010">
        <v>2.5</v>
      </c>
      <c r="DU20" s="1010">
        <v>2.5</v>
      </c>
      <c r="DV20" s="1010">
        <v>2.5</v>
      </c>
      <c r="DW20" s="1010">
        <v>2.5</v>
      </c>
      <c r="DX20" s="1010">
        <v>2.5</v>
      </c>
      <c r="DY20" s="1010">
        <v>2.5</v>
      </c>
      <c r="DZ20" s="1010">
        <v>2.5</v>
      </c>
      <c r="EA20" s="1011">
        <v>0</v>
      </c>
      <c r="EB20" s="1011">
        <v>0</v>
      </c>
      <c r="EC20" s="1011">
        <v>0</v>
      </c>
      <c r="ED20" s="1011">
        <v>0</v>
      </c>
      <c r="EE20" s="1011">
        <v>0</v>
      </c>
      <c r="EF20" s="1011">
        <v>0</v>
      </c>
      <c r="EG20" s="1011">
        <v>0</v>
      </c>
      <c r="EH20" s="1011">
        <v>0</v>
      </c>
      <c r="EI20" s="1011">
        <v>0</v>
      </c>
      <c r="EJ20" s="1011">
        <v>0</v>
      </c>
      <c r="EK20" s="1011">
        <v>0</v>
      </c>
      <c r="EL20" s="1011">
        <v>0</v>
      </c>
    </row>
    <row r="21" spans="2:142" ht="13.5">
      <c r="B21" s="1000"/>
      <c r="C21" s="986"/>
      <c r="D21" s="881" t="s">
        <v>792</v>
      </c>
      <c r="E21" s="1001"/>
      <c r="F21" s="1008"/>
      <c r="G21" s="986"/>
      <c r="H21" s="848">
        <f t="shared" si="4"/>
        <v>429.33333333333383</v>
      </c>
      <c r="I21" s="520"/>
      <c r="J21" s="2280"/>
      <c r="K21" s="1010">
        <v>0</v>
      </c>
      <c r="L21" s="1010">
        <v>0</v>
      </c>
      <c r="M21" s="1010">
        <v>0</v>
      </c>
      <c r="N21" s="1010">
        <v>0</v>
      </c>
      <c r="O21" s="1010">
        <v>0</v>
      </c>
      <c r="P21" s="1010">
        <v>0</v>
      </c>
      <c r="Q21" s="1010">
        <v>0</v>
      </c>
      <c r="R21" s="1010">
        <v>0</v>
      </c>
      <c r="S21" s="1010">
        <v>0</v>
      </c>
      <c r="T21" s="1010">
        <v>0</v>
      </c>
      <c r="U21" s="1010">
        <v>0</v>
      </c>
      <c r="V21" s="1010">
        <v>0</v>
      </c>
      <c r="W21" s="1010">
        <v>0</v>
      </c>
      <c r="X21" s="1010">
        <v>0</v>
      </c>
      <c r="Y21" s="1010">
        <v>0</v>
      </c>
      <c r="Z21" s="1010">
        <v>0</v>
      </c>
      <c r="AA21" s="1010">
        <v>0</v>
      </c>
      <c r="AB21" s="1010">
        <v>0</v>
      </c>
      <c r="AC21" s="1010">
        <v>0</v>
      </c>
      <c r="AD21" s="1010">
        <v>0</v>
      </c>
      <c r="AE21" s="1010">
        <v>0</v>
      </c>
      <c r="AF21" s="1010">
        <v>0</v>
      </c>
      <c r="AG21" s="1010">
        <v>0</v>
      </c>
      <c r="AH21" s="1010">
        <v>0</v>
      </c>
      <c r="AI21" s="1010">
        <v>0</v>
      </c>
      <c r="AJ21" s="1010">
        <v>0</v>
      </c>
      <c r="AK21" s="1010">
        <v>0</v>
      </c>
      <c r="AL21" s="1010">
        <v>0</v>
      </c>
      <c r="AM21" s="1010">
        <v>4.666666666666667</v>
      </c>
      <c r="AN21" s="1010">
        <v>4.666666666666667</v>
      </c>
      <c r="AO21" s="1010">
        <v>4.666666666666667</v>
      </c>
      <c r="AP21" s="1010">
        <v>4.666666666666667</v>
      </c>
      <c r="AQ21" s="1010">
        <v>4.666666666666667</v>
      </c>
      <c r="AR21" s="1010">
        <v>4.666666666666667</v>
      </c>
      <c r="AS21" s="1010">
        <v>4.666666666666667</v>
      </c>
      <c r="AT21" s="1010">
        <v>4.666666666666667</v>
      </c>
      <c r="AU21" s="1010">
        <v>4.666666666666667</v>
      </c>
      <c r="AV21" s="1010">
        <v>4.666666666666667</v>
      </c>
      <c r="AW21" s="1010">
        <v>4.666666666666667</v>
      </c>
      <c r="AX21" s="1010">
        <v>4.666666666666667</v>
      </c>
      <c r="AY21" s="1010">
        <v>4.666666666666667</v>
      </c>
      <c r="AZ21" s="1010">
        <v>4.666666666666667</v>
      </c>
      <c r="BA21" s="1010">
        <v>4.666666666666667</v>
      </c>
      <c r="BB21" s="1010">
        <v>4.666666666666667</v>
      </c>
      <c r="BC21" s="1010">
        <v>4.666666666666667</v>
      </c>
      <c r="BD21" s="1010">
        <v>4.666666666666667</v>
      </c>
      <c r="BE21" s="1010">
        <v>4.666666666666667</v>
      </c>
      <c r="BF21" s="1010">
        <v>4.666666666666667</v>
      </c>
      <c r="BG21" s="1010">
        <v>4.666666666666667</v>
      </c>
      <c r="BH21" s="1010">
        <v>4.666666666666667</v>
      </c>
      <c r="BI21" s="1010">
        <v>4.666666666666667</v>
      </c>
      <c r="BJ21" s="1010">
        <v>4.666666666666667</v>
      </c>
      <c r="BK21" s="1010">
        <v>4.666666666666667</v>
      </c>
      <c r="BL21" s="1010">
        <v>4.666666666666667</v>
      </c>
      <c r="BM21" s="1010">
        <v>4.666666666666667</v>
      </c>
      <c r="BN21" s="1010">
        <v>4.666666666666667</v>
      </c>
      <c r="BO21" s="1010">
        <v>4.666666666666667</v>
      </c>
      <c r="BP21" s="1010">
        <v>4.666666666666667</v>
      </c>
      <c r="BQ21" s="1010">
        <v>4.666666666666667</v>
      </c>
      <c r="BR21" s="1010">
        <v>4.666666666666667</v>
      </c>
      <c r="BS21" s="1010">
        <v>4.666666666666667</v>
      </c>
      <c r="BT21" s="1010">
        <v>4.666666666666667</v>
      </c>
      <c r="BU21" s="1010">
        <v>4.666666666666667</v>
      </c>
      <c r="BV21" s="1010">
        <v>4.666666666666667</v>
      </c>
      <c r="BW21" s="1010">
        <v>4.666666666666667</v>
      </c>
      <c r="BX21" s="1010">
        <v>4.666666666666667</v>
      </c>
      <c r="BY21" s="1010">
        <v>4.666666666666667</v>
      </c>
      <c r="BZ21" s="1010">
        <v>4.666666666666667</v>
      </c>
      <c r="CA21" s="1010">
        <v>4.666666666666667</v>
      </c>
      <c r="CB21" s="1010">
        <v>4.666666666666667</v>
      </c>
      <c r="CC21" s="1010">
        <v>4.666666666666667</v>
      </c>
      <c r="CD21" s="1010">
        <v>4.666666666666667</v>
      </c>
      <c r="CE21" s="1010">
        <v>4.666666666666667</v>
      </c>
      <c r="CF21" s="1010">
        <v>4.666666666666667</v>
      </c>
      <c r="CG21" s="1010">
        <v>4.666666666666667</v>
      </c>
      <c r="CH21" s="1010">
        <v>4.666666666666667</v>
      </c>
      <c r="CI21" s="1010">
        <v>4.666666666666667</v>
      </c>
      <c r="CJ21" s="1010">
        <v>4.666666666666667</v>
      </c>
      <c r="CK21" s="1010">
        <v>4.666666666666667</v>
      </c>
      <c r="CL21" s="1010">
        <v>4.666666666666667</v>
      </c>
      <c r="CM21" s="1010">
        <v>4.666666666666667</v>
      </c>
      <c r="CN21" s="1010">
        <v>4.666666666666667</v>
      </c>
      <c r="CO21" s="1010">
        <v>4.666666666666667</v>
      </c>
      <c r="CP21" s="1010">
        <v>4.666666666666667</v>
      </c>
      <c r="CQ21" s="1010">
        <v>4.666666666666667</v>
      </c>
      <c r="CR21" s="1010">
        <v>4.666666666666667</v>
      </c>
      <c r="CS21" s="1010">
        <v>4.666666666666667</v>
      </c>
      <c r="CT21" s="1010">
        <v>4.666666666666667</v>
      </c>
      <c r="CU21" s="1010">
        <v>4.666666666666667</v>
      </c>
      <c r="CV21" s="1010">
        <v>4.666666666666667</v>
      </c>
      <c r="CW21" s="1010">
        <v>4.666666666666667</v>
      </c>
      <c r="CX21" s="1010">
        <v>4.666666666666667</v>
      </c>
      <c r="CY21" s="1010">
        <v>4.666666666666667</v>
      </c>
      <c r="CZ21" s="1010">
        <v>4.666666666666667</v>
      </c>
      <c r="DA21" s="1010">
        <v>4.666666666666667</v>
      </c>
      <c r="DB21" s="1010">
        <v>4.666666666666667</v>
      </c>
      <c r="DC21" s="1010">
        <v>4.666666666666667</v>
      </c>
      <c r="DD21" s="1010">
        <v>4.666666666666667</v>
      </c>
      <c r="DE21" s="1010">
        <v>4.666666666666667</v>
      </c>
      <c r="DF21" s="1010">
        <v>4.666666666666667</v>
      </c>
      <c r="DG21" s="1010">
        <v>4.666666666666667</v>
      </c>
      <c r="DH21" s="1010">
        <v>4.666666666666667</v>
      </c>
      <c r="DI21" s="1010">
        <v>4.666666666666667</v>
      </c>
      <c r="DJ21" s="1010">
        <v>4.666666666666667</v>
      </c>
      <c r="DK21" s="1010">
        <v>4.666666666666667</v>
      </c>
      <c r="DL21" s="1010">
        <v>4.666666666666667</v>
      </c>
      <c r="DM21" s="1010">
        <v>4.666666666666667</v>
      </c>
      <c r="DN21" s="1010">
        <v>4.666666666666667</v>
      </c>
      <c r="DO21" s="1010">
        <v>4.666666666666667</v>
      </c>
      <c r="DP21" s="1010">
        <v>4.666666666666667</v>
      </c>
      <c r="DQ21" s="1010">
        <v>4.666666666666667</v>
      </c>
      <c r="DR21" s="1010">
        <v>4.666666666666667</v>
      </c>
      <c r="DS21" s="1010">
        <v>4.666666666666667</v>
      </c>
      <c r="DT21" s="1010">
        <v>4.666666666666667</v>
      </c>
      <c r="DU21" s="1010">
        <v>4.666666666666667</v>
      </c>
      <c r="DV21" s="1010">
        <v>4.666666666666667</v>
      </c>
      <c r="DW21" s="1010">
        <v>4.666666666666667</v>
      </c>
      <c r="DX21" s="1010">
        <v>4.666666666666667</v>
      </c>
      <c r="DY21" s="1010">
        <v>4.666666666666667</v>
      </c>
      <c r="DZ21" s="1010">
        <v>4.666666666666667</v>
      </c>
      <c r="EA21" s="1011">
        <v>0</v>
      </c>
      <c r="EB21" s="1011">
        <v>0</v>
      </c>
      <c r="EC21" s="1011">
        <v>0</v>
      </c>
      <c r="ED21" s="1011">
        <v>0</v>
      </c>
      <c r="EE21" s="1011">
        <v>0</v>
      </c>
      <c r="EF21" s="1011">
        <v>0</v>
      </c>
      <c r="EG21" s="1011">
        <v>0</v>
      </c>
      <c r="EH21" s="1011">
        <v>0</v>
      </c>
      <c r="EI21" s="1011">
        <v>0</v>
      </c>
      <c r="EJ21" s="1011">
        <v>0</v>
      </c>
      <c r="EK21" s="1011">
        <v>0</v>
      </c>
      <c r="EL21" s="1011">
        <v>0</v>
      </c>
    </row>
    <row r="22" spans="2:142" ht="13.5">
      <c r="B22" s="1000"/>
      <c r="C22" s="986"/>
      <c r="D22" s="881" t="s">
        <v>1586</v>
      </c>
      <c r="E22" s="1001"/>
      <c r="F22" s="1008"/>
      <c r="G22" s="986"/>
      <c r="H22" s="848">
        <f t="shared" si="4"/>
        <v>76.666666666666671</v>
      </c>
      <c r="I22" s="520"/>
      <c r="J22" s="2280"/>
      <c r="K22" s="1010">
        <v>0</v>
      </c>
      <c r="L22" s="1010">
        <v>0</v>
      </c>
      <c r="M22" s="1010">
        <v>0</v>
      </c>
      <c r="N22" s="1010">
        <v>0</v>
      </c>
      <c r="O22" s="1010">
        <v>0</v>
      </c>
      <c r="P22" s="1010">
        <v>0</v>
      </c>
      <c r="Q22" s="1010">
        <v>0</v>
      </c>
      <c r="R22" s="1010">
        <v>0</v>
      </c>
      <c r="S22" s="1010">
        <v>0</v>
      </c>
      <c r="T22" s="1010">
        <v>0</v>
      </c>
      <c r="U22" s="1010">
        <v>0</v>
      </c>
      <c r="V22" s="1010">
        <v>0</v>
      </c>
      <c r="W22" s="1010">
        <v>0</v>
      </c>
      <c r="X22" s="1010">
        <v>0</v>
      </c>
      <c r="Y22" s="1010">
        <v>0</v>
      </c>
      <c r="Z22" s="1010">
        <v>0</v>
      </c>
      <c r="AA22" s="1010">
        <v>0</v>
      </c>
      <c r="AB22" s="1010">
        <v>0</v>
      </c>
      <c r="AC22" s="1010">
        <v>0</v>
      </c>
      <c r="AD22" s="1010">
        <v>0</v>
      </c>
      <c r="AE22" s="1010">
        <v>0</v>
      </c>
      <c r="AF22" s="1010">
        <v>0</v>
      </c>
      <c r="AG22" s="1010">
        <v>0</v>
      </c>
      <c r="AH22" s="1010">
        <v>0</v>
      </c>
      <c r="AI22" s="1010">
        <v>0</v>
      </c>
      <c r="AJ22" s="1010">
        <v>0</v>
      </c>
      <c r="AK22" s="1010">
        <v>0</v>
      </c>
      <c r="AL22" s="1010">
        <v>0</v>
      </c>
      <c r="AM22" s="1010">
        <v>0.83333333333333337</v>
      </c>
      <c r="AN22" s="1010">
        <v>0.83333333333333337</v>
      </c>
      <c r="AO22" s="1010">
        <v>0.83333333333333337</v>
      </c>
      <c r="AP22" s="1010">
        <v>0.83333333333333337</v>
      </c>
      <c r="AQ22" s="1010">
        <v>0.83333333333333337</v>
      </c>
      <c r="AR22" s="1010">
        <v>0.83333333333333337</v>
      </c>
      <c r="AS22" s="1010">
        <v>0.83333333333333337</v>
      </c>
      <c r="AT22" s="1010">
        <v>0.83333333333333337</v>
      </c>
      <c r="AU22" s="1010">
        <v>0.83333333333333337</v>
      </c>
      <c r="AV22" s="1010">
        <v>0.83333333333333337</v>
      </c>
      <c r="AW22" s="1010">
        <v>0.83333333333333337</v>
      </c>
      <c r="AX22" s="1010">
        <v>0.83333333333333337</v>
      </c>
      <c r="AY22" s="1010">
        <v>0.83333333333333337</v>
      </c>
      <c r="AZ22" s="1010">
        <v>0.83333333333333337</v>
      </c>
      <c r="BA22" s="1010">
        <v>0.83333333333333337</v>
      </c>
      <c r="BB22" s="1010">
        <v>0.83333333333333337</v>
      </c>
      <c r="BC22" s="1010">
        <v>0.83333333333333337</v>
      </c>
      <c r="BD22" s="1010">
        <v>0.83333333333333337</v>
      </c>
      <c r="BE22" s="1010">
        <v>0.83333333333333337</v>
      </c>
      <c r="BF22" s="1010">
        <v>0.83333333333333337</v>
      </c>
      <c r="BG22" s="1010">
        <v>0.83333333333333337</v>
      </c>
      <c r="BH22" s="1010">
        <v>0.83333333333333337</v>
      </c>
      <c r="BI22" s="1010">
        <v>0.83333333333333337</v>
      </c>
      <c r="BJ22" s="1010">
        <v>0.83333333333333337</v>
      </c>
      <c r="BK22" s="1010">
        <v>0.83333333333333337</v>
      </c>
      <c r="BL22" s="1010">
        <v>0.83333333333333337</v>
      </c>
      <c r="BM22" s="1010">
        <v>0.83333333333333337</v>
      </c>
      <c r="BN22" s="1010">
        <v>0.83333333333333337</v>
      </c>
      <c r="BO22" s="1010">
        <v>0.83333333333333337</v>
      </c>
      <c r="BP22" s="1010">
        <v>0.83333333333333337</v>
      </c>
      <c r="BQ22" s="1010">
        <v>0.83333333333333337</v>
      </c>
      <c r="BR22" s="1010">
        <v>0.83333333333333337</v>
      </c>
      <c r="BS22" s="1010">
        <v>0.83333333333333337</v>
      </c>
      <c r="BT22" s="1010">
        <v>0.83333333333333337</v>
      </c>
      <c r="BU22" s="1010">
        <v>0.83333333333333337</v>
      </c>
      <c r="BV22" s="1010">
        <v>0.83333333333333337</v>
      </c>
      <c r="BW22" s="1010">
        <v>0.83333333333333337</v>
      </c>
      <c r="BX22" s="1010">
        <v>0.83333333333333337</v>
      </c>
      <c r="BY22" s="1010">
        <v>0.83333333333333337</v>
      </c>
      <c r="BZ22" s="1010">
        <v>0.83333333333333337</v>
      </c>
      <c r="CA22" s="1010">
        <v>0.83333333333333337</v>
      </c>
      <c r="CB22" s="1010">
        <v>0.83333333333333337</v>
      </c>
      <c r="CC22" s="1010">
        <v>0.83333333333333337</v>
      </c>
      <c r="CD22" s="1010">
        <v>0.83333333333333337</v>
      </c>
      <c r="CE22" s="1010">
        <v>0.83333333333333337</v>
      </c>
      <c r="CF22" s="1010">
        <v>0.83333333333333337</v>
      </c>
      <c r="CG22" s="1010">
        <v>0.83333333333333337</v>
      </c>
      <c r="CH22" s="1010">
        <v>0.83333333333333337</v>
      </c>
      <c r="CI22" s="1010">
        <v>0.83333333333333337</v>
      </c>
      <c r="CJ22" s="1010">
        <v>0.83333333333333337</v>
      </c>
      <c r="CK22" s="1010">
        <v>0.83333333333333337</v>
      </c>
      <c r="CL22" s="1010">
        <v>0.83333333333333337</v>
      </c>
      <c r="CM22" s="1010">
        <v>0.83333333333333337</v>
      </c>
      <c r="CN22" s="1010">
        <v>0.83333333333333337</v>
      </c>
      <c r="CO22" s="1010">
        <v>0.83333333333333337</v>
      </c>
      <c r="CP22" s="1010">
        <v>0.83333333333333337</v>
      </c>
      <c r="CQ22" s="1010">
        <v>0.83333333333333337</v>
      </c>
      <c r="CR22" s="1010">
        <v>0.83333333333333337</v>
      </c>
      <c r="CS22" s="1010">
        <v>0.83333333333333337</v>
      </c>
      <c r="CT22" s="1010">
        <v>0.83333333333333337</v>
      </c>
      <c r="CU22" s="1010">
        <v>0.83333333333333337</v>
      </c>
      <c r="CV22" s="1010">
        <v>0.83333333333333337</v>
      </c>
      <c r="CW22" s="1010">
        <v>0.83333333333333337</v>
      </c>
      <c r="CX22" s="1010">
        <v>0.83333333333333337</v>
      </c>
      <c r="CY22" s="1010">
        <v>0.83333333333333337</v>
      </c>
      <c r="CZ22" s="1010">
        <v>0.83333333333333337</v>
      </c>
      <c r="DA22" s="1010">
        <v>0.83333333333333337</v>
      </c>
      <c r="DB22" s="1010">
        <v>0.83333333333333337</v>
      </c>
      <c r="DC22" s="1010">
        <v>0.83333333333333337</v>
      </c>
      <c r="DD22" s="1010">
        <v>0.83333333333333337</v>
      </c>
      <c r="DE22" s="1010">
        <v>0.83333333333333337</v>
      </c>
      <c r="DF22" s="1010">
        <v>0.83333333333333337</v>
      </c>
      <c r="DG22" s="1010">
        <v>0.83333333333333337</v>
      </c>
      <c r="DH22" s="1010">
        <v>0.83333333333333337</v>
      </c>
      <c r="DI22" s="1010">
        <v>0.83333333333333337</v>
      </c>
      <c r="DJ22" s="1010">
        <v>0.83333333333333337</v>
      </c>
      <c r="DK22" s="1010">
        <v>0.83333333333333337</v>
      </c>
      <c r="DL22" s="1010">
        <v>0.83333333333333337</v>
      </c>
      <c r="DM22" s="1010">
        <v>0.83333333333333337</v>
      </c>
      <c r="DN22" s="1010">
        <v>0.83333333333333337</v>
      </c>
      <c r="DO22" s="1010">
        <v>0.83333333333333337</v>
      </c>
      <c r="DP22" s="1010">
        <v>0.83333333333333337</v>
      </c>
      <c r="DQ22" s="1010">
        <v>0.83333333333333337</v>
      </c>
      <c r="DR22" s="1010">
        <v>0.83333333333333337</v>
      </c>
      <c r="DS22" s="1010">
        <v>0.83333333333333337</v>
      </c>
      <c r="DT22" s="1010">
        <v>0.83333333333333337</v>
      </c>
      <c r="DU22" s="1010">
        <v>0.83333333333333337</v>
      </c>
      <c r="DV22" s="1010">
        <v>0.83333333333333337</v>
      </c>
      <c r="DW22" s="1010">
        <v>0.83333333333333337</v>
      </c>
      <c r="DX22" s="1010">
        <v>0.83333333333333337</v>
      </c>
      <c r="DY22" s="1010">
        <v>0.83333333333333337</v>
      </c>
      <c r="DZ22" s="1010">
        <v>0.83333333333333337</v>
      </c>
      <c r="EA22" s="1011">
        <v>0</v>
      </c>
      <c r="EB22" s="1011">
        <v>0</v>
      </c>
      <c r="EC22" s="1011">
        <v>0</v>
      </c>
      <c r="ED22" s="1011">
        <v>0</v>
      </c>
      <c r="EE22" s="1011">
        <v>0</v>
      </c>
      <c r="EF22" s="1011">
        <v>0</v>
      </c>
      <c r="EG22" s="1011">
        <v>0</v>
      </c>
      <c r="EH22" s="1011">
        <v>0</v>
      </c>
      <c r="EI22" s="1011">
        <v>0</v>
      </c>
      <c r="EJ22" s="1011">
        <v>0</v>
      </c>
      <c r="EK22" s="1011">
        <v>0</v>
      </c>
      <c r="EL22" s="1011">
        <v>0</v>
      </c>
    </row>
    <row r="23" spans="2:142" ht="13.5">
      <c r="B23" s="1000"/>
      <c r="C23" s="1001"/>
      <c r="D23" s="881" t="s">
        <v>793</v>
      </c>
      <c r="E23" s="1001"/>
      <c r="F23" s="1008"/>
      <c r="G23" s="986"/>
      <c r="H23" s="848">
        <f>SUM(J23:EL23)</f>
        <v>460</v>
      </c>
      <c r="I23" s="520"/>
      <c r="J23" s="2280"/>
      <c r="K23" s="848">
        <v>0</v>
      </c>
      <c r="L23" s="848">
        <v>0</v>
      </c>
      <c r="M23" s="848">
        <v>0</v>
      </c>
      <c r="N23" s="848">
        <v>0</v>
      </c>
      <c r="O23" s="848">
        <v>0</v>
      </c>
      <c r="P23" s="848">
        <v>0</v>
      </c>
      <c r="Q23" s="848">
        <v>0</v>
      </c>
      <c r="R23" s="848">
        <v>0</v>
      </c>
      <c r="S23" s="848">
        <v>0</v>
      </c>
      <c r="T23" s="848">
        <v>0</v>
      </c>
      <c r="U23" s="848">
        <v>0</v>
      </c>
      <c r="V23" s="848">
        <v>0</v>
      </c>
      <c r="W23" s="848">
        <v>0</v>
      </c>
      <c r="X23" s="848">
        <v>0</v>
      </c>
      <c r="Y23" s="848">
        <v>0</v>
      </c>
      <c r="Z23" s="848">
        <v>0</v>
      </c>
      <c r="AA23" s="848">
        <v>0</v>
      </c>
      <c r="AB23" s="848">
        <v>0</v>
      </c>
      <c r="AC23" s="848">
        <v>0</v>
      </c>
      <c r="AD23" s="848">
        <v>0</v>
      </c>
      <c r="AE23" s="848">
        <v>0</v>
      </c>
      <c r="AF23" s="848">
        <v>0</v>
      </c>
      <c r="AG23" s="848">
        <v>0</v>
      </c>
      <c r="AH23" s="848">
        <v>0</v>
      </c>
      <c r="AI23" s="848">
        <v>0</v>
      </c>
      <c r="AJ23" s="848">
        <v>0</v>
      </c>
      <c r="AK23" s="848">
        <v>0</v>
      </c>
      <c r="AL23" s="848">
        <v>0</v>
      </c>
      <c r="AM23" s="848">
        <v>5</v>
      </c>
      <c r="AN23" s="848">
        <v>5</v>
      </c>
      <c r="AO23" s="848">
        <v>5</v>
      </c>
      <c r="AP23" s="848">
        <v>5</v>
      </c>
      <c r="AQ23" s="848">
        <v>5</v>
      </c>
      <c r="AR23" s="848">
        <v>5</v>
      </c>
      <c r="AS23" s="848">
        <v>5</v>
      </c>
      <c r="AT23" s="848">
        <v>5</v>
      </c>
      <c r="AU23" s="848">
        <v>5</v>
      </c>
      <c r="AV23" s="848">
        <v>5</v>
      </c>
      <c r="AW23" s="848">
        <v>5</v>
      </c>
      <c r="AX23" s="848">
        <v>5</v>
      </c>
      <c r="AY23" s="848">
        <v>5</v>
      </c>
      <c r="AZ23" s="848">
        <v>5</v>
      </c>
      <c r="BA23" s="848">
        <v>5</v>
      </c>
      <c r="BB23" s="848">
        <v>5</v>
      </c>
      <c r="BC23" s="848">
        <v>5</v>
      </c>
      <c r="BD23" s="848">
        <v>5</v>
      </c>
      <c r="BE23" s="848">
        <v>5</v>
      </c>
      <c r="BF23" s="848">
        <v>5</v>
      </c>
      <c r="BG23" s="848">
        <v>5</v>
      </c>
      <c r="BH23" s="848">
        <v>5</v>
      </c>
      <c r="BI23" s="848">
        <v>5</v>
      </c>
      <c r="BJ23" s="848">
        <v>5</v>
      </c>
      <c r="BK23" s="848">
        <v>5</v>
      </c>
      <c r="BL23" s="848">
        <v>5</v>
      </c>
      <c r="BM23" s="848">
        <v>5</v>
      </c>
      <c r="BN23" s="848">
        <v>5</v>
      </c>
      <c r="BO23" s="848">
        <v>5</v>
      </c>
      <c r="BP23" s="848">
        <v>5</v>
      </c>
      <c r="BQ23" s="848">
        <v>5</v>
      </c>
      <c r="BR23" s="848">
        <v>5</v>
      </c>
      <c r="BS23" s="848">
        <v>5</v>
      </c>
      <c r="BT23" s="848">
        <v>5</v>
      </c>
      <c r="BU23" s="848">
        <v>5</v>
      </c>
      <c r="BV23" s="848">
        <v>5</v>
      </c>
      <c r="BW23" s="848">
        <v>5</v>
      </c>
      <c r="BX23" s="848">
        <v>5</v>
      </c>
      <c r="BY23" s="848">
        <v>5</v>
      </c>
      <c r="BZ23" s="848">
        <v>5</v>
      </c>
      <c r="CA23" s="848">
        <v>5</v>
      </c>
      <c r="CB23" s="848">
        <v>5</v>
      </c>
      <c r="CC23" s="848">
        <v>5</v>
      </c>
      <c r="CD23" s="848">
        <v>5</v>
      </c>
      <c r="CE23" s="848">
        <v>5</v>
      </c>
      <c r="CF23" s="848">
        <v>5</v>
      </c>
      <c r="CG23" s="848">
        <v>5</v>
      </c>
      <c r="CH23" s="848">
        <v>5</v>
      </c>
      <c r="CI23" s="848">
        <v>5</v>
      </c>
      <c r="CJ23" s="848">
        <v>5</v>
      </c>
      <c r="CK23" s="848">
        <v>5</v>
      </c>
      <c r="CL23" s="848">
        <v>5</v>
      </c>
      <c r="CM23" s="848">
        <v>5</v>
      </c>
      <c r="CN23" s="848">
        <v>5</v>
      </c>
      <c r="CO23" s="848">
        <v>5</v>
      </c>
      <c r="CP23" s="848">
        <v>5</v>
      </c>
      <c r="CQ23" s="848">
        <v>5</v>
      </c>
      <c r="CR23" s="848">
        <v>5</v>
      </c>
      <c r="CS23" s="848">
        <v>5</v>
      </c>
      <c r="CT23" s="848">
        <v>5</v>
      </c>
      <c r="CU23" s="848">
        <v>5</v>
      </c>
      <c r="CV23" s="848">
        <v>5</v>
      </c>
      <c r="CW23" s="848">
        <v>5</v>
      </c>
      <c r="CX23" s="848">
        <v>5</v>
      </c>
      <c r="CY23" s="848">
        <v>5</v>
      </c>
      <c r="CZ23" s="848">
        <v>5</v>
      </c>
      <c r="DA23" s="848">
        <v>5</v>
      </c>
      <c r="DB23" s="848">
        <v>5</v>
      </c>
      <c r="DC23" s="848">
        <v>5</v>
      </c>
      <c r="DD23" s="848">
        <v>5</v>
      </c>
      <c r="DE23" s="848">
        <v>5</v>
      </c>
      <c r="DF23" s="848">
        <v>5</v>
      </c>
      <c r="DG23" s="848">
        <v>5</v>
      </c>
      <c r="DH23" s="848">
        <v>5</v>
      </c>
      <c r="DI23" s="848">
        <v>5</v>
      </c>
      <c r="DJ23" s="848">
        <v>5</v>
      </c>
      <c r="DK23" s="848">
        <v>5</v>
      </c>
      <c r="DL23" s="848">
        <v>5</v>
      </c>
      <c r="DM23" s="848">
        <v>5</v>
      </c>
      <c r="DN23" s="848">
        <v>5</v>
      </c>
      <c r="DO23" s="848">
        <v>5</v>
      </c>
      <c r="DP23" s="848">
        <v>5</v>
      </c>
      <c r="DQ23" s="848">
        <v>5</v>
      </c>
      <c r="DR23" s="848">
        <v>5</v>
      </c>
      <c r="DS23" s="848">
        <v>5</v>
      </c>
      <c r="DT23" s="848">
        <v>5</v>
      </c>
      <c r="DU23" s="848">
        <v>5</v>
      </c>
      <c r="DV23" s="848">
        <v>5</v>
      </c>
      <c r="DW23" s="848">
        <v>5</v>
      </c>
      <c r="DX23" s="848">
        <v>5</v>
      </c>
      <c r="DY23" s="848">
        <v>5</v>
      </c>
      <c r="DZ23" s="848">
        <v>5</v>
      </c>
      <c r="EA23" s="960">
        <v>0</v>
      </c>
      <c r="EB23" s="960">
        <v>0</v>
      </c>
      <c r="EC23" s="960">
        <v>0</v>
      </c>
      <c r="ED23" s="960">
        <v>0</v>
      </c>
      <c r="EE23" s="960">
        <v>0</v>
      </c>
      <c r="EF23" s="960">
        <v>0</v>
      </c>
      <c r="EG23" s="960">
        <v>0</v>
      </c>
      <c r="EH23" s="960">
        <v>0</v>
      </c>
      <c r="EI23" s="960">
        <v>0</v>
      </c>
      <c r="EJ23" s="960">
        <v>0</v>
      </c>
      <c r="EK23" s="960">
        <v>0</v>
      </c>
      <c r="EL23" s="960">
        <v>0</v>
      </c>
    </row>
    <row r="24" spans="2:142" ht="13.5">
      <c r="B24" s="1000"/>
      <c r="C24" s="1001"/>
      <c r="D24" s="881" t="s">
        <v>794</v>
      </c>
      <c r="E24" s="1001"/>
      <c r="F24" s="1008"/>
      <c r="G24" s="986"/>
      <c r="H24" s="848">
        <f>SUM(J24:EL24)</f>
        <v>153.33333333333334</v>
      </c>
      <c r="I24" s="520"/>
      <c r="J24" s="2280"/>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1.6666666666666667</v>
      </c>
      <c r="AN24" s="848">
        <v>1.6666666666666667</v>
      </c>
      <c r="AO24" s="848">
        <v>1.6666666666666667</v>
      </c>
      <c r="AP24" s="848">
        <v>1.6666666666666667</v>
      </c>
      <c r="AQ24" s="848">
        <v>1.6666666666666667</v>
      </c>
      <c r="AR24" s="848">
        <v>1.6666666666666667</v>
      </c>
      <c r="AS24" s="848">
        <v>1.6666666666666667</v>
      </c>
      <c r="AT24" s="848">
        <v>1.6666666666666667</v>
      </c>
      <c r="AU24" s="848">
        <v>1.6666666666666667</v>
      </c>
      <c r="AV24" s="848">
        <v>1.6666666666666667</v>
      </c>
      <c r="AW24" s="848">
        <v>1.6666666666666667</v>
      </c>
      <c r="AX24" s="848">
        <v>1.6666666666666667</v>
      </c>
      <c r="AY24" s="848">
        <v>1.6666666666666667</v>
      </c>
      <c r="AZ24" s="848">
        <v>1.6666666666666667</v>
      </c>
      <c r="BA24" s="848">
        <v>1.6666666666666667</v>
      </c>
      <c r="BB24" s="848">
        <v>1.6666666666666667</v>
      </c>
      <c r="BC24" s="848">
        <v>1.6666666666666667</v>
      </c>
      <c r="BD24" s="848">
        <v>1.6666666666666667</v>
      </c>
      <c r="BE24" s="848">
        <v>1.6666666666666667</v>
      </c>
      <c r="BF24" s="848">
        <v>1.6666666666666667</v>
      </c>
      <c r="BG24" s="848">
        <v>1.6666666666666667</v>
      </c>
      <c r="BH24" s="848">
        <v>1.6666666666666667</v>
      </c>
      <c r="BI24" s="848">
        <v>1.6666666666666667</v>
      </c>
      <c r="BJ24" s="848">
        <v>1.6666666666666667</v>
      </c>
      <c r="BK24" s="848">
        <v>1.6666666666666667</v>
      </c>
      <c r="BL24" s="848">
        <v>1.6666666666666667</v>
      </c>
      <c r="BM24" s="848">
        <v>1.6666666666666667</v>
      </c>
      <c r="BN24" s="848">
        <v>1.6666666666666667</v>
      </c>
      <c r="BO24" s="848">
        <v>1.6666666666666667</v>
      </c>
      <c r="BP24" s="848">
        <v>1.6666666666666667</v>
      </c>
      <c r="BQ24" s="848">
        <v>1.6666666666666667</v>
      </c>
      <c r="BR24" s="848">
        <v>1.6666666666666667</v>
      </c>
      <c r="BS24" s="848">
        <v>1.6666666666666667</v>
      </c>
      <c r="BT24" s="848">
        <v>1.6666666666666667</v>
      </c>
      <c r="BU24" s="848">
        <v>1.6666666666666667</v>
      </c>
      <c r="BV24" s="848">
        <v>1.6666666666666667</v>
      </c>
      <c r="BW24" s="848">
        <v>1.6666666666666667</v>
      </c>
      <c r="BX24" s="848">
        <v>1.6666666666666667</v>
      </c>
      <c r="BY24" s="848">
        <v>1.6666666666666667</v>
      </c>
      <c r="BZ24" s="848">
        <v>1.6666666666666667</v>
      </c>
      <c r="CA24" s="848">
        <v>1.6666666666666667</v>
      </c>
      <c r="CB24" s="848">
        <v>1.6666666666666667</v>
      </c>
      <c r="CC24" s="848">
        <v>1.6666666666666667</v>
      </c>
      <c r="CD24" s="848">
        <v>1.6666666666666667</v>
      </c>
      <c r="CE24" s="848">
        <v>1.6666666666666667</v>
      </c>
      <c r="CF24" s="848">
        <v>1.6666666666666667</v>
      </c>
      <c r="CG24" s="848">
        <v>1.6666666666666667</v>
      </c>
      <c r="CH24" s="848">
        <v>1.6666666666666667</v>
      </c>
      <c r="CI24" s="848">
        <v>1.6666666666666667</v>
      </c>
      <c r="CJ24" s="848">
        <v>1.6666666666666667</v>
      </c>
      <c r="CK24" s="848">
        <v>1.6666666666666667</v>
      </c>
      <c r="CL24" s="848">
        <v>1.6666666666666667</v>
      </c>
      <c r="CM24" s="848">
        <v>1.6666666666666667</v>
      </c>
      <c r="CN24" s="848">
        <v>1.6666666666666667</v>
      </c>
      <c r="CO24" s="848">
        <v>1.6666666666666667</v>
      </c>
      <c r="CP24" s="848">
        <v>1.6666666666666667</v>
      </c>
      <c r="CQ24" s="848">
        <v>1.6666666666666667</v>
      </c>
      <c r="CR24" s="848">
        <v>1.6666666666666667</v>
      </c>
      <c r="CS24" s="848">
        <v>1.6666666666666667</v>
      </c>
      <c r="CT24" s="848">
        <v>1.6666666666666667</v>
      </c>
      <c r="CU24" s="848">
        <v>1.6666666666666667</v>
      </c>
      <c r="CV24" s="848">
        <v>1.6666666666666667</v>
      </c>
      <c r="CW24" s="848">
        <v>1.6666666666666667</v>
      </c>
      <c r="CX24" s="848">
        <v>1.6666666666666667</v>
      </c>
      <c r="CY24" s="848">
        <v>1.6666666666666667</v>
      </c>
      <c r="CZ24" s="848">
        <v>1.6666666666666667</v>
      </c>
      <c r="DA24" s="848">
        <v>1.6666666666666667</v>
      </c>
      <c r="DB24" s="848">
        <v>1.6666666666666667</v>
      </c>
      <c r="DC24" s="848">
        <v>1.6666666666666667</v>
      </c>
      <c r="DD24" s="848">
        <v>1.6666666666666667</v>
      </c>
      <c r="DE24" s="848">
        <v>1.6666666666666667</v>
      </c>
      <c r="DF24" s="848">
        <v>1.6666666666666667</v>
      </c>
      <c r="DG24" s="848">
        <v>1.6666666666666667</v>
      </c>
      <c r="DH24" s="848">
        <v>1.6666666666666667</v>
      </c>
      <c r="DI24" s="848">
        <v>1.6666666666666667</v>
      </c>
      <c r="DJ24" s="848">
        <v>1.6666666666666667</v>
      </c>
      <c r="DK24" s="848">
        <v>1.6666666666666667</v>
      </c>
      <c r="DL24" s="848">
        <v>1.6666666666666667</v>
      </c>
      <c r="DM24" s="848">
        <v>1.6666666666666667</v>
      </c>
      <c r="DN24" s="848">
        <v>1.6666666666666667</v>
      </c>
      <c r="DO24" s="848">
        <v>1.6666666666666667</v>
      </c>
      <c r="DP24" s="848">
        <v>1.6666666666666667</v>
      </c>
      <c r="DQ24" s="848">
        <v>1.6666666666666667</v>
      </c>
      <c r="DR24" s="848">
        <v>1.6666666666666667</v>
      </c>
      <c r="DS24" s="848">
        <v>1.6666666666666667</v>
      </c>
      <c r="DT24" s="848">
        <v>1.6666666666666667</v>
      </c>
      <c r="DU24" s="848">
        <v>1.6666666666666667</v>
      </c>
      <c r="DV24" s="848">
        <v>1.6666666666666667</v>
      </c>
      <c r="DW24" s="848">
        <v>1.6666666666666667</v>
      </c>
      <c r="DX24" s="848">
        <v>1.6666666666666667</v>
      </c>
      <c r="DY24" s="848">
        <v>1.6666666666666667</v>
      </c>
      <c r="DZ24" s="848">
        <v>1.6666666666666667</v>
      </c>
      <c r="EA24" s="960">
        <v>0</v>
      </c>
      <c r="EB24" s="960">
        <v>0</v>
      </c>
      <c r="EC24" s="960">
        <v>0</v>
      </c>
      <c r="ED24" s="960">
        <v>0</v>
      </c>
      <c r="EE24" s="960">
        <v>0</v>
      </c>
      <c r="EF24" s="960">
        <v>0</v>
      </c>
      <c r="EG24" s="960">
        <v>0</v>
      </c>
      <c r="EH24" s="960">
        <v>0</v>
      </c>
      <c r="EI24" s="960">
        <v>0</v>
      </c>
      <c r="EJ24" s="960">
        <v>0</v>
      </c>
      <c r="EK24" s="960">
        <v>0</v>
      </c>
      <c r="EL24" s="960">
        <v>0</v>
      </c>
    </row>
    <row r="25" spans="2:142" ht="13.5">
      <c r="B25" s="1000"/>
      <c r="C25" s="986"/>
      <c r="D25" s="881" t="s">
        <v>783</v>
      </c>
      <c r="E25" s="1001"/>
      <c r="F25" s="1008"/>
      <c r="G25" s="986"/>
      <c r="H25" s="848">
        <f t="shared" si="4"/>
        <v>3965.2270186638279</v>
      </c>
      <c r="I25" s="520"/>
      <c r="J25" s="2280"/>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39.621109059954293</v>
      </c>
      <c r="AN25" s="848">
        <v>39.621109059954293</v>
      </c>
      <c r="AO25" s="848">
        <v>39.621109059954293</v>
      </c>
      <c r="AP25" s="848">
        <v>39.621109059954293</v>
      </c>
      <c r="AQ25" s="848">
        <v>39.621109059954293</v>
      </c>
      <c r="AR25" s="848">
        <v>39.621109059954293</v>
      </c>
      <c r="AS25" s="848">
        <v>39.621109059954293</v>
      </c>
      <c r="AT25" s="848">
        <v>39.621109059954293</v>
      </c>
      <c r="AU25" s="848">
        <v>39.621109059954293</v>
      </c>
      <c r="AV25" s="848">
        <v>39.621109059954293</v>
      </c>
      <c r="AW25" s="848">
        <v>39.621109059954293</v>
      </c>
      <c r="AX25" s="848">
        <v>39.621109059954293</v>
      </c>
      <c r="AY25" s="848">
        <v>40.611636786453147</v>
      </c>
      <c r="AZ25" s="848">
        <v>40.611636786453147</v>
      </c>
      <c r="BA25" s="848">
        <v>40.611636786453147</v>
      </c>
      <c r="BB25" s="848">
        <v>40.611636786453147</v>
      </c>
      <c r="BC25" s="848">
        <v>40.611636786453147</v>
      </c>
      <c r="BD25" s="848">
        <v>40.611636786453147</v>
      </c>
      <c r="BE25" s="848">
        <v>40.611636786453147</v>
      </c>
      <c r="BF25" s="848">
        <v>40.611636786453147</v>
      </c>
      <c r="BG25" s="848">
        <v>40.611636786453147</v>
      </c>
      <c r="BH25" s="848">
        <v>40.611636786453147</v>
      </c>
      <c r="BI25" s="848">
        <v>40.611636786453147</v>
      </c>
      <c r="BJ25" s="848">
        <v>40.611636786453147</v>
      </c>
      <c r="BK25" s="848">
        <v>41.626927706114479</v>
      </c>
      <c r="BL25" s="848">
        <v>41.626927706114479</v>
      </c>
      <c r="BM25" s="848">
        <v>41.626927706114479</v>
      </c>
      <c r="BN25" s="848">
        <v>41.626927706114479</v>
      </c>
      <c r="BO25" s="848">
        <v>41.626927706114479</v>
      </c>
      <c r="BP25" s="848">
        <v>41.626927706114479</v>
      </c>
      <c r="BQ25" s="848">
        <v>41.626927706114479</v>
      </c>
      <c r="BR25" s="848">
        <v>41.626927706114479</v>
      </c>
      <c r="BS25" s="848">
        <v>41.626927706114479</v>
      </c>
      <c r="BT25" s="848">
        <v>41.626927706114479</v>
      </c>
      <c r="BU25" s="848">
        <v>41.626927706114479</v>
      </c>
      <c r="BV25" s="848">
        <v>41.626927706114479</v>
      </c>
      <c r="BW25" s="848">
        <v>42.667600898767333</v>
      </c>
      <c r="BX25" s="848">
        <v>42.667600898767333</v>
      </c>
      <c r="BY25" s="848">
        <v>42.667600898767333</v>
      </c>
      <c r="BZ25" s="848">
        <v>42.667600898767333</v>
      </c>
      <c r="CA25" s="848">
        <v>42.667600898767333</v>
      </c>
      <c r="CB25" s="848">
        <v>42.667600898767333</v>
      </c>
      <c r="CC25" s="848">
        <v>42.667600898767333</v>
      </c>
      <c r="CD25" s="848">
        <v>42.667600898767333</v>
      </c>
      <c r="CE25" s="848">
        <v>42.667600898767333</v>
      </c>
      <c r="CF25" s="848">
        <v>42.667600898767333</v>
      </c>
      <c r="CG25" s="848">
        <v>42.667600898767333</v>
      </c>
      <c r="CH25" s="848">
        <v>42.667600898767333</v>
      </c>
      <c r="CI25" s="848">
        <v>43.734290921236514</v>
      </c>
      <c r="CJ25" s="848">
        <v>43.734290921236514</v>
      </c>
      <c r="CK25" s="848">
        <v>43.734290921236514</v>
      </c>
      <c r="CL25" s="848">
        <v>43.734290921236514</v>
      </c>
      <c r="CM25" s="848">
        <v>43.734290921236514</v>
      </c>
      <c r="CN25" s="848">
        <v>43.734290921236514</v>
      </c>
      <c r="CO25" s="848">
        <v>43.734290921236514</v>
      </c>
      <c r="CP25" s="848">
        <v>43.734290921236514</v>
      </c>
      <c r="CQ25" s="848">
        <v>43.734290921236514</v>
      </c>
      <c r="CR25" s="848">
        <v>43.734290921236514</v>
      </c>
      <c r="CS25" s="848">
        <v>43.734290921236514</v>
      </c>
      <c r="CT25" s="848">
        <v>43.734290921236514</v>
      </c>
      <c r="CU25" s="848">
        <v>44.827648194267425</v>
      </c>
      <c r="CV25" s="848">
        <v>44.827648194267425</v>
      </c>
      <c r="CW25" s="848">
        <v>44.827648194267425</v>
      </c>
      <c r="CX25" s="848">
        <v>44.827648194267425</v>
      </c>
      <c r="CY25" s="848">
        <v>44.827648194267425</v>
      </c>
      <c r="CZ25" s="848">
        <v>44.827648194267425</v>
      </c>
      <c r="DA25" s="848">
        <v>44.827648194267425</v>
      </c>
      <c r="DB25" s="848">
        <v>44.827648194267425</v>
      </c>
      <c r="DC25" s="848">
        <v>44.827648194267425</v>
      </c>
      <c r="DD25" s="848">
        <v>44.827648194267425</v>
      </c>
      <c r="DE25" s="848">
        <v>44.827648194267425</v>
      </c>
      <c r="DF25" s="848">
        <v>44.827648194267425</v>
      </c>
      <c r="DG25" s="848">
        <v>45.948339399124109</v>
      </c>
      <c r="DH25" s="848">
        <v>45.948339399124109</v>
      </c>
      <c r="DI25" s="848">
        <v>45.948339399124109</v>
      </c>
      <c r="DJ25" s="848">
        <v>45.948339399124109</v>
      </c>
      <c r="DK25" s="848">
        <v>45.948339399124109</v>
      </c>
      <c r="DL25" s="848">
        <v>45.948339399124109</v>
      </c>
      <c r="DM25" s="848">
        <v>45.948339399124109</v>
      </c>
      <c r="DN25" s="848">
        <v>45.948339399124109</v>
      </c>
      <c r="DO25" s="848">
        <v>45.948339399124109</v>
      </c>
      <c r="DP25" s="848">
        <v>45.948339399124109</v>
      </c>
      <c r="DQ25" s="848">
        <v>45.948339399124109</v>
      </c>
      <c r="DR25" s="848">
        <v>45.948339399124109</v>
      </c>
      <c r="DS25" s="848">
        <v>47.09704788410221</v>
      </c>
      <c r="DT25" s="848">
        <v>47.09704788410221</v>
      </c>
      <c r="DU25" s="848">
        <v>47.09704788410221</v>
      </c>
      <c r="DV25" s="848">
        <v>47.09704788410221</v>
      </c>
      <c r="DW25" s="848">
        <v>47.09704788410221</v>
      </c>
      <c r="DX25" s="848">
        <v>47.09704788410221</v>
      </c>
      <c r="DY25" s="848">
        <v>47.09704788410221</v>
      </c>
      <c r="DZ25" s="848">
        <v>47.09704788410221</v>
      </c>
      <c r="EA25" s="960">
        <v>0</v>
      </c>
      <c r="EB25" s="960">
        <v>0</v>
      </c>
      <c r="EC25" s="960">
        <v>0</v>
      </c>
      <c r="ED25" s="960">
        <v>0</v>
      </c>
      <c r="EE25" s="960">
        <v>0</v>
      </c>
      <c r="EF25" s="960">
        <v>0</v>
      </c>
      <c r="EG25" s="960">
        <v>0</v>
      </c>
      <c r="EH25" s="960">
        <v>0</v>
      </c>
      <c r="EI25" s="960">
        <v>0</v>
      </c>
      <c r="EJ25" s="960">
        <v>0</v>
      </c>
      <c r="EK25" s="960">
        <v>0</v>
      </c>
      <c r="EL25" s="960">
        <v>0</v>
      </c>
    </row>
    <row r="26" spans="2:142" ht="13.5">
      <c r="B26" s="1000"/>
      <c r="C26" s="986"/>
      <c r="D26" s="881" t="s">
        <v>784</v>
      </c>
      <c r="E26" s="1001"/>
      <c r="F26" s="1008"/>
      <c r="G26" s="986"/>
      <c r="H26" s="848">
        <f t="shared" si="4"/>
        <v>20185.23342502426</v>
      </c>
      <c r="I26" s="520"/>
      <c r="J26" s="2280"/>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201.69370660724996</v>
      </c>
      <c r="AN26" s="848">
        <v>201.69370660724996</v>
      </c>
      <c r="AO26" s="848">
        <v>201.69370660724996</v>
      </c>
      <c r="AP26" s="848">
        <v>201.69370660724996</v>
      </c>
      <c r="AQ26" s="848">
        <v>201.69370660724996</v>
      </c>
      <c r="AR26" s="848">
        <v>201.69370660724996</v>
      </c>
      <c r="AS26" s="848">
        <v>201.69370660724996</v>
      </c>
      <c r="AT26" s="848">
        <v>201.69370660724996</v>
      </c>
      <c r="AU26" s="848">
        <v>201.69370660724996</v>
      </c>
      <c r="AV26" s="848">
        <v>201.69370660724996</v>
      </c>
      <c r="AW26" s="848">
        <v>201.69370660724996</v>
      </c>
      <c r="AX26" s="848">
        <v>201.69370660724996</v>
      </c>
      <c r="AY26" s="848">
        <v>206.73604927243119</v>
      </c>
      <c r="AZ26" s="848">
        <v>206.73604927243119</v>
      </c>
      <c r="BA26" s="848">
        <v>206.73604927243119</v>
      </c>
      <c r="BB26" s="848">
        <v>206.73604927243119</v>
      </c>
      <c r="BC26" s="848">
        <v>206.73604927243119</v>
      </c>
      <c r="BD26" s="848">
        <v>206.73604927243119</v>
      </c>
      <c r="BE26" s="848">
        <v>206.73604927243119</v>
      </c>
      <c r="BF26" s="848">
        <v>206.73604927243119</v>
      </c>
      <c r="BG26" s="848">
        <v>206.73604927243119</v>
      </c>
      <c r="BH26" s="848">
        <v>206.73604927243119</v>
      </c>
      <c r="BI26" s="848">
        <v>206.73604927243119</v>
      </c>
      <c r="BJ26" s="848">
        <v>206.73604927243119</v>
      </c>
      <c r="BK26" s="848">
        <v>211.90445050424196</v>
      </c>
      <c r="BL26" s="848">
        <v>211.90445050424196</v>
      </c>
      <c r="BM26" s="848">
        <v>211.90445050424196</v>
      </c>
      <c r="BN26" s="848">
        <v>211.90445050424196</v>
      </c>
      <c r="BO26" s="848">
        <v>211.90445050424196</v>
      </c>
      <c r="BP26" s="848">
        <v>211.90445050424196</v>
      </c>
      <c r="BQ26" s="848">
        <v>211.90445050424196</v>
      </c>
      <c r="BR26" s="848">
        <v>211.90445050424196</v>
      </c>
      <c r="BS26" s="848">
        <v>211.90445050424196</v>
      </c>
      <c r="BT26" s="848">
        <v>211.90445050424196</v>
      </c>
      <c r="BU26" s="848">
        <v>211.90445050424196</v>
      </c>
      <c r="BV26" s="848">
        <v>211.90445050424196</v>
      </c>
      <c r="BW26" s="848">
        <v>217.20206176684803</v>
      </c>
      <c r="BX26" s="848">
        <v>217.20206176684803</v>
      </c>
      <c r="BY26" s="848">
        <v>217.20206176684803</v>
      </c>
      <c r="BZ26" s="848">
        <v>217.20206176684803</v>
      </c>
      <c r="CA26" s="848">
        <v>217.20206176684803</v>
      </c>
      <c r="CB26" s="848">
        <v>217.20206176684803</v>
      </c>
      <c r="CC26" s="848">
        <v>217.20206176684803</v>
      </c>
      <c r="CD26" s="848">
        <v>217.20206176684803</v>
      </c>
      <c r="CE26" s="848">
        <v>217.20206176684803</v>
      </c>
      <c r="CF26" s="848">
        <v>217.20206176684803</v>
      </c>
      <c r="CG26" s="848">
        <v>217.20206176684803</v>
      </c>
      <c r="CH26" s="848">
        <v>217.20206176684803</v>
      </c>
      <c r="CI26" s="848">
        <v>222.6321133110192</v>
      </c>
      <c r="CJ26" s="848">
        <v>222.6321133110192</v>
      </c>
      <c r="CK26" s="848">
        <v>222.6321133110192</v>
      </c>
      <c r="CL26" s="848">
        <v>222.6321133110192</v>
      </c>
      <c r="CM26" s="848">
        <v>222.6321133110192</v>
      </c>
      <c r="CN26" s="848">
        <v>222.6321133110192</v>
      </c>
      <c r="CO26" s="848">
        <v>222.6321133110192</v>
      </c>
      <c r="CP26" s="848">
        <v>222.6321133110192</v>
      </c>
      <c r="CQ26" s="848">
        <v>222.6321133110192</v>
      </c>
      <c r="CR26" s="848">
        <v>222.6321133110192</v>
      </c>
      <c r="CS26" s="848">
        <v>222.6321133110192</v>
      </c>
      <c r="CT26" s="848">
        <v>222.6321133110192</v>
      </c>
      <c r="CU26" s="848">
        <v>228.19791614379466</v>
      </c>
      <c r="CV26" s="848">
        <v>228.19791614379466</v>
      </c>
      <c r="CW26" s="848">
        <v>228.19791614379466</v>
      </c>
      <c r="CX26" s="848">
        <v>228.19791614379466</v>
      </c>
      <c r="CY26" s="848">
        <v>228.19791614379466</v>
      </c>
      <c r="CZ26" s="848">
        <v>228.19791614379466</v>
      </c>
      <c r="DA26" s="848">
        <v>228.19791614379466</v>
      </c>
      <c r="DB26" s="848">
        <v>228.19791614379466</v>
      </c>
      <c r="DC26" s="848">
        <v>228.19791614379466</v>
      </c>
      <c r="DD26" s="848">
        <v>228.19791614379466</v>
      </c>
      <c r="DE26" s="848">
        <v>228.19791614379466</v>
      </c>
      <c r="DF26" s="848">
        <v>228.19791614379466</v>
      </c>
      <c r="DG26" s="848">
        <v>233.9028640473895</v>
      </c>
      <c r="DH26" s="848">
        <v>233.9028640473895</v>
      </c>
      <c r="DI26" s="848">
        <v>233.9028640473895</v>
      </c>
      <c r="DJ26" s="848">
        <v>233.9028640473895</v>
      </c>
      <c r="DK26" s="848">
        <v>233.9028640473895</v>
      </c>
      <c r="DL26" s="848">
        <v>233.9028640473895</v>
      </c>
      <c r="DM26" s="848">
        <v>233.9028640473895</v>
      </c>
      <c r="DN26" s="848">
        <v>233.9028640473895</v>
      </c>
      <c r="DO26" s="848">
        <v>233.9028640473895</v>
      </c>
      <c r="DP26" s="848">
        <v>233.9028640473895</v>
      </c>
      <c r="DQ26" s="848">
        <v>233.9028640473895</v>
      </c>
      <c r="DR26" s="848">
        <v>233.9028640473895</v>
      </c>
      <c r="DS26" s="848">
        <v>239.75043564857427</v>
      </c>
      <c r="DT26" s="848">
        <v>239.75043564857427</v>
      </c>
      <c r="DU26" s="848">
        <v>239.75043564857427</v>
      </c>
      <c r="DV26" s="848">
        <v>239.75043564857427</v>
      </c>
      <c r="DW26" s="848">
        <v>239.75043564857427</v>
      </c>
      <c r="DX26" s="848">
        <v>239.75043564857427</v>
      </c>
      <c r="DY26" s="848">
        <v>239.75043564857427</v>
      </c>
      <c r="DZ26" s="848">
        <v>239.75043564857427</v>
      </c>
      <c r="EA26" s="960">
        <v>0</v>
      </c>
      <c r="EB26" s="960">
        <v>0</v>
      </c>
      <c r="EC26" s="960">
        <v>0</v>
      </c>
      <c r="ED26" s="960">
        <v>0</v>
      </c>
      <c r="EE26" s="960">
        <v>0</v>
      </c>
      <c r="EF26" s="960">
        <v>0</v>
      </c>
      <c r="EG26" s="960">
        <v>0</v>
      </c>
      <c r="EH26" s="960">
        <v>0</v>
      </c>
      <c r="EI26" s="960">
        <v>0</v>
      </c>
      <c r="EJ26" s="960">
        <v>0</v>
      </c>
      <c r="EK26" s="960">
        <v>0</v>
      </c>
      <c r="EL26" s="960">
        <v>0</v>
      </c>
    </row>
    <row r="27" spans="2:142" ht="13.5">
      <c r="B27" s="1000"/>
      <c r="C27" s="986"/>
      <c r="D27" s="881" t="s">
        <v>381</v>
      </c>
      <c r="E27" s="1001"/>
      <c r="F27" s="1008"/>
      <c r="G27" s="986"/>
      <c r="H27" s="848">
        <f t="shared" si="4"/>
        <v>14954.834298747683</v>
      </c>
      <c r="I27" s="520"/>
      <c r="J27" s="2280"/>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151.97865504249998</v>
      </c>
      <c r="AN27" s="848">
        <v>151.97865504249998</v>
      </c>
      <c r="AO27" s="848">
        <v>151.97865504249998</v>
      </c>
      <c r="AP27" s="848">
        <v>151.97865504249998</v>
      </c>
      <c r="AQ27" s="848">
        <v>151.97865504249998</v>
      </c>
      <c r="AR27" s="848">
        <v>151.97865504249998</v>
      </c>
      <c r="AS27" s="848">
        <v>151.97865504249998</v>
      </c>
      <c r="AT27" s="848">
        <v>151.97865504249998</v>
      </c>
      <c r="AU27" s="848">
        <v>151.97865504249998</v>
      </c>
      <c r="AV27" s="848">
        <v>151.97865504249998</v>
      </c>
      <c r="AW27" s="848">
        <v>151.97865504249998</v>
      </c>
      <c r="AX27" s="848">
        <v>151.97865504249998</v>
      </c>
      <c r="AY27" s="848">
        <v>155.01822814334997</v>
      </c>
      <c r="AZ27" s="848">
        <v>155.01822814334997</v>
      </c>
      <c r="BA27" s="848">
        <v>155.01822814334997</v>
      </c>
      <c r="BB27" s="848">
        <v>155.01822814334997</v>
      </c>
      <c r="BC27" s="848">
        <v>155.01822814334997</v>
      </c>
      <c r="BD27" s="848">
        <v>155.01822814334997</v>
      </c>
      <c r="BE27" s="848">
        <v>155.01822814334997</v>
      </c>
      <c r="BF27" s="848">
        <v>155.01822814334997</v>
      </c>
      <c r="BG27" s="848">
        <v>155.01822814334997</v>
      </c>
      <c r="BH27" s="848">
        <v>155.01822814334997</v>
      </c>
      <c r="BI27" s="848">
        <v>155.01822814334997</v>
      </c>
      <c r="BJ27" s="848">
        <v>155.01822814334997</v>
      </c>
      <c r="BK27" s="848">
        <v>158.11859270621699</v>
      </c>
      <c r="BL27" s="848">
        <v>158.11859270621699</v>
      </c>
      <c r="BM27" s="848">
        <v>158.11859270621699</v>
      </c>
      <c r="BN27" s="848">
        <v>158.11859270621699</v>
      </c>
      <c r="BO27" s="848">
        <v>158.11859270621699</v>
      </c>
      <c r="BP27" s="848">
        <v>158.11859270621699</v>
      </c>
      <c r="BQ27" s="848">
        <v>158.11859270621699</v>
      </c>
      <c r="BR27" s="848">
        <v>158.11859270621699</v>
      </c>
      <c r="BS27" s="848">
        <v>158.11859270621699</v>
      </c>
      <c r="BT27" s="848">
        <v>158.11859270621699</v>
      </c>
      <c r="BU27" s="848">
        <v>158.11859270621699</v>
      </c>
      <c r="BV27" s="848">
        <v>158.11859270621699</v>
      </c>
      <c r="BW27" s="848">
        <v>161.28096456034132</v>
      </c>
      <c r="BX27" s="848">
        <v>161.28096456034132</v>
      </c>
      <c r="BY27" s="848">
        <v>161.28096456034132</v>
      </c>
      <c r="BZ27" s="848">
        <v>161.28096456034132</v>
      </c>
      <c r="CA27" s="848">
        <v>161.28096456034132</v>
      </c>
      <c r="CB27" s="848">
        <v>161.28096456034132</v>
      </c>
      <c r="CC27" s="848">
        <v>161.28096456034132</v>
      </c>
      <c r="CD27" s="848">
        <v>161.28096456034132</v>
      </c>
      <c r="CE27" s="848">
        <v>161.28096456034132</v>
      </c>
      <c r="CF27" s="848">
        <v>161.28096456034132</v>
      </c>
      <c r="CG27" s="848">
        <v>161.28096456034132</v>
      </c>
      <c r="CH27" s="848">
        <v>161.28096456034132</v>
      </c>
      <c r="CI27" s="848">
        <v>164.50658385154813</v>
      </c>
      <c r="CJ27" s="848">
        <v>164.50658385154813</v>
      </c>
      <c r="CK27" s="848">
        <v>164.50658385154813</v>
      </c>
      <c r="CL27" s="848">
        <v>164.50658385154813</v>
      </c>
      <c r="CM27" s="848">
        <v>164.50658385154813</v>
      </c>
      <c r="CN27" s="848">
        <v>164.50658385154813</v>
      </c>
      <c r="CO27" s="848">
        <v>164.50658385154813</v>
      </c>
      <c r="CP27" s="848">
        <v>164.50658385154813</v>
      </c>
      <c r="CQ27" s="848">
        <v>164.50658385154813</v>
      </c>
      <c r="CR27" s="848">
        <v>164.50658385154813</v>
      </c>
      <c r="CS27" s="848">
        <v>164.50658385154813</v>
      </c>
      <c r="CT27" s="848">
        <v>164.50658385154813</v>
      </c>
      <c r="CU27" s="848">
        <v>167.79671552857911</v>
      </c>
      <c r="CV27" s="848">
        <v>167.79671552857911</v>
      </c>
      <c r="CW27" s="848">
        <v>167.79671552857911</v>
      </c>
      <c r="CX27" s="848">
        <v>167.79671552857911</v>
      </c>
      <c r="CY27" s="848">
        <v>167.79671552857911</v>
      </c>
      <c r="CZ27" s="848">
        <v>167.79671552857911</v>
      </c>
      <c r="DA27" s="848">
        <v>167.79671552857911</v>
      </c>
      <c r="DB27" s="848">
        <v>167.79671552857911</v>
      </c>
      <c r="DC27" s="848">
        <v>167.79671552857911</v>
      </c>
      <c r="DD27" s="848">
        <v>167.79671552857911</v>
      </c>
      <c r="DE27" s="848">
        <v>167.79671552857911</v>
      </c>
      <c r="DF27" s="848">
        <v>167.79671552857911</v>
      </c>
      <c r="DG27" s="848">
        <v>171.15264983915071</v>
      </c>
      <c r="DH27" s="848">
        <v>171.15264983915071</v>
      </c>
      <c r="DI27" s="848">
        <v>171.15264983915071</v>
      </c>
      <c r="DJ27" s="848">
        <v>171.15264983915071</v>
      </c>
      <c r="DK27" s="848">
        <v>171.15264983915071</v>
      </c>
      <c r="DL27" s="848">
        <v>171.15264983915071</v>
      </c>
      <c r="DM27" s="848">
        <v>171.15264983915071</v>
      </c>
      <c r="DN27" s="848">
        <v>171.15264983915071</v>
      </c>
      <c r="DO27" s="848">
        <v>171.15264983915071</v>
      </c>
      <c r="DP27" s="848">
        <v>171.15264983915071</v>
      </c>
      <c r="DQ27" s="848">
        <v>171.15264983915071</v>
      </c>
      <c r="DR27" s="848">
        <v>171.15264983915071</v>
      </c>
      <c r="DS27" s="848">
        <v>174.57570283593367</v>
      </c>
      <c r="DT27" s="848">
        <v>174.57570283593367</v>
      </c>
      <c r="DU27" s="848">
        <v>174.57570283593367</v>
      </c>
      <c r="DV27" s="848">
        <v>174.57570283593367</v>
      </c>
      <c r="DW27" s="848">
        <v>174.57570283593367</v>
      </c>
      <c r="DX27" s="848">
        <v>174.57570283593367</v>
      </c>
      <c r="DY27" s="848">
        <v>174.57570283593367</v>
      </c>
      <c r="DZ27" s="848">
        <v>174.57570283593367</v>
      </c>
      <c r="EA27" s="960">
        <v>0</v>
      </c>
      <c r="EB27" s="960">
        <v>0</v>
      </c>
      <c r="EC27" s="960">
        <v>0</v>
      </c>
      <c r="ED27" s="960">
        <v>0</v>
      </c>
      <c r="EE27" s="960">
        <v>0</v>
      </c>
      <c r="EF27" s="960">
        <v>0</v>
      </c>
      <c r="EG27" s="960">
        <v>0</v>
      </c>
      <c r="EH27" s="960">
        <v>0</v>
      </c>
      <c r="EI27" s="960">
        <v>0</v>
      </c>
      <c r="EJ27" s="960">
        <v>0</v>
      </c>
      <c r="EK27" s="960">
        <v>0</v>
      </c>
      <c r="EL27" s="960">
        <v>0</v>
      </c>
    </row>
    <row r="28" spans="2:142" ht="13.5">
      <c r="B28" s="1000"/>
      <c r="C28" s="986"/>
      <c r="D28" s="881" t="s">
        <v>382</v>
      </c>
      <c r="E28" s="1001"/>
      <c r="F28" s="1008"/>
      <c r="G28" s="986"/>
      <c r="H28" s="848">
        <f t="shared" si="4"/>
        <v>386.85540630212569</v>
      </c>
      <c r="I28" s="520"/>
      <c r="J28" s="2280"/>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4.0661910622532602</v>
      </c>
      <c r="AN28" s="848">
        <v>4.0661910622532602</v>
      </c>
      <c r="AO28" s="848">
        <v>4.0661910622532602</v>
      </c>
      <c r="AP28" s="848">
        <v>4.0661910622532602</v>
      </c>
      <c r="AQ28" s="848">
        <v>4.0661910622532602</v>
      </c>
      <c r="AR28" s="848">
        <v>4.0661910622532602</v>
      </c>
      <c r="AS28" s="848">
        <v>4.0661910622532602</v>
      </c>
      <c r="AT28" s="848">
        <v>4.0661910622532602</v>
      </c>
      <c r="AU28" s="848">
        <v>4.0661910622532602</v>
      </c>
      <c r="AV28" s="848">
        <v>4.0661910622532602</v>
      </c>
      <c r="AW28" s="848">
        <v>4.0661910622532602</v>
      </c>
      <c r="AX28" s="848">
        <v>4.0661910622532602</v>
      </c>
      <c r="AY28" s="848">
        <v>4.1068529728757932</v>
      </c>
      <c r="AZ28" s="848">
        <v>4.1068529728757932</v>
      </c>
      <c r="BA28" s="848">
        <v>4.1068529728757932</v>
      </c>
      <c r="BB28" s="848">
        <v>4.1068529728757932</v>
      </c>
      <c r="BC28" s="848">
        <v>4.1068529728757932</v>
      </c>
      <c r="BD28" s="848">
        <v>4.1068529728757932</v>
      </c>
      <c r="BE28" s="848">
        <v>4.1068529728757932</v>
      </c>
      <c r="BF28" s="848">
        <v>4.1068529728757932</v>
      </c>
      <c r="BG28" s="848">
        <v>4.1068529728757932</v>
      </c>
      <c r="BH28" s="848">
        <v>4.1068529728757932</v>
      </c>
      <c r="BI28" s="848">
        <v>4.1068529728757932</v>
      </c>
      <c r="BJ28" s="848">
        <v>4.1068529728757932</v>
      </c>
      <c r="BK28" s="848">
        <v>4.1479215026045511</v>
      </c>
      <c r="BL28" s="848">
        <v>4.1479215026045511</v>
      </c>
      <c r="BM28" s="848">
        <v>4.1479215026045511</v>
      </c>
      <c r="BN28" s="848">
        <v>4.1479215026045511</v>
      </c>
      <c r="BO28" s="848">
        <v>4.1479215026045511</v>
      </c>
      <c r="BP28" s="848">
        <v>4.1479215026045511</v>
      </c>
      <c r="BQ28" s="848">
        <v>4.1479215026045511</v>
      </c>
      <c r="BR28" s="848">
        <v>4.1479215026045511</v>
      </c>
      <c r="BS28" s="848">
        <v>4.1479215026045511</v>
      </c>
      <c r="BT28" s="848">
        <v>4.1479215026045511</v>
      </c>
      <c r="BU28" s="848">
        <v>4.1479215026045511</v>
      </c>
      <c r="BV28" s="848">
        <v>4.1479215026045511</v>
      </c>
      <c r="BW28" s="848">
        <v>4.1894007176305958</v>
      </c>
      <c r="BX28" s="848">
        <v>4.1894007176305958</v>
      </c>
      <c r="BY28" s="848">
        <v>4.1894007176305958</v>
      </c>
      <c r="BZ28" s="848">
        <v>4.1894007176305958</v>
      </c>
      <c r="CA28" s="848">
        <v>4.1894007176305958</v>
      </c>
      <c r="CB28" s="848">
        <v>4.1894007176305958</v>
      </c>
      <c r="CC28" s="848">
        <v>4.1894007176305958</v>
      </c>
      <c r="CD28" s="848">
        <v>4.1894007176305958</v>
      </c>
      <c r="CE28" s="848">
        <v>4.1894007176305958</v>
      </c>
      <c r="CF28" s="848">
        <v>4.1894007176305958</v>
      </c>
      <c r="CG28" s="848">
        <v>4.1894007176305958</v>
      </c>
      <c r="CH28" s="848">
        <v>4.1894007176305958</v>
      </c>
      <c r="CI28" s="848">
        <v>4.2312947248069026</v>
      </c>
      <c r="CJ28" s="848">
        <v>4.2312947248069026</v>
      </c>
      <c r="CK28" s="848">
        <v>4.2312947248069026</v>
      </c>
      <c r="CL28" s="848">
        <v>4.2312947248069026</v>
      </c>
      <c r="CM28" s="848">
        <v>4.2312947248069026</v>
      </c>
      <c r="CN28" s="848">
        <v>4.2312947248069026</v>
      </c>
      <c r="CO28" s="848">
        <v>4.2312947248069026</v>
      </c>
      <c r="CP28" s="848">
        <v>4.2312947248069026</v>
      </c>
      <c r="CQ28" s="848">
        <v>4.2312947248069026</v>
      </c>
      <c r="CR28" s="848">
        <v>4.2312947248069026</v>
      </c>
      <c r="CS28" s="848">
        <v>4.2312947248069026</v>
      </c>
      <c r="CT28" s="848">
        <v>4.2312947248069026</v>
      </c>
      <c r="CU28" s="848">
        <v>4.2736076720549709</v>
      </c>
      <c r="CV28" s="848">
        <v>4.2736076720549709</v>
      </c>
      <c r="CW28" s="848">
        <v>4.2736076720549709</v>
      </c>
      <c r="CX28" s="848">
        <v>4.2736076720549709</v>
      </c>
      <c r="CY28" s="848">
        <v>4.2736076720549709</v>
      </c>
      <c r="CZ28" s="848">
        <v>4.2736076720549709</v>
      </c>
      <c r="DA28" s="848">
        <v>4.2736076720549709</v>
      </c>
      <c r="DB28" s="848">
        <v>4.2736076720549709</v>
      </c>
      <c r="DC28" s="848">
        <v>4.2736076720549709</v>
      </c>
      <c r="DD28" s="848">
        <v>4.2736076720549709</v>
      </c>
      <c r="DE28" s="848">
        <v>4.2736076720549709</v>
      </c>
      <c r="DF28" s="848">
        <v>4.2736076720549709</v>
      </c>
      <c r="DG28" s="848">
        <v>4.3163437487755214</v>
      </c>
      <c r="DH28" s="848">
        <v>4.3163437487755214</v>
      </c>
      <c r="DI28" s="848">
        <v>4.3163437487755214</v>
      </c>
      <c r="DJ28" s="848">
        <v>4.3163437487755214</v>
      </c>
      <c r="DK28" s="848">
        <v>4.3163437487755214</v>
      </c>
      <c r="DL28" s="848">
        <v>4.3163437487755214</v>
      </c>
      <c r="DM28" s="848">
        <v>4.3163437487755214</v>
      </c>
      <c r="DN28" s="848">
        <v>4.3163437487755214</v>
      </c>
      <c r="DO28" s="848">
        <v>4.3163437487755214</v>
      </c>
      <c r="DP28" s="848">
        <v>4.3163437487755214</v>
      </c>
      <c r="DQ28" s="848">
        <v>4.3163437487755214</v>
      </c>
      <c r="DR28" s="848">
        <v>4.3163437487755214</v>
      </c>
      <c r="DS28" s="848">
        <v>4.3595071862632757</v>
      </c>
      <c r="DT28" s="848">
        <v>4.3595071862632757</v>
      </c>
      <c r="DU28" s="848">
        <v>4.3595071862632757</v>
      </c>
      <c r="DV28" s="848">
        <v>4.3595071862632757</v>
      </c>
      <c r="DW28" s="848">
        <v>4.3595071862632757</v>
      </c>
      <c r="DX28" s="848">
        <v>4.3595071862632757</v>
      </c>
      <c r="DY28" s="848">
        <v>4.3595071862632757</v>
      </c>
      <c r="DZ28" s="848">
        <v>4.3595071862632757</v>
      </c>
      <c r="EA28" s="960">
        <v>0</v>
      </c>
      <c r="EB28" s="960">
        <v>0</v>
      </c>
      <c r="EC28" s="960">
        <v>0</v>
      </c>
      <c r="ED28" s="960">
        <v>0</v>
      </c>
      <c r="EE28" s="960">
        <v>0</v>
      </c>
      <c r="EF28" s="960">
        <v>0</v>
      </c>
      <c r="EG28" s="960">
        <v>0</v>
      </c>
      <c r="EH28" s="960">
        <v>0</v>
      </c>
      <c r="EI28" s="960">
        <v>0</v>
      </c>
      <c r="EJ28" s="960">
        <v>0</v>
      </c>
      <c r="EK28" s="960">
        <v>0</v>
      </c>
      <c r="EL28" s="960">
        <v>0</v>
      </c>
    </row>
    <row r="29" spans="2:142" ht="13.5">
      <c r="B29" s="1000"/>
      <c r="C29" s="986"/>
      <c r="D29" s="881" t="s">
        <v>383</v>
      </c>
      <c r="E29" s="1001"/>
      <c r="F29" s="1008"/>
      <c r="G29" s="986"/>
      <c r="H29" s="848">
        <f t="shared" si="4"/>
        <v>5301.7504781215612</v>
      </c>
      <c r="I29" s="520"/>
      <c r="J29" s="2280"/>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56.670006964999999</v>
      </c>
      <c r="AN29" s="848">
        <v>56.670006964999999</v>
      </c>
      <c r="AO29" s="848">
        <v>56.670006964999999</v>
      </c>
      <c r="AP29" s="848">
        <v>56.670006964999999</v>
      </c>
      <c r="AQ29" s="848">
        <v>56.670006964999999</v>
      </c>
      <c r="AR29" s="848">
        <v>56.670006964999999</v>
      </c>
      <c r="AS29" s="848">
        <v>56.670006964999999</v>
      </c>
      <c r="AT29" s="848">
        <v>56.670006964999999</v>
      </c>
      <c r="AU29" s="848">
        <v>56.670006964999999</v>
      </c>
      <c r="AV29" s="848">
        <v>56.670006964999999</v>
      </c>
      <c r="AW29" s="848">
        <v>56.670006964999999</v>
      </c>
      <c r="AX29" s="848">
        <v>56.670006964999999</v>
      </c>
      <c r="AY29" s="848">
        <v>56.95335699982499</v>
      </c>
      <c r="AZ29" s="848">
        <v>56.95335699982499</v>
      </c>
      <c r="BA29" s="848">
        <v>56.95335699982499</v>
      </c>
      <c r="BB29" s="848">
        <v>56.95335699982499</v>
      </c>
      <c r="BC29" s="848">
        <v>56.95335699982499</v>
      </c>
      <c r="BD29" s="848">
        <v>56.95335699982499</v>
      </c>
      <c r="BE29" s="848">
        <v>56.95335699982499</v>
      </c>
      <c r="BF29" s="848">
        <v>56.95335699982499</v>
      </c>
      <c r="BG29" s="848">
        <v>56.95335699982499</v>
      </c>
      <c r="BH29" s="848">
        <v>56.95335699982499</v>
      </c>
      <c r="BI29" s="848">
        <v>56.95335699982499</v>
      </c>
      <c r="BJ29" s="848">
        <v>56.95335699982499</v>
      </c>
      <c r="BK29" s="848">
        <v>57.238123784824111</v>
      </c>
      <c r="BL29" s="848">
        <v>57.238123784824111</v>
      </c>
      <c r="BM29" s="848">
        <v>57.238123784824111</v>
      </c>
      <c r="BN29" s="848">
        <v>57.238123784824111</v>
      </c>
      <c r="BO29" s="848">
        <v>57.238123784824111</v>
      </c>
      <c r="BP29" s="848">
        <v>57.238123784824111</v>
      </c>
      <c r="BQ29" s="848">
        <v>57.238123784824111</v>
      </c>
      <c r="BR29" s="848">
        <v>57.238123784824111</v>
      </c>
      <c r="BS29" s="848">
        <v>57.238123784824111</v>
      </c>
      <c r="BT29" s="848">
        <v>57.238123784824111</v>
      </c>
      <c r="BU29" s="848">
        <v>57.238123784824111</v>
      </c>
      <c r="BV29" s="848">
        <v>57.238123784824111</v>
      </c>
      <c r="BW29" s="848">
        <v>57.524314403748221</v>
      </c>
      <c r="BX29" s="848">
        <v>57.524314403748221</v>
      </c>
      <c r="BY29" s="848">
        <v>57.524314403748221</v>
      </c>
      <c r="BZ29" s="848">
        <v>57.524314403748221</v>
      </c>
      <c r="CA29" s="848">
        <v>57.524314403748221</v>
      </c>
      <c r="CB29" s="848">
        <v>57.524314403748221</v>
      </c>
      <c r="CC29" s="848">
        <v>57.524314403748221</v>
      </c>
      <c r="CD29" s="848">
        <v>57.524314403748221</v>
      </c>
      <c r="CE29" s="848">
        <v>57.524314403748221</v>
      </c>
      <c r="CF29" s="848">
        <v>57.524314403748221</v>
      </c>
      <c r="CG29" s="848">
        <v>57.524314403748221</v>
      </c>
      <c r="CH29" s="848">
        <v>57.524314403748221</v>
      </c>
      <c r="CI29" s="848">
        <v>57.81193597576695</v>
      </c>
      <c r="CJ29" s="848">
        <v>57.81193597576695</v>
      </c>
      <c r="CK29" s="848">
        <v>57.81193597576695</v>
      </c>
      <c r="CL29" s="848">
        <v>57.81193597576695</v>
      </c>
      <c r="CM29" s="848">
        <v>57.81193597576695</v>
      </c>
      <c r="CN29" s="848">
        <v>57.81193597576695</v>
      </c>
      <c r="CO29" s="848">
        <v>57.81193597576695</v>
      </c>
      <c r="CP29" s="848">
        <v>57.81193597576695</v>
      </c>
      <c r="CQ29" s="848">
        <v>57.81193597576695</v>
      </c>
      <c r="CR29" s="848">
        <v>57.81193597576695</v>
      </c>
      <c r="CS29" s="848">
        <v>57.81193597576695</v>
      </c>
      <c r="CT29" s="848">
        <v>57.81193597576695</v>
      </c>
      <c r="CU29" s="848">
        <v>58.100995655645775</v>
      </c>
      <c r="CV29" s="848">
        <v>58.100995655645775</v>
      </c>
      <c r="CW29" s="848">
        <v>58.100995655645775</v>
      </c>
      <c r="CX29" s="848">
        <v>58.100995655645775</v>
      </c>
      <c r="CY29" s="848">
        <v>58.100995655645775</v>
      </c>
      <c r="CZ29" s="848">
        <v>58.100995655645775</v>
      </c>
      <c r="DA29" s="848">
        <v>58.100995655645775</v>
      </c>
      <c r="DB29" s="848">
        <v>58.100995655645775</v>
      </c>
      <c r="DC29" s="848">
        <v>58.100995655645775</v>
      </c>
      <c r="DD29" s="848">
        <v>58.100995655645775</v>
      </c>
      <c r="DE29" s="848">
        <v>58.100995655645775</v>
      </c>
      <c r="DF29" s="848">
        <v>58.100995655645775</v>
      </c>
      <c r="DG29" s="848">
        <v>58.391500633923989</v>
      </c>
      <c r="DH29" s="848">
        <v>58.391500633923989</v>
      </c>
      <c r="DI29" s="848">
        <v>58.391500633923989</v>
      </c>
      <c r="DJ29" s="848">
        <v>58.391500633923989</v>
      </c>
      <c r="DK29" s="848">
        <v>58.391500633923989</v>
      </c>
      <c r="DL29" s="848">
        <v>58.391500633923989</v>
      </c>
      <c r="DM29" s="848">
        <v>58.391500633923989</v>
      </c>
      <c r="DN29" s="848">
        <v>58.391500633923989</v>
      </c>
      <c r="DO29" s="848">
        <v>58.391500633923989</v>
      </c>
      <c r="DP29" s="848">
        <v>58.391500633923989</v>
      </c>
      <c r="DQ29" s="848">
        <v>58.391500633923989</v>
      </c>
      <c r="DR29" s="848">
        <v>58.391500633923989</v>
      </c>
      <c r="DS29" s="848">
        <v>58.683458137093602</v>
      </c>
      <c r="DT29" s="848">
        <v>58.683458137093602</v>
      </c>
      <c r="DU29" s="848">
        <v>58.683458137093602</v>
      </c>
      <c r="DV29" s="848">
        <v>58.683458137093602</v>
      </c>
      <c r="DW29" s="848">
        <v>58.683458137093602</v>
      </c>
      <c r="DX29" s="848">
        <v>58.683458137093602</v>
      </c>
      <c r="DY29" s="848">
        <v>58.683458137093602</v>
      </c>
      <c r="DZ29" s="848">
        <v>58.683458137093602</v>
      </c>
      <c r="EA29" s="960">
        <v>0</v>
      </c>
      <c r="EB29" s="960">
        <v>0</v>
      </c>
      <c r="EC29" s="960">
        <v>0</v>
      </c>
      <c r="ED29" s="960">
        <v>0</v>
      </c>
      <c r="EE29" s="960">
        <v>0</v>
      </c>
      <c r="EF29" s="960">
        <v>0</v>
      </c>
      <c r="EG29" s="960">
        <v>0</v>
      </c>
      <c r="EH29" s="960">
        <v>0</v>
      </c>
      <c r="EI29" s="960">
        <v>0</v>
      </c>
      <c r="EJ29" s="960">
        <v>0</v>
      </c>
      <c r="EK29" s="960">
        <v>0</v>
      </c>
      <c r="EL29" s="960">
        <v>0</v>
      </c>
    </row>
    <row r="30" spans="2:142" ht="13.5">
      <c r="B30" s="1000"/>
      <c r="C30" s="986"/>
      <c r="D30" s="881" t="s">
        <v>384</v>
      </c>
      <c r="E30" s="1001"/>
      <c r="F30" s="1008"/>
      <c r="G30" s="986"/>
      <c r="H30" s="848">
        <f t="shared" si="4"/>
        <v>0</v>
      </c>
      <c r="I30" s="520"/>
      <c r="J30" s="2280"/>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0</v>
      </c>
      <c r="AN30" s="848">
        <v>0</v>
      </c>
      <c r="AO30" s="848">
        <v>0</v>
      </c>
      <c r="AP30" s="848">
        <v>0</v>
      </c>
      <c r="AQ30" s="848">
        <v>0</v>
      </c>
      <c r="AR30" s="848">
        <v>0</v>
      </c>
      <c r="AS30" s="848">
        <v>0</v>
      </c>
      <c r="AT30" s="848">
        <v>0</v>
      </c>
      <c r="AU30" s="848">
        <v>0</v>
      </c>
      <c r="AV30" s="848">
        <v>0</v>
      </c>
      <c r="AW30" s="848">
        <v>0</v>
      </c>
      <c r="AX30" s="848">
        <v>0</v>
      </c>
      <c r="AY30" s="848">
        <v>0</v>
      </c>
      <c r="AZ30" s="848">
        <v>0</v>
      </c>
      <c r="BA30" s="848">
        <v>0</v>
      </c>
      <c r="BB30" s="848">
        <v>0</v>
      </c>
      <c r="BC30" s="848">
        <v>0</v>
      </c>
      <c r="BD30" s="848">
        <v>0</v>
      </c>
      <c r="BE30" s="848">
        <v>0</v>
      </c>
      <c r="BF30" s="848">
        <v>0</v>
      </c>
      <c r="BG30" s="848">
        <v>0</v>
      </c>
      <c r="BH30" s="848">
        <v>0</v>
      </c>
      <c r="BI30" s="848">
        <v>0</v>
      </c>
      <c r="BJ30" s="848">
        <v>0</v>
      </c>
      <c r="BK30" s="848">
        <v>0</v>
      </c>
      <c r="BL30" s="848">
        <v>0</v>
      </c>
      <c r="BM30" s="848">
        <v>0</v>
      </c>
      <c r="BN30" s="848">
        <v>0</v>
      </c>
      <c r="BO30" s="848">
        <v>0</v>
      </c>
      <c r="BP30" s="848">
        <v>0</v>
      </c>
      <c r="BQ30" s="848">
        <v>0</v>
      </c>
      <c r="BR30" s="848">
        <v>0</v>
      </c>
      <c r="BS30" s="848">
        <v>0</v>
      </c>
      <c r="BT30" s="848">
        <v>0</v>
      </c>
      <c r="BU30" s="848">
        <v>0</v>
      </c>
      <c r="BV30" s="848">
        <v>0</v>
      </c>
      <c r="BW30" s="848">
        <v>0</v>
      </c>
      <c r="BX30" s="848">
        <v>0</v>
      </c>
      <c r="BY30" s="848">
        <v>0</v>
      </c>
      <c r="BZ30" s="848">
        <v>0</v>
      </c>
      <c r="CA30" s="848">
        <v>0</v>
      </c>
      <c r="CB30" s="848">
        <v>0</v>
      </c>
      <c r="CC30" s="848">
        <v>0</v>
      </c>
      <c r="CD30" s="848">
        <v>0</v>
      </c>
      <c r="CE30" s="848">
        <v>0</v>
      </c>
      <c r="CF30" s="848">
        <v>0</v>
      </c>
      <c r="CG30" s="848">
        <v>0</v>
      </c>
      <c r="CH30" s="848">
        <v>0</v>
      </c>
      <c r="CI30" s="848">
        <v>0</v>
      </c>
      <c r="CJ30" s="848">
        <v>0</v>
      </c>
      <c r="CK30" s="848">
        <v>0</v>
      </c>
      <c r="CL30" s="848">
        <v>0</v>
      </c>
      <c r="CM30" s="848">
        <v>0</v>
      </c>
      <c r="CN30" s="848">
        <v>0</v>
      </c>
      <c r="CO30" s="848">
        <v>0</v>
      </c>
      <c r="CP30" s="848">
        <v>0</v>
      </c>
      <c r="CQ30" s="848">
        <v>0</v>
      </c>
      <c r="CR30" s="848">
        <v>0</v>
      </c>
      <c r="CS30" s="848">
        <v>0</v>
      </c>
      <c r="CT30" s="848">
        <v>0</v>
      </c>
      <c r="CU30" s="848">
        <v>0</v>
      </c>
      <c r="CV30" s="848">
        <v>0</v>
      </c>
      <c r="CW30" s="848">
        <v>0</v>
      </c>
      <c r="CX30" s="848">
        <v>0</v>
      </c>
      <c r="CY30" s="848">
        <v>0</v>
      </c>
      <c r="CZ30" s="848">
        <v>0</v>
      </c>
      <c r="DA30" s="848">
        <v>0</v>
      </c>
      <c r="DB30" s="848">
        <v>0</v>
      </c>
      <c r="DC30" s="848">
        <v>0</v>
      </c>
      <c r="DD30" s="848">
        <v>0</v>
      </c>
      <c r="DE30" s="848">
        <v>0</v>
      </c>
      <c r="DF30" s="848">
        <v>0</v>
      </c>
      <c r="DG30" s="848">
        <v>0</v>
      </c>
      <c r="DH30" s="848">
        <v>0</v>
      </c>
      <c r="DI30" s="848">
        <v>0</v>
      </c>
      <c r="DJ30" s="848">
        <v>0</v>
      </c>
      <c r="DK30" s="848">
        <v>0</v>
      </c>
      <c r="DL30" s="848">
        <v>0</v>
      </c>
      <c r="DM30" s="848">
        <v>0</v>
      </c>
      <c r="DN30" s="848">
        <v>0</v>
      </c>
      <c r="DO30" s="848">
        <v>0</v>
      </c>
      <c r="DP30" s="848">
        <v>0</v>
      </c>
      <c r="DQ30" s="848">
        <v>0</v>
      </c>
      <c r="DR30" s="848">
        <v>0</v>
      </c>
      <c r="DS30" s="848">
        <v>0</v>
      </c>
      <c r="DT30" s="848">
        <v>0</v>
      </c>
      <c r="DU30" s="848">
        <v>0</v>
      </c>
      <c r="DV30" s="848">
        <v>0</v>
      </c>
      <c r="DW30" s="848">
        <v>0</v>
      </c>
      <c r="DX30" s="848">
        <v>0</v>
      </c>
      <c r="DY30" s="848">
        <v>0</v>
      </c>
      <c r="DZ30" s="848">
        <v>0</v>
      </c>
      <c r="EA30" s="960">
        <v>0</v>
      </c>
      <c r="EB30" s="960">
        <v>0</v>
      </c>
      <c r="EC30" s="960">
        <v>0</v>
      </c>
      <c r="ED30" s="960">
        <v>0</v>
      </c>
      <c r="EE30" s="960">
        <v>0</v>
      </c>
      <c r="EF30" s="960">
        <v>0</v>
      </c>
      <c r="EG30" s="960">
        <v>0</v>
      </c>
      <c r="EH30" s="960">
        <v>0</v>
      </c>
      <c r="EI30" s="960">
        <v>0</v>
      </c>
      <c r="EJ30" s="960">
        <v>0</v>
      </c>
      <c r="EK30" s="960">
        <v>0</v>
      </c>
      <c r="EL30" s="960">
        <v>0</v>
      </c>
    </row>
    <row r="31" spans="2:142" ht="13.5">
      <c r="B31" s="1000"/>
      <c r="C31" s="986"/>
      <c r="D31" s="881" t="s">
        <v>385</v>
      </c>
      <c r="E31" s="1001"/>
      <c r="F31" s="1008"/>
      <c r="G31" s="986"/>
      <c r="H31" s="848">
        <f t="shared" si="4"/>
        <v>98.028298737509004</v>
      </c>
      <c r="I31" s="520"/>
      <c r="J31" s="2280"/>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1.030363763</v>
      </c>
      <c r="AN31" s="848">
        <v>1.030363763</v>
      </c>
      <c r="AO31" s="848">
        <v>1.030363763</v>
      </c>
      <c r="AP31" s="848">
        <v>1.030363763</v>
      </c>
      <c r="AQ31" s="848">
        <v>1.030363763</v>
      </c>
      <c r="AR31" s="848">
        <v>1.030363763</v>
      </c>
      <c r="AS31" s="848">
        <v>1.030363763</v>
      </c>
      <c r="AT31" s="848">
        <v>1.030363763</v>
      </c>
      <c r="AU31" s="848">
        <v>1.030363763</v>
      </c>
      <c r="AV31" s="848">
        <v>1.030363763</v>
      </c>
      <c r="AW31" s="848">
        <v>1.030363763</v>
      </c>
      <c r="AX31" s="848">
        <v>1.030363763</v>
      </c>
      <c r="AY31" s="848">
        <v>1.0406674006300001</v>
      </c>
      <c r="AZ31" s="848">
        <v>1.0406674006300001</v>
      </c>
      <c r="BA31" s="848">
        <v>1.0406674006300001</v>
      </c>
      <c r="BB31" s="848">
        <v>1.0406674006300001</v>
      </c>
      <c r="BC31" s="848">
        <v>1.0406674006300001</v>
      </c>
      <c r="BD31" s="848">
        <v>1.0406674006300001</v>
      </c>
      <c r="BE31" s="848">
        <v>1.0406674006300001</v>
      </c>
      <c r="BF31" s="848">
        <v>1.0406674006300001</v>
      </c>
      <c r="BG31" s="848">
        <v>1.0406674006300001</v>
      </c>
      <c r="BH31" s="848">
        <v>1.0406674006300001</v>
      </c>
      <c r="BI31" s="848">
        <v>1.0406674006300001</v>
      </c>
      <c r="BJ31" s="848">
        <v>1.0406674006300001</v>
      </c>
      <c r="BK31" s="848">
        <v>1.0510740746363001</v>
      </c>
      <c r="BL31" s="848">
        <v>1.0510740746363001</v>
      </c>
      <c r="BM31" s="848">
        <v>1.0510740746363001</v>
      </c>
      <c r="BN31" s="848">
        <v>1.0510740746363001</v>
      </c>
      <c r="BO31" s="848">
        <v>1.0510740746363001</v>
      </c>
      <c r="BP31" s="848">
        <v>1.0510740746363001</v>
      </c>
      <c r="BQ31" s="848">
        <v>1.0510740746363001</v>
      </c>
      <c r="BR31" s="848">
        <v>1.0510740746363001</v>
      </c>
      <c r="BS31" s="848">
        <v>1.0510740746363001</v>
      </c>
      <c r="BT31" s="848">
        <v>1.0510740746363001</v>
      </c>
      <c r="BU31" s="848">
        <v>1.0510740746363001</v>
      </c>
      <c r="BV31" s="848">
        <v>1.0510740746363001</v>
      </c>
      <c r="BW31" s="848">
        <v>1.0615848153826628</v>
      </c>
      <c r="BX31" s="848">
        <v>1.0615848153826628</v>
      </c>
      <c r="BY31" s="848">
        <v>1.0615848153826628</v>
      </c>
      <c r="BZ31" s="848">
        <v>1.0615848153826628</v>
      </c>
      <c r="CA31" s="848">
        <v>1.0615848153826628</v>
      </c>
      <c r="CB31" s="848">
        <v>1.0615848153826628</v>
      </c>
      <c r="CC31" s="848">
        <v>1.0615848153826628</v>
      </c>
      <c r="CD31" s="848">
        <v>1.0615848153826628</v>
      </c>
      <c r="CE31" s="848">
        <v>1.0615848153826628</v>
      </c>
      <c r="CF31" s="848">
        <v>1.0615848153826628</v>
      </c>
      <c r="CG31" s="848">
        <v>1.0615848153826628</v>
      </c>
      <c r="CH31" s="848">
        <v>1.0615848153826628</v>
      </c>
      <c r="CI31" s="848">
        <v>1.0722006635364896</v>
      </c>
      <c r="CJ31" s="848">
        <v>1.0722006635364896</v>
      </c>
      <c r="CK31" s="848">
        <v>1.0722006635364896</v>
      </c>
      <c r="CL31" s="848">
        <v>1.0722006635364896</v>
      </c>
      <c r="CM31" s="848">
        <v>1.0722006635364896</v>
      </c>
      <c r="CN31" s="848">
        <v>1.0722006635364896</v>
      </c>
      <c r="CO31" s="848">
        <v>1.0722006635364896</v>
      </c>
      <c r="CP31" s="848">
        <v>1.0722006635364896</v>
      </c>
      <c r="CQ31" s="848">
        <v>1.0722006635364896</v>
      </c>
      <c r="CR31" s="848">
        <v>1.0722006635364896</v>
      </c>
      <c r="CS31" s="848">
        <v>1.0722006635364896</v>
      </c>
      <c r="CT31" s="848">
        <v>1.0722006635364896</v>
      </c>
      <c r="CU31" s="848">
        <v>1.0829226701718544</v>
      </c>
      <c r="CV31" s="848">
        <v>1.0829226701718544</v>
      </c>
      <c r="CW31" s="848">
        <v>1.0829226701718544</v>
      </c>
      <c r="CX31" s="848">
        <v>1.0829226701718544</v>
      </c>
      <c r="CY31" s="848">
        <v>1.0829226701718544</v>
      </c>
      <c r="CZ31" s="848">
        <v>1.0829226701718544</v>
      </c>
      <c r="DA31" s="848">
        <v>1.0829226701718544</v>
      </c>
      <c r="DB31" s="848">
        <v>1.0829226701718544</v>
      </c>
      <c r="DC31" s="848">
        <v>1.0829226701718544</v>
      </c>
      <c r="DD31" s="848">
        <v>1.0829226701718544</v>
      </c>
      <c r="DE31" s="848">
        <v>1.0829226701718544</v>
      </c>
      <c r="DF31" s="848">
        <v>1.0829226701718544</v>
      </c>
      <c r="DG31" s="848">
        <v>1.0937518968735731</v>
      </c>
      <c r="DH31" s="848">
        <v>1.0937518968735731</v>
      </c>
      <c r="DI31" s="848">
        <v>1.0937518968735731</v>
      </c>
      <c r="DJ31" s="848">
        <v>1.0937518968735731</v>
      </c>
      <c r="DK31" s="848">
        <v>1.0937518968735731</v>
      </c>
      <c r="DL31" s="848">
        <v>1.0937518968735731</v>
      </c>
      <c r="DM31" s="848">
        <v>1.0937518968735731</v>
      </c>
      <c r="DN31" s="848">
        <v>1.0937518968735731</v>
      </c>
      <c r="DO31" s="848">
        <v>1.0937518968735731</v>
      </c>
      <c r="DP31" s="848">
        <v>1.0937518968735731</v>
      </c>
      <c r="DQ31" s="848">
        <v>1.0937518968735731</v>
      </c>
      <c r="DR31" s="848">
        <v>1.0937518968735731</v>
      </c>
      <c r="DS31" s="848">
        <v>1.1046894158423086</v>
      </c>
      <c r="DT31" s="848">
        <v>1.1046894158423086</v>
      </c>
      <c r="DU31" s="848">
        <v>1.1046894158423086</v>
      </c>
      <c r="DV31" s="848">
        <v>1.1046894158423086</v>
      </c>
      <c r="DW31" s="848">
        <v>1.1046894158423086</v>
      </c>
      <c r="DX31" s="848">
        <v>1.1046894158423086</v>
      </c>
      <c r="DY31" s="848">
        <v>1.1046894158423086</v>
      </c>
      <c r="DZ31" s="848">
        <v>1.1046894158423086</v>
      </c>
      <c r="EA31" s="960">
        <v>0</v>
      </c>
      <c r="EB31" s="960">
        <v>0</v>
      </c>
      <c r="EC31" s="960">
        <v>0</v>
      </c>
      <c r="ED31" s="960">
        <v>0</v>
      </c>
      <c r="EE31" s="960">
        <v>0</v>
      </c>
      <c r="EF31" s="960">
        <v>0</v>
      </c>
      <c r="EG31" s="960">
        <v>0</v>
      </c>
      <c r="EH31" s="960">
        <v>0</v>
      </c>
      <c r="EI31" s="960">
        <v>0</v>
      </c>
      <c r="EJ31" s="960">
        <v>0</v>
      </c>
      <c r="EK31" s="960">
        <v>0</v>
      </c>
      <c r="EL31" s="960">
        <v>0</v>
      </c>
    </row>
    <row r="32" spans="2:142" ht="13.5">
      <c r="B32" s="1000"/>
      <c r="C32" s="986"/>
      <c r="D32" s="881" t="s">
        <v>386</v>
      </c>
      <c r="E32" s="1001"/>
      <c r="F32" s="1008"/>
      <c r="G32" s="986"/>
      <c r="H32" s="848">
        <f t="shared" si="4"/>
        <v>137.27127320397986</v>
      </c>
      <c r="I32" s="520"/>
      <c r="J32" s="2280"/>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1.4428419898318015</v>
      </c>
      <c r="AN32" s="848">
        <v>1.4428419898318015</v>
      </c>
      <c r="AO32" s="848">
        <v>1.4428419898318015</v>
      </c>
      <c r="AP32" s="848">
        <v>1.4428419898318015</v>
      </c>
      <c r="AQ32" s="848">
        <v>1.4428419898318015</v>
      </c>
      <c r="AR32" s="848">
        <v>1.4428419898318015</v>
      </c>
      <c r="AS32" s="848">
        <v>1.4428419898318015</v>
      </c>
      <c r="AT32" s="848">
        <v>1.4428419898318015</v>
      </c>
      <c r="AU32" s="848">
        <v>1.4428419898318015</v>
      </c>
      <c r="AV32" s="848">
        <v>1.4428419898318015</v>
      </c>
      <c r="AW32" s="848">
        <v>1.4428419898318015</v>
      </c>
      <c r="AX32" s="848">
        <v>1.4428419898318015</v>
      </c>
      <c r="AY32" s="848">
        <v>1.4572704097301195</v>
      </c>
      <c r="AZ32" s="848">
        <v>1.4572704097301195</v>
      </c>
      <c r="BA32" s="848">
        <v>1.4572704097301195</v>
      </c>
      <c r="BB32" s="848">
        <v>1.4572704097301195</v>
      </c>
      <c r="BC32" s="848">
        <v>1.4572704097301195</v>
      </c>
      <c r="BD32" s="848">
        <v>1.4572704097301195</v>
      </c>
      <c r="BE32" s="848">
        <v>1.4572704097301195</v>
      </c>
      <c r="BF32" s="848">
        <v>1.4572704097301195</v>
      </c>
      <c r="BG32" s="848">
        <v>1.4572704097301195</v>
      </c>
      <c r="BH32" s="848">
        <v>1.4572704097301195</v>
      </c>
      <c r="BI32" s="848">
        <v>1.4572704097301195</v>
      </c>
      <c r="BJ32" s="848">
        <v>1.4572704097301195</v>
      </c>
      <c r="BK32" s="848">
        <v>1.4718431138274206</v>
      </c>
      <c r="BL32" s="848">
        <v>1.4718431138274206</v>
      </c>
      <c r="BM32" s="848">
        <v>1.4718431138274206</v>
      </c>
      <c r="BN32" s="848">
        <v>1.4718431138274206</v>
      </c>
      <c r="BO32" s="848">
        <v>1.4718431138274206</v>
      </c>
      <c r="BP32" s="848">
        <v>1.4718431138274206</v>
      </c>
      <c r="BQ32" s="848">
        <v>1.4718431138274206</v>
      </c>
      <c r="BR32" s="848">
        <v>1.4718431138274206</v>
      </c>
      <c r="BS32" s="848">
        <v>1.4718431138274206</v>
      </c>
      <c r="BT32" s="848">
        <v>1.4718431138274206</v>
      </c>
      <c r="BU32" s="848">
        <v>1.4718431138274206</v>
      </c>
      <c r="BV32" s="848">
        <v>1.4718431138274206</v>
      </c>
      <c r="BW32" s="848">
        <v>1.4865615449656948</v>
      </c>
      <c r="BX32" s="848">
        <v>1.4865615449656948</v>
      </c>
      <c r="BY32" s="848">
        <v>1.4865615449656948</v>
      </c>
      <c r="BZ32" s="848">
        <v>1.4865615449656948</v>
      </c>
      <c r="CA32" s="848">
        <v>1.4865615449656948</v>
      </c>
      <c r="CB32" s="848">
        <v>1.4865615449656948</v>
      </c>
      <c r="CC32" s="848">
        <v>1.4865615449656948</v>
      </c>
      <c r="CD32" s="848">
        <v>1.4865615449656948</v>
      </c>
      <c r="CE32" s="848">
        <v>1.4865615449656948</v>
      </c>
      <c r="CF32" s="848">
        <v>1.4865615449656948</v>
      </c>
      <c r="CG32" s="848">
        <v>1.4865615449656948</v>
      </c>
      <c r="CH32" s="848">
        <v>1.4865615449656948</v>
      </c>
      <c r="CI32" s="848">
        <v>1.501427160415352</v>
      </c>
      <c r="CJ32" s="848">
        <v>1.501427160415352</v>
      </c>
      <c r="CK32" s="848">
        <v>1.501427160415352</v>
      </c>
      <c r="CL32" s="848">
        <v>1.501427160415352</v>
      </c>
      <c r="CM32" s="848">
        <v>1.501427160415352</v>
      </c>
      <c r="CN32" s="848">
        <v>1.501427160415352</v>
      </c>
      <c r="CO32" s="848">
        <v>1.501427160415352</v>
      </c>
      <c r="CP32" s="848">
        <v>1.501427160415352</v>
      </c>
      <c r="CQ32" s="848">
        <v>1.501427160415352</v>
      </c>
      <c r="CR32" s="848">
        <v>1.501427160415352</v>
      </c>
      <c r="CS32" s="848">
        <v>1.501427160415352</v>
      </c>
      <c r="CT32" s="848">
        <v>1.501427160415352</v>
      </c>
      <c r="CU32" s="848">
        <v>1.5164414320195052</v>
      </c>
      <c r="CV32" s="848">
        <v>1.5164414320195052</v>
      </c>
      <c r="CW32" s="848">
        <v>1.5164414320195052</v>
      </c>
      <c r="CX32" s="848">
        <v>1.5164414320195052</v>
      </c>
      <c r="CY32" s="848">
        <v>1.5164414320195052</v>
      </c>
      <c r="CZ32" s="848">
        <v>1.5164414320195052</v>
      </c>
      <c r="DA32" s="848">
        <v>1.5164414320195052</v>
      </c>
      <c r="DB32" s="848">
        <v>1.5164414320195052</v>
      </c>
      <c r="DC32" s="848">
        <v>1.5164414320195052</v>
      </c>
      <c r="DD32" s="848">
        <v>1.5164414320195052</v>
      </c>
      <c r="DE32" s="848">
        <v>1.5164414320195052</v>
      </c>
      <c r="DF32" s="848">
        <v>1.5164414320195052</v>
      </c>
      <c r="DG32" s="848">
        <v>1.5316058463397006</v>
      </c>
      <c r="DH32" s="848">
        <v>1.5316058463397006</v>
      </c>
      <c r="DI32" s="848">
        <v>1.5316058463397006</v>
      </c>
      <c r="DJ32" s="848">
        <v>1.5316058463397006</v>
      </c>
      <c r="DK32" s="848">
        <v>1.5316058463397006</v>
      </c>
      <c r="DL32" s="848">
        <v>1.5316058463397006</v>
      </c>
      <c r="DM32" s="848">
        <v>1.5316058463397006</v>
      </c>
      <c r="DN32" s="848">
        <v>1.5316058463397006</v>
      </c>
      <c r="DO32" s="848">
        <v>1.5316058463397006</v>
      </c>
      <c r="DP32" s="848">
        <v>1.5316058463397006</v>
      </c>
      <c r="DQ32" s="848">
        <v>1.5316058463397006</v>
      </c>
      <c r="DR32" s="848">
        <v>1.5316058463397006</v>
      </c>
      <c r="DS32" s="848">
        <v>1.5469219048030971</v>
      </c>
      <c r="DT32" s="848">
        <v>1.5469219048030971</v>
      </c>
      <c r="DU32" s="848">
        <v>1.5469219048030971</v>
      </c>
      <c r="DV32" s="848">
        <v>1.5469219048030971</v>
      </c>
      <c r="DW32" s="848">
        <v>1.5469219048030971</v>
      </c>
      <c r="DX32" s="848">
        <v>1.5469219048030971</v>
      </c>
      <c r="DY32" s="848">
        <v>1.5469219048030971</v>
      </c>
      <c r="DZ32" s="848">
        <v>1.5469219048030971</v>
      </c>
      <c r="EA32" s="960">
        <v>0</v>
      </c>
      <c r="EB32" s="960">
        <v>0</v>
      </c>
      <c r="EC32" s="960">
        <v>0</v>
      </c>
      <c r="ED32" s="960">
        <v>0</v>
      </c>
      <c r="EE32" s="960">
        <v>0</v>
      </c>
      <c r="EF32" s="960">
        <v>0</v>
      </c>
      <c r="EG32" s="960">
        <v>0</v>
      </c>
      <c r="EH32" s="960">
        <v>0</v>
      </c>
      <c r="EI32" s="960">
        <v>0</v>
      </c>
      <c r="EJ32" s="960">
        <v>0</v>
      </c>
      <c r="EK32" s="960">
        <v>0</v>
      </c>
      <c r="EL32" s="960">
        <v>0</v>
      </c>
    </row>
    <row r="33" spans="2:142" s="833" customFormat="1" ht="13.5">
      <c r="B33" s="1000"/>
      <c r="C33" s="1001"/>
      <c r="D33" s="881" t="s">
        <v>2007</v>
      </c>
      <c r="E33" s="1001"/>
      <c r="F33" s="1008"/>
      <c r="G33" s="1001"/>
      <c r="H33" s="848">
        <f>SUM(J33:EL33)</f>
        <v>887.01688554237808</v>
      </c>
      <c r="I33" s="520"/>
      <c r="J33" s="2280"/>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7.8938954500000005</v>
      </c>
      <c r="AP33" s="848">
        <v>7.8938954500000005</v>
      </c>
      <c r="AQ33" s="848">
        <v>7.8938954500000005</v>
      </c>
      <c r="AR33" s="848">
        <v>7.8938954500000005</v>
      </c>
      <c r="AS33" s="848">
        <v>7.8938954500000005</v>
      </c>
      <c r="AT33" s="848">
        <v>7.8938954500000005</v>
      </c>
      <c r="AU33" s="848">
        <v>7.8938954500000005</v>
      </c>
      <c r="AV33" s="848">
        <v>7.8938954500000005</v>
      </c>
      <c r="AW33" s="848">
        <v>7.8938954500000005</v>
      </c>
      <c r="AX33" s="848">
        <v>7.8938954500000005</v>
      </c>
      <c r="AY33" s="848">
        <v>7.8938954500000005</v>
      </c>
      <c r="AZ33" s="848">
        <v>7.8938954500000005</v>
      </c>
      <c r="BA33" s="848">
        <v>8.356303548333333</v>
      </c>
      <c r="BB33" s="848">
        <v>8.356303548333333</v>
      </c>
      <c r="BC33" s="848">
        <v>8.356303548333333</v>
      </c>
      <c r="BD33" s="848">
        <v>8.356303548333333</v>
      </c>
      <c r="BE33" s="848">
        <v>8.356303548333333</v>
      </c>
      <c r="BF33" s="848">
        <v>8.356303548333333</v>
      </c>
      <c r="BG33" s="848">
        <v>8.356303548333333</v>
      </c>
      <c r="BH33" s="848">
        <v>8.356303548333333</v>
      </c>
      <c r="BI33" s="848">
        <v>8.356303548333333</v>
      </c>
      <c r="BJ33" s="848">
        <v>8.356303548333333</v>
      </c>
      <c r="BK33" s="848">
        <v>8.356303548333333</v>
      </c>
      <c r="BL33" s="848">
        <v>8.356303548333333</v>
      </c>
      <c r="BM33" s="848">
        <v>8.8584128275666671</v>
      </c>
      <c r="BN33" s="848">
        <v>8.8584128275666671</v>
      </c>
      <c r="BO33" s="848">
        <v>8.8584128275666671</v>
      </c>
      <c r="BP33" s="848">
        <v>8.8584128275666671</v>
      </c>
      <c r="BQ33" s="848">
        <v>8.8584128275666671</v>
      </c>
      <c r="BR33" s="848">
        <v>8.8584128275666671</v>
      </c>
      <c r="BS33" s="848">
        <v>8.8584128275666671</v>
      </c>
      <c r="BT33" s="848">
        <v>8.8584128275666671</v>
      </c>
      <c r="BU33" s="848">
        <v>8.8584128275666671</v>
      </c>
      <c r="BV33" s="848">
        <v>8.8584128275666671</v>
      </c>
      <c r="BW33" s="848">
        <v>8.8584128275666671</v>
      </c>
      <c r="BX33" s="848">
        <v>8.8584128275666671</v>
      </c>
      <c r="BY33" s="848">
        <v>9.4040626132113339</v>
      </c>
      <c r="BZ33" s="848">
        <v>9.4040626132113339</v>
      </c>
      <c r="CA33" s="848">
        <v>9.4040626132113339</v>
      </c>
      <c r="CB33" s="848">
        <v>9.4040626132113339</v>
      </c>
      <c r="CC33" s="848">
        <v>9.4040626132113339</v>
      </c>
      <c r="CD33" s="848">
        <v>9.4040626132113339</v>
      </c>
      <c r="CE33" s="848">
        <v>9.4040626132113339</v>
      </c>
      <c r="CF33" s="848">
        <v>9.4040626132113339</v>
      </c>
      <c r="CG33" s="848">
        <v>9.4040626132113339</v>
      </c>
      <c r="CH33" s="848">
        <v>9.4040626132113339</v>
      </c>
      <c r="CI33" s="848">
        <v>9.4040626132113339</v>
      </c>
      <c r="CJ33" s="848">
        <v>9.4040626132113339</v>
      </c>
      <c r="CK33" s="848">
        <v>9.9974735474782292</v>
      </c>
      <c r="CL33" s="848">
        <v>9.9974735474782292</v>
      </c>
      <c r="CM33" s="848">
        <v>9.9974735474782292</v>
      </c>
      <c r="CN33" s="848">
        <v>9.9974735474782292</v>
      </c>
      <c r="CO33" s="848">
        <v>9.9974735474782292</v>
      </c>
      <c r="CP33" s="848">
        <v>9.9974735474782292</v>
      </c>
      <c r="CQ33" s="848">
        <v>9.9974735474782292</v>
      </c>
      <c r="CR33" s="848">
        <v>9.9974735474782292</v>
      </c>
      <c r="CS33" s="848">
        <v>9.9974735474782292</v>
      </c>
      <c r="CT33" s="848">
        <v>9.9974735474782292</v>
      </c>
      <c r="CU33" s="848">
        <v>9.9974735474782292</v>
      </c>
      <c r="CV33" s="848">
        <v>9.9974735474782292</v>
      </c>
      <c r="CW33" s="848">
        <v>10.643285668630726</v>
      </c>
      <c r="CX33" s="848">
        <v>10.643285668630726</v>
      </c>
      <c r="CY33" s="848">
        <v>10.643285668630726</v>
      </c>
      <c r="CZ33" s="848">
        <v>10.643285668630726</v>
      </c>
      <c r="DA33" s="848">
        <v>10.643285668630726</v>
      </c>
      <c r="DB33" s="848">
        <v>10.643285668630726</v>
      </c>
      <c r="DC33" s="848">
        <v>10.643285668630726</v>
      </c>
      <c r="DD33" s="848">
        <v>10.643285668630726</v>
      </c>
      <c r="DE33" s="848">
        <v>10.643285668630726</v>
      </c>
      <c r="DF33" s="848">
        <v>10.643285668630726</v>
      </c>
      <c r="DG33" s="848">
        <v>10.643285668630726</v>
      </c>
      <c r="DH33" s="848">
        <v>10.643285668630726</v>
      </c>
      <c r="DI33" s="848">
        <v>11.346600297226569</v>
      </c>
      <c r="DJ33" s="848">
        <v>11.346600297226569</v>
      </c>
      <c r="DK33" s="848">
        <v>11.346600297226569</v>
      </c>
      <c r="DL33" s="848">
        <v>11.346600297226569</v>
      </c>
      <c r="DM33" s="848">
        <v>11.346600297226569</v>
      </c>
      <c r="DN33" s="848">
        <v>11.346600297226569</v>
      </c>
      <c r="DO33" s="848">
        <v>11.346600297226569</v>
      </c>
      <c r="DP33" s="848">
        <v>11.346600297226569</v>
      </c>
      <c r="DQ33" s="848">
        <v>11.346600297226569</v>
      </c>
      <c r="DR33" s="848">
        <v>11.346600297226569</v>
      </c>
      <c r="DS33" s="848">
        <v>11.346600297226569</v>
      </c>
      <c r="DT33" s="848">
        <v>11.346600297226569</v>
      </c>
      <c r="DU33" s="848">
        <v>14.836079685502613</v>
      </c>
      <c r="DV33" s="848">
        <v>14.836079685502613</v>
      </c>
      <c r="DW33" s="848">
        <v>14.836079685502613</v>
      </c>
      <c r="DX33" s="848">
        <v>14.836079685502613</v>
      </c>
      <c r="DY33" s="848">
        <v>14.836079685502613</v>
      </c>
      <c r="DZ33" s="848">
        <v>14.836079685502613</v>
      </c>
      <c r="EA33" s="960">
        <v>0</v>
      </c>
      <c r="EB33" s="960">
        <v>0</v>
      </c>
      <c r="EC33" s="960">
        <v>0</v>
      </c>
      <c r="ED33" s="960">
        <v>0</v>
      </c>
      <c r="EE33" s="960">
        <v>0</v>
      </c>
      <c r="EF33" s="960">
        <v>0</v>
      </c>
      <c r="EG33" s="960">
        <v>0</v>
      </c>
      <c r="EH33" s="960">
        <v>0</v>
      </c>
      <c r="EI33" s="960">
        <v>0</v>
      </c>
      <c r="EJ33" s="960">
        <v>0</v>
      </c>
      <c r="EK33" s="960">
        <v>0</v>
      </c>
      <c r="EL33" s="960">
        <v>0</v>
      </c>
    </row>
    <row r="34" spans="2:142" s="833" customFormat="1" ht="13.5">
      <c r="B34" s="1000"/>
      <c r="C34" s="1001"/>
      <c r="D34" s="881" t="s">
        <v>786</v>
      </c>
      <c r="E34" s="1001"/>
      <c r="F34" s="1008"/>
      <c r="G34" s="1001"/>
      <c r="H34" s="848">
        <f>SUM(J34:EL34)</f>
        <v>3849.1973326407192</v>
      </c>
      <c r="I34" s="520"/>
      <c r="J34" s="2280"/>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42.096338069428981</v>
      </c>
      <c r="AN34" s="848">
        <v>42.096338069428981</v>
      </c>
      <c r="AO34" s="848">
        <v>41.188529088145266</v>
      </c>
      <c r="AP34" s="848">
        <v>41.188529088145266</v>
      </c>
      <c r="AQ34" s="848">
        <v>41.188529088145266</v>
      </c>
      <c r="AR34" s="848">
        <v>41.188529088145266</v>
      </c>
      <c r="AS34" s="848">
        <v>41.188529088145266</v>
      </c>
      <c r="AT34" s="848">
        <v>41.188529088145266</v>
      </c>
      <c r="AU34" s="848">
        <v>41.188529088145266</v>
      </c>
      <c r="AV34" s="848">
        <v>41.188529088145266</v>
      </c>
      <c r="AW34" s="848">
        <v>41.188529088145266</v>
      </c>
      <c r="AX34" s="848">
        <v>41.188529088145266</v>
      </c>
      <c r="AY34" s="848">
        <v>41.188529088145266</v>
      </c>
      <c r="AZ34" s="848">
        <v>41.188529088145266</v>
      </c>
      <c r="BA34" s="848">
        <v>41.314754618384391</v>
      </c>
      <c r="BB34" s="848">
        <v>41.314754618384391</v>
      </c>
      <c r="BC34" s="848">
        <v>41.314754618384391</v>
      </c>
      <c r="BD34" s="848">
        <v>41.314754618384391</v>
      </c>
      <c r="BE34" s="848">
        <v>41.314754618384391</v>
      </c>
      <c r="BF34" s="848">
        <v>41.314754618384391</v>
      </c>
      <c r="BG34" s="848">
        <v>41.314754618384391</v>
      </c>
      <c r="BH34" s="848">
        <v>41.314754618384391</v>
      </c>
      <c r="BI34" s="848">
        <v>41.314754618384391</v>
      </c>
      <c r="BJ34" s="848">
        <v>41.314754618384391</v>
      </c>
      <c r="BK34" s="848">
        <v>41.314754618384391</v>
      </c>
      <c r="BL34" s="848">
        <v>41.314754618384391</v>
      </c>
      <c r="BM34" s="848">
        <v>41.418992510743799</v>
      </c>
      <c r="BN34" s="848">
        <v>41.418992510743799</v>
      </c>
      <c r="BO34" s="848">
        <v>41.418992510743799</v>
      </c>
      <c r="BP34" s="848">
        <v>41.418992510743799</v>
      </c>
      <c r="BQ34" s="848">
        <v>41.418992510743799</v>
      </c>
      <c r="BR34" s="848">
        <v>41.418992510743799</v>
      </c>
      <c r="BS34" s="848">
        <v>41.418992510743799</v>
      </c>
      <c r="BT34" s="848">
        <v>41.418992510743799</v>
      </c>
      <c r="BU34" s="848">
        <v>41.418992510743799</v>
      </c>
      <c r="BV34" s="848">
        <v>41.418992510743799</v>
      </c>
      <c r="BW34" s="848">
        <v>41.418992510743799</v>
      </c>
      <c r="BX34" s="848">
        <v>41.418992510743799</v>
      </c>
      <c r="BY34" s="848">
        <v>42.136744559217234</v>
      </c>
      <c r="BZ34" s="848">
        <v>42.136744559217234</v>
      </c>
      <c r="CA34" s="848">
        <v>42.136744559217234</v>
      </c>
      <c r="CB34" s="848">
        <v>42.136744559217234</v>
      </c>
      <c r="CC34" s="848">
        <v>42.136744559217234</v>
      </c>
      <c r="CD34" s="848">
        <v>42.136744559217234</v>
      </c>
      <c r="CE34" s="848">
        <v>42.136744559217234</v>
      </c>
      <c r="CF34" s="848">
        <v>42.136744559217234</v>
      </c>
      <c r="CG34" s="848">
        <v>42.136744559217234</v>
      </c>
      <c r="CH34" s="848">
        <v>42.136744559217234</v>
      </c>
      <c r="CI34" s="848">
        <v>42.136744559217234</v>
      </c>
      <c r="CJ34" s="848">
        <v>42.136744559217234</v>
      </c>
      <c r="CK34" s="848">
        <v>42.187222165985659</v>
      </c>
      <c r="CL34" s="848">
        <v>42.187222165985659</v>
      </c>
      <c r="CM34" s="848">
        <v>42.187222165985659</v>
      </c>
      <c r="CN34" s="848">
        <v>42.187222165985659</v>
      </c>
      <c r="CO34" s="848">
        <v>42.187222165985659</v>
      </c>
      <c r="CP34" s="848">
        <v>42.187222165985659</v>
      </c>
      <c r="CQ34" s="848">
        <v>42.187222165985659</v>
      </c>
      <c r="CR34" s="848">
        <v>42.187222165985659</v>
      </c>
      <c r="CS34" s="848">
        <v>42.187222165985659</v>
      </c>
      <c r="CT34" s="848">
        <v>42.187222165985659</v>
      </c>
      <c r="CU34" s="848">
        <v>42.187222165985659</v>
      </c>
      <c r="CV34" s="848">
        <v>42.187222165985659</v>
      </c>
      <c r="CW34" s="848">
        <v>42.211029730347519</v>
      </c>
      <c r="CX34" s="848">
        <v>42.211029730347519</v>
      </c>
      <c r="CY34" s="848">
        <v>42.211029730347519</v>
      </c>
      <c r="CZ34" s="848">
        <v>42.211029730347519</v>
      </c>
      <c r="DA34" s="848">
        <v>42.211029730347519</v>
      </c>
      <c r="DB34" s="848">
        <v>42.211029730347519</v>
      </c>
      <c r="DC34" s="848">
        <v>42.211029730347519</v>
      </c>
      <c r="DD34" s="848">
        <v>42.211029730347519</v>
      </c>
      <c r="DE34" s="848">
        <v>42.211029730347519</v>
      </c>
      <c r="DF34" s="848">
        <v>42.211029730347519</v>
      </c>
      <c r="DG34" s="848">
        <v>42.211029730347519</v>
      </c>
      <c r="DH34" s="848">
        <v>42.211029730347519</v>
      </c>
      <c r="DI34" s="848">
        <v>42.206720498735962</v>
      </c>
      <c r="DJ34" s="848">
        <v>42.206720498735962</v>
      </c>
      <c r="DK34" s="848">
        <v>42.206720498735962</v>
      </c>
      <c r="DL34" s="848">
        <v>42.206720498735962</v>
      </c>
      <c r="DM34" s="848">
        <v>42.206720498735962</v>
      </c>
      <c r="DN34" s="848">
        <v>42.206720498735962</v>
      </c>
      <c r="DO34" s="848">
        <v>42.206720498735962</v>
      </c>
      <c r="DP34" s="848">
        <v>42.206720498735962</v>
      </c>
      <c r="DQ34" s="848">
        <v>42.206720498735962</v>
      </c>
      <c r="DR34" s="848">
        <v>42.206720498735962</v>
      </c>
      <c r="DS34" s="848">
        <v>42.206720498735962</v>
      </c>
      <c r="DT34" s="848">
        <v>42.206720498735962</v>
      </c>
      <c r="DU34" s="848">
        <v>42.172789740523854</v>
      </c>
      <c r="DV34" s="848">
        <v>42.172789740523854</v>
      </c>
      <c r="DW34" s="848">
        <v>42.172789740523854</v>
      </c>
      <c r="DX34" s="848">
        <v>42.172789740523854</v>
      </c>
      <c r="DY34" s="848">
        <v>42.172789740523854</v>
      </c>
      <c r="DZ34" s="848">
        <v>42.172789740523854</v>
      </c>
      <c r="EA34" s="960">
        <v>0</v>
      </c>
      <c r="EB34" s="960">
        <v>0</v>
      </c>
      <c r="EC34" s="960">
        <v>0</v>
      </c>
      <c r="ED34" s="960">
        <v>0</v>
      </c>
      <c r="EE34" s="960">
        <v>0</v>
      </c>
      <c r="EF34" s="960">
        <v>0</v>
      </c>
      <c r="EG34" s="960">
        <v>0</v>
      </c>
      <c r="EH34" s="960">
        <v>0</v>
      </c>
      <c r="EI34" s="960">
        <v>0</v>
      </c>
      <c r="EJ34" s="960">
        <v>0</v>
      </c>
      <c r="EK34" s="960">
        <v>0</v>
      </c>
      <c r="EL34" s="960">
        <v>0</v>
      </c>
    </row>
    <row r="35" spans="2:142" ht="13.5">
      <c r="B35" s="1000"/>
      <c r="C35" s="986"/>
      <c r="D35" s="881" t="s">
        <v>1610</v>
      </c>
      <c r="E35" s="1001"/>
      <c r="F35" s="1008"/>
      <c r="G35" s="986"/>
      <c r="H35" s="848">
        <f t="shared" si="4"/>
        <v>254.8754124176385</v>
      </c>
      <c r="I35" s="520"/>
      <c r="J35" s="2280"/>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1.8189262812986304</v>
      </c>
      <c r="AN35" s="848">
        <v>1.8795571573419185</v>
      </c>
      <c r="AO35" s="848">
        <v>2.2684310519643844</v>
      </c>
      <c r="AP35" s="848">
        <v>2.1220806615150698</v>
      </c>
      <c r="AQ35" s="848">
        <v>2.2684310519643844</v>
      </c>
      <c r="AR35" s="848">
        <v>2.1952558567397267</v>
      </c>
      <c r="AS35" s="848">
        <v>2.2684310519643844</v>
      </c>
      <c r="AT35" s="848">
        <v>2.1952558567397267</v>
      </c>
      <c r="AU35" s="848">
        <v>2.2684310519643844</v>
      </c>
      <c r="AV35" s="848">
        <v>2.2684310519643844</v>
      </c>
      <c r="AW35" s="848">
        <v>2.1952558567397267</v>
      </c>
      <c r="AX35" s="848">
        <v>2.2684310519643844</v>
      </c>
      <c r="AY35" s="848">
        <v>2.1952558567397267</v>
      </c>
      <c r="AZ35" s="848">
        <v>2.2684310519643844</v>
      </c>
      <c r="BA35" s="848">
        <v>2.2684310519643844</v>
      </c>
      <c r="BB35" s="848">
        <v>2.0489054662904116</v>
      </c>
      <c r="BC35" s="848">
        <v>2.2684310519643844</v>
      </c>
      <c r="BD35" s="848">
        <v>2.1952558567397267</v>
      </c>
      <c r="BE35" s="848">
        <v>2.2684310519643844</v>
      </c>
      <c r="BF35" s="848">
        <v>2.1952558567397267</v>
      </c>
      <c r="BG35" s="848">
        <v>2.2684310519643844</v>
      </c>
      <c r="BH35" s="848">
        <v>2.2684310519643844</v>
      </c>
      <c r="BI35" s="848">
        <v>2.1952558567397267</v>
      </c>
      <c r="BJ35" s="848">
        <v>2.2684310519643844</v>
      </c>
      <c r="BK35" s="848">
        <v>2.1952558567397267</v>
      </c>
      <c r="BL35" s="848">
        <v>2.2684310519643844</v>
      </c>
      <c r="BM35" s="848">
        <v>2.2684310519643844</v>
      </c>
      <c r="BN35" s="848">
        <v>2.0489054662904116</v>
      </c>
      <c r="BO35" s="848">
        <v>2.2684310519643844</v>
      </c>
      <c r="BP35" s="848">
        <v>2.1952558567397267</v>
      </c>
      <c r="BQ35" s="848">
        <v>2.2684310519643844</v>
      </c>
      <c r="BR35" s="848">
        <v>2.1952558567397267</v>
      </c>
      <c r="BS35" s="848">
        <v>2.2684310519643844</v>
      </c>
      <c r="BT35" s="848">
        <v>2.2684310519643844</v>
      </c>
      <c r="BU35" s="848">
        <v>2.1952558567397267</v>
      </c>
      <c r="BV35" s="848">
        <v>2.2684310519643844</v>
      </c>
      <c r="BW35" s="848">
        <v>2.1952558567397267</v>
      </c>
      <c r="BX35" s="848">
        <v>2.2684310519643844</v>
      </c>
      <c r="BY35" s="848">
        <v>2.2684310519643844</v>
      </c>
      <c r="BZ35" s="848">
        <v>2.0489054662904116</v>
      </c>
      <c r="CA35" s="848">
        <v>2.2684310519643844</v>
      </c>
      <c r="CB35" s="848">
        <v>2.1952558567397267</v>
      </c>
      <c r="CC35" s="848">
        <v>2.2684310519643844</v>
      </c>
      <c r="CD35" s="848">
        <v>2.1952558567397267</v>
      </c>
      <c r="CE35" s="848">
        <v>2.2684310519643844</v>
      </c>
      <c r="CF35" s="848">
        <v>2.2684310519643844</v>
      </c>
      <c r="CG35" s="848">
        <v>2.1952558567397267</v>
      </c>
      <c r="CH35" s="848">
        <v>2.2684310519643844</v>
      </c>
      <c r="CI35" s="848">
        <v>2.1952558567397267</v>
      </c>
      <c r="CJ35" s="848">
        <v>2.2684310519643844</v>
      </c>
      <c r="CK35" s="848">
        <v>2.2684310519643844</v>
      </c>
      <c r="CL35" s="848">
        <v>2.1220806615150698</v>
      </c>
      <c r="CM35" s="848">
        <v>3.4674315309851238</v>
      </c>
      <c r="CN35" s="848">
        <v>3.3555789009533457</v>
      </c>
      <c r="CO35" s="848">
        <v>3.4674315309851238</v>
      </c>
      <c r="CP35" s="848">
        <v>3.3555789009533457</v>
      </c>
      <c r="CQ35" s="848">
        <v>3.4674315309851238</v>
      </c>
      <c r="CR35" s="848">
        <v>3.4674315309851238</v>
      </c>
      <c r="CS35" s="848">
        <v>3.3555789009533457</v>
      </c>
      <c r="CT35" s="848">
        <v>3.4674315309851238</v>
      </c>
      <c r="CU35" s="848">
        <v>3.4714062556946943</v>
      </c>
      <c r="CV35" s="848">
        <v>3.5871197975511842</v>
      </c>
      <c r="CW35" s="848">
        <v>3.5871197975511842</v>
      </c>
      <c r="CX35" s="848">
        <v>3.2399791719817146</v>
      </c>
      <c r="CY35" s="848">
        <v>3.5871197975511842</v>
      </c>
      <c r="CZ35" s="848">
        <v>3.4714062556946943</v>
      </c>
      <c r="DA35" s="848">
        <v>3.5871197975511842</v>
      </c>
      <c r="DB35" s="848">
        <v>3.4714062556946943</v>
      </c>
      <c r="DC35" s="848">
        <v>3.5871197975511842</v>
      </c>
      <c r="DD35" s="848">
        <v>3.5871197975511842</v>
      </c>
      <c r="DE35" s="848">
        <v>3.4714062556946943</v>
      </c>
      <c r="DF35" s="848">
        <v>3.5871197975511842</v>
      </c>
      <c r="DG35" s="848">
        <v>3.4714062556946943</v>
      </c>
      <c r="DH35" s="848">
        <v>3.5871197975511842</v>
      </c>
      <c r="DI35" s="848">
        <v>3.5871197975511842</v>
      </c>
      <c r="DJ35" s="848">
        <v>3.2399791719817146</v>
      </c>
      <c r="DK35" s="848">
        <v>3.5871197975511842</v>
      </c>
      <c r="DL35" s="848">
        <v>3.4714062556946943</v>
      </c>
      <c r="DM35" s="848">
        <v>3.5871197975511842</v>
      </c>
      <c r="DN35" s="848">
        <v>3.4714062556946943</v>
      </c>
      <c r="DO35" s="848">
        <v>3.5871197975511842</v>
      </c>
      <c r="DP35" s="848">
        <v>3.5871197975511842</v>
      </c>
      <c r="DQ35" s="848">
        <v>3.4714062556946943</v>
      </c>
      <c r="DR35" s="848">
        <v>3.5871197975511842</v>
      </c>
      <c r="DS35" s="848">
        <v>3.4714062556946943</v>
      </c>
      <c r="DT35" s="848">
        <v>3.5871197975511842</v>
      </c>
      <c r="DU35" s="848">
        <v>3.5871197975511842</v>
      </c>
      <c r="DV35" s="848">
        <v>3.2399791719817146</v>
      </c>
      <c r="DW35" s="848">
        <v>3.5871197975511842</v>
      </c>
      <c r="DX35" s="848">
        <v>3.4714062556946943</v>
      </c>
      <c r="DY35" s="848">
        <v>3.5871197975511842</v>
      </c>
      <c r="DZ35" s="848">
        <v>3.4714062556946943</v>
      </c>
      <c r="EA35" s="960">
        <v>0</v>
      </c>
      <c r="EB35" s="960">
        <v>0</v>
      </c>
      <c r="EC35" s="960">
        <v>0</v>
      </c>
      <c r="ED35" s="960">
        <v>0</v>
      </c>
      <c r="EE35" s="960">
        <v>0</v>
      </c>
      <c r="EF35" s="960">
        <v>0</v>
      </c>
      <c r="EG35" s="960">
        <v>0</v>
      </c>
      <c r="EH35" s="960">
        <v>0</v>
      </c>
      <c r="EI35" s="960">
        <v>0</v>
      </c>
      <c r="EJ35" s="960">
        <v>0</v>
      </c>
      <c r="EK35" s="960">
        <v>0</v>
      </c>
      <c r="EL35" s="960">
        <v>0</v>
      </c>
    </row>
    <row r="36" spans="2:142" s="833" customFormat="1" ht="13.5">
      <c r="B36" s="1000"/>
      <c r="C36" s="1001"/>
      <c r="D36" s="881" t="s">
        <v>2008</v>
      </c>
      <c r="E36" s="1001"/>
      <c r="F36" s="1008"/>
      <c r="G36" s="1001"/>
      <c r="H36" s="848">
        <f t="shared" si="4"/>
        <v>1145.5325629999988</v>
      </c>
      <c r="I36" s="520"/>
      <c r="J36" s="2280">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14.152264040646767</v>
      </c>
      <c r="AN36" s="848">
        <v>14.152264040646767</v>
      </c>
      <c r="AO36" s="848">
        <v>14.152264040646767</v>
      </c>
      <c r="AP36" s="848">
        <v>14.152264040646767</v>
      </c>
      <c r="AQ36" s="848">
        <v>14.152264040646767</v>
      </c>
      <c r="AR36" s="848">
        <v>14.152264040646767</v>
      </c>
      <c r="AS36" s="848">
        <v>14.152264040646767</v>
      </c>
      <c r="AT36" s="848">
        <v>14.152264040646767</v>
      </c>
      <c r="AU36" s="848">
        <v>14.152264040646767</v>
      </c>
      <c r="AV36" s="848">
        <v>14.152264040646767</v>
      </c>
      <c r="AW36" s="848">
        <v>14.152264040646767</v>
      </c>
      <c r="AX36" s="848">
        <v>14.152264040646767</v>
      </c>
      <c r="AY36" s="848">
        <v>14.152264040646767</v>
      </c>
      <c r="AZ36" s="848">
        <v>14.152264040646767</v>
      </c>
      <c r="BA36" s="848">
        <v>14.152264040646767</v>
      </c>
      <c r="BB36" s="848">
        <v>14.152264040646767</v>
      </c>
      <c r="BC36" s="848">
        <v>14.152264040646767</v>
      </c>
      <c r="BD36" s="848">
        <v>14.152264040646767</v>
      </c>
      <c r="BE36" s="848">
        <v>14.152264040646767</v>
      </c>
      <c r="BF36" s="848">
        <v>14.152264040646767</v>
      </c>
      <c r="BG36" s="848">
        <v>14.152264040646767</v>
      </c>
      <c r="BH36" s="848">
        <v>14.152264040646767</v>
      </c>
      <c r="BI36" s="848">
        <v>14.152264040646767</v>
      </c>
      <c r="BJ36" s="848">
        <v>14.152264040646767</v>
      </c>
      <c r="BK36" s="848">
        <v>14.152264040646767</v>
      </c>
      <c r="BL36" s="848">
        <v>14.152264040646767</v>
      </c>
      <c r="BM36" s="848">
        <v>14.152264040646767</v>
      </c>
      <c r="BN36" s="848">
        <v>14.152264040646767</v>
      </c>
      <c r="BO36" s="848">
        <v>14.152264040646767</v>
      </c>
      <c r="BP36" s="848">
        <v>14.152264040646767</v>
      </c>
      <c r="BQ36" s="848">
        <v>14.152264040646767</v>
      </c>
      <c r="BR36" s="848">
        <v>14.152264040646767</v>
      </c>
      <c r="BS36" s="848">
        <v>14.152264040646767</v>
      </c>
      <c r="BT36" s="848">
        <v>14.152264040646767</v>
      </c>
      <c r="BU36" s="848">
        <v>14.152264040646767</v>
      </c>
      <c r="BV36" s="848">
        <v>14.152264040646767</v>
      </c>
      <c r="BW36" s="848">
        <v>14.152264040646767</v>
      </c>
      <c r="BX36" s="848">
        <v>14.152264040646767</v>
      </c>
      <c r="BY36" s="848">
        <v>14.152264040646767</v>
      </c>
      <c r="BZ36" s="848">
        <v>14.152264040646767</v>
      </c>
      <c r="CA36" s="848">
        <v>14.152264040646767</v>
      </c>
      <c r="CB36" s="848">
        <v>14.152264040646767</v>
      </c>
      <c r="CC36" s="848">
        <v>14.152264040646767</v>
      </c>
      <c r="CD36" s="848">
        <v>14.152264040646767</v>
      </c>
      <c r="CE36" s="848">
        <v>14.152264040646767</v>
      </c>
      <c r="CF36" s="848">
        <v>14.152264040646767</v>
      </c>
      <c r="CG36" s="848">
        <v>14.152264040646767</v>
      </c>
      <c r="CH36" s="848">
        <v>14.152264040646767</v>
      </c>
      <c r="CI36" s="848">
        <v>14.152264040646767</v>
      </c>
      <c r="CJ36" s="848">
        <v>14.152264040646767</v>
      </c>
      <c r="CK36" s="848">
        <v>14.152264040646656</v>
      </c>
      <c r="CL36" s="848">
        <v>9.404478197509512</v>
      </c>
      <c r="CM36" s="848">
        <v>9.404478197509512</v>
      </c>
      <c r="CN36" s="848">
        <v>9.404478197509512</v>
      </c>
      <c r="CO36" s="848">
        <v>9.404478197509512</v>
      </c>
      <c r="CP36" s="848">
        <v>9.404478197509512</v>
      </c>
      <c r="CQ36" s="848">
        <v>9.404478197509512</v>
      </c>
      <c r="CR36" s="848">
        <v>9.404478197509512</v>
      </c>
      <c r="CS36" s="848">
        <v>9.404478197509496</v>
      </c>
      <c r="CT36" s="848">
        <v>8.9366992653061228</v>
      </c>
      <c r="CU36" s="848">
        <v>8.9366992653061228</v>
      </c>
      <c r="CV36" s="848">
        <v>8.9366992653061228</v>
      </c>
      <c r="CW36" s="848">
        <v>8.9366992653061228</v>
      </c>
      <c r="CX36" s="848">
        <v>8.9366992653061228</v>
      </c>
      <c r="CY36" s="848">
        <v>8.9366992653061228</v>
      </c>
      <c r="CZ36" s="848">
        <v>8.9366992653061228</v>
      </c>
      <c r="DA36" s="848">
        <v>8.9366992653061228</v>
      </c>
      <c r="DB36" s="848">
        <v>8.9366992653061228</v>
      </c>
      <c r="DC36" s="848">
        <v>8.9366992653061228</v>
      </c>
      <c r="DD36" s="848">
        <v>8.9366992653061228</v>
      </c>
      <c r="DE36" s="848">
        <v>8.9366992653061228</v>
      </c>
      <c r="DF36" s="848">
        <v>8.9366992653061228</v>
      </c>
      <c r="DG36" s="848">
        <v>8.9366992653061228</v>
      </c>
      <c r="DH36" s="848">
        <v>8.9366992653061228</v>
      </c>
      <c r="DI36" s="848">
        <v>8.9366992653061228</v>
      </c>
      <c r="DJ36" s="848">
        <v>8.9366992653061228</v>
      </c>
      <c r="DK36" s="848">
        <v>8.9366992653061228</v>
      </c>
      <c r="DL36" s="848">
        <v>8.9366992653061228</v>
      </c>
      <c r="DM36" s="848">
        <v>8.9366992653061228</v>
      </c>
      <c r="DN36" s="848">
        <v>8.9366992653061228</v>
      </c>
      <c r="DO36" s="848">
        <v>8.9366992653061228</v>
      </c>
      <c r="DP36" s="848">
        <v>8.9366992653061228</v>
      </c>
      <c r="DQ36" s="848">
        <v>8.9366992653061228</v>
      </c>
      <c r="DR36" s="848">
        <v>8.9366992653061228</v>
      </c>
      <c r="DS36" s="848">
        <v>8.9366992653061228</v>
      </c>
      <c r="DT36" s="848">
        <v>8.9366992653061228</v>
      </c>
      <c r="DU36" s="848">
        <v>8.9366992653061228</v>
      </c>
      <c r="DV36" s="848">
        <v>8.9366992653061228</v>
      </c>
      <c r="DW36" s="848">
        <v>8.9366992653061228</v>
      </c>
      <c r="DX36" s="848">
        <v>8.9366992653061228</v>
      </c>
      <c r="DY36" s="848">
        <v>8.9366992653061228</v>
      </c>
      <c r="DZ36" s="848">
        <v>62.556894857141288</v>
      </c>
      <c r="EA36" s="960">
        <v>0</v>
      </c>
      <c r="EB36" s="960">
        <v>0</v>
      </c>
      <c r="EC36" s="960">
        <v>0</v>
      </c>
      <c r="ED36" s="960">
        <v>0</v>
      </c>
      <c r="EE36" s="960">
        <v>0</v>
      </c>
      <c r="EF36" s="960">
        <v>0</v>
      </c>
      <c r="EG36" s="960">
        <v>0</v>
      </c>
      <c r="EH36" s="960">
        <v>0</v>
      </c>
      <c r="EI36" s="960">
        <v>0</v>
      </c>
      <c r="EJ36" s="960">
        <v>0</v>
      </c>
      <c r="EK36" s="960">
        <v>0</v>
      </c>
      <c r="EL36" s="960">
        <v>0</v>
      </c>
    </row>
    <row r="37" spans="2:142" s="833" customFormat="1" ht="13.5">
      <c r="B37" s="1000"/>
      <c r="C37" s="1001"/>
      <c r="D37" s="881" t="s">
        <v>1589</v>
      </c>
      <c r="E37" s="1001"/>
      <c r="F37" s="1008"/>
      <c r="G37" s="1001"/>
      <c r="H37" s="848">
        <f t="shared" ref="H37" si="5">SUM(J37:EL37)</f>
        <v>930</v>
      </c>
      <c r="I37" s="520"/>
      <c r="J37" s="848"/>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0</v>
      </c>
      <c r="AN37" s="848">
        <v>0</v>
      </c>
      <c r="AO37" s="848">
        <v>0</v>
      </c>
      <c r="AP37" s="848">
        <v>0</v>
      </c>
      <c r="AQ37" s="848">
        <v>0</v>
      </c>
      <c r="AR37" s="848">
        <v>330</v>
      </c>
      <c r="AS37" s="848">
        <v>0</v>
      </c>
      <c r="AT37" s="848">
        <v>0</v>
      </c>
      <c r="AU37" s="848">
        <v>0</v>
      </c>
      <c r="AV37" s="848">
        <v>0</v>
      </c>
      <c r="AW37" s="848">
        <v>0</v>
      </c>
      <c r="AX37" s="848">
        <v>100</v>
      </c>
      <c r="AY37" s="848">
        <v>0</v>
      </c>
      <c r="AZ37" s="848">
        <v>0</v>
      </c>
      <c r="BA37" s="848">
        <v>0</v>
      </c>
      <c r="BB37" s="848">
        <v>0</v>
      </c>
      <c r="BC37" s="848">
        <v>0</v>
      </c>
      <c r="BD37" s="848">
        <v>100</v>
      </c>
      <c r="BE37" s="848">
        <v>0</v>
      </c>
      <c r="BF37" s="848">
        <v>0</v>
      </c>
      <c r="BG37" s="848">
        <v>0</v>
      </c>
      <c r="BH37" s="848">
        <v>0</v>
      </c>
      <c r="BI37" s="848">
        <v>0</v>
      </c>
      <c r="BJ37" s="848">
        <v>100</v>
      </c>
      <c r="BK37" s="848">
        <v>0</v>
      </c>
      <c r="BL37" s="848">
        <v>0</v>
      </c>
      <c r="BM37" s="848">
        <v>0</v>
      </c>
      <c r="BN37" s="848">
        <v>0</v>
      </c>
      <c r="BO37" s="848">
        <v>0</v>
      </c>
      <c r="BP37" s="848">
        <v>100</v>
      </c>
      <c r="BQ37" s="848">
        <v>0</v>
      </c>
      <c r="BR37" s="848">
        <v>0</v>
      </c>
      <c r="BS37" s="848">
        <v>0</v>
      </c>
      <c r="BT37" s="848">
        <v>0</v>
      </c>
      <c r="BU37" s="848">
        <v>0</v>
      </c>
      <c r="BV37" s="848">
        <v>100</v>
      </c>
      <c r="BW37" s="848">
        <v>0</v>
      </c>
      <c r="BX37" s="848">
        <v>0</v>
      </c>
      <c r="BY37" s="848">
        <v>0</v>
      </c>
      <c r="BZ37" s="848">
        <v>0</v>
      </c>
      <c r="CA37" s="848">
        <v>0</v>
      </c>
      <c r="CB37" s="848">
        <v>100</v>
      </c>
      <c r="CC37" s="848">
        <v>0</v>
      </c>
      <c r="CD37" s="848">
        <v>0</v>
      </c>
      <c r="CE37" s="848">
        <v>0</v>
      </c>
      <c r="CF37" s="848">
        <v>0</v>
      </c>
      <c r="CG37" s="848">
        <v>0</v>
      </c>
      <c r="CH37" s="848">
        <v>0</v>
      </c>
      <c r="CI37" s="848">
        <v>0</v>
      </c>
      <c r="CJ37" s="848">
        <v>0</v>
      </c>
      <c r="CK37" s="848">
        <v>0</v>
      </c>
      <c r="CL37" s="848">
        <v>0</v>
      </c>
      <c r="CM37" s="848">
        <v>0</v>
      </c>
      <c r="CN37" s="848">
        <v>0</v>
      </c>
      <c r="CO37" s="848">
        <v>0</v>
      </c>
      <c r="CP37" s="848">
        <v>0</v>
      </c>
      <c r="CQ37" s="848">
        <v>0</v>
      </c>
      <c r="CR37" s="848">
        <v>0</v>
      </c>
      <c r="CS37" s="848">
        <v>0</v>
      </c>
      <c r="CT37" s="848">
        <v>0</v>
      </c>
      <c r="CU37" s="848">
        <v>0</v>
      </c>
      <c r="CV37" s="848">
        <v>0</v>
      </c>
      <c r="CW37" s="848">
        <v>0</v>
      </c>
      <c r="CX37" s="848">
        <v>0</v>
      </c>
      <c r="CY37" s="848">
        <v>0</v>
      </c>
      <c r="CZ37" s="848">
        <v>0</v>
      </c>
      <c r="DA37" s="848">
        <v>0</v>
      </c>
      <c r="DB37" s="848">
        <v>0</v>
      </c>
      <c r="DC37" s="848">
        <v>0</v>
      </c>
      <c r="DD37" s="848">
        <v>0</v>
      </c>
      <c r="DE37" s="848">
        <v>0</v>
      </c>
      <c r="DF37" s="848">
        <v>0</v>
      </c>
      <c r="DG37" s="848">
        <v>0</v>
      </c>
      <c r="DH37" s="848">
        <v>0</v>
      </c>
      <c r="DI37" s="848">
        <v>0</v>
      </c>
      <c r="DJ37" s="848">
        <v>0</v>
      </c>
      <c r="DK37" s="848">
        <v>0</v>
      </c>
      <c r="DL37" s="848">
        <v>0</v>
      </c>
      <c r="DM37" s="848">
        <v>0</v>
      </c>
      <c r="DN37" s="848">
        <v>0</v>
      </c>
      <c r="DO37" s="848">
        <v>0</v>
      </c>
      <c r="DP37" s="848">
        <v>0</v>
      </c>
      <c r="DQ37" s="848">
        <v>0</v>
      </c>
      <c r="DR37" s="848">
        <v>0</v>
      </c>
      <c r="DS37" s="848">
        <v>0</v>
      </c>
      <c r="DT37" s="848">
        <v>0</v>
      </c>
      <c r="DU37" s="848">
        <v>0</v>
      </c>
      <c r="DV37" s="848">
        <v>0</v>
      </c>
      <c r="DW37" s="848">
        <v>0</v>
      </c>
      <c r="DX37" s="848">
        <v>0</v>
      </c>
      <c r="DY37" s="848">
        <v>0</v>
      </c>
      <c r="DZ37" s="848">
        <v>0</v>
      </c>
      <c r="EA37" s="848">
        <v>0</v>
      </c>
      <c r="EB37" s="848">
        <v>0</v>
      </c>
      <c r="EC37" s="848">
        <v>0</v>
      </c>
      <c r="ED37" s="848">
        <v>0</v>
      </c>
      <c r="EE37" s="848">
        <v>0</v>
      </c>
      <c r="EF37" s="848">
        <v>0</v>
      </c>
      <c r="EG37" s="848">
        <v>0</v>
      </c>
      <c r="EH37" s="848">
        <v>0</v>
      </c>
      <c r="EI37" s="848">
        <v>0</v>
      </c>
      <c r="EJ37" s="848">
        <v>0</v>
      </c>
      <c r="EK37" s="848">
        <v>0</v>
      </c>
      <c r="EL37" s="848">
        <v>0</v>
      </c>
    </row>
    <row r="38" spans="2:142" s="833" customFormat="1" ht="13.5">
      <c r="B38" s="1000"/>
      <c r="C38" s="1001"/>
      <c r="D38" s="881" t="s">
        <v>2030</v>
      </c>
      <c r="E38" s="1001"/>
      <c r="F38" s="1008"/>
      <c r="G38" s="1001"/>
      <c r="H38" s="848">
        <f t="shared" si="4"/>
        <v>0</v>
      </c>
      <c r="I38" s="520"/>
      <c r="J38" s="848"/>
      <c r="K38" s="848"/>
      <c r="L38" s="848"/>
      <c r="M38" s="848"/>
      <c r="N38" s="848"/>
      <c r="O38" s="848"/>
      <c r="P38" s="848"/>
      <c r="Q38" s="848"/>
      <c r="R38" s="848"/>
      <c r="S38" s="848"/>
      <c r="T38" s="848"/>
      <c r="U38" s="848"/>
      <c r="V38" s="848"/>
      <c r="W38" s="848"/>
      <c r="X38" s="848"/>
      <c r="Y38" s="848"/>
      <c r="Z38" s="848"/>
      <c r="AA38" s="848"/>
      <c r="AB38" s="848"/>
      <c r="AC38" s="848"/>
      <c r="AD38" s="848"/>
      <c r="AE38" s="848"/>
      <c r="AF38" s="848"/>
      <c r="AG38" s="848"/>
      <c r="AH38" s="848"/>
      <c r="AI38" s="848"/>
      <c r="AJ38" s="848"/>
      <c r="AK38" s="848"/>
      <c r="AL38" s="848"/>
      <c r="AM38" s="848"/>
      <c r="AN38" s="848"/>
      <c r="AO38" s="848"/>
      <c r="AP38" s="848"/>
      <c r="AQ38" s="848"/>
      <c r="AR38" s="848"/>
      <c r="AS38" s="848"/>
      <c r="AT38" s="848"/>
      <c r="AU38" s="848"/>
      <c r="AV38" s="848"/>
      <c r="AW38" s="848"/>
      <c r="AX38" s="848"/>
      <c r="AY38" s="848"/>
      <c r="AZ38" s="848"/>
      <c r="BA38" s="848"/>
      <c r="BB38" s="848"/>
      <c r="BC38" s="848"/>
      <c r="BD38" s="848"/>
      <c r="BE38" s="848"/>
      <c r="BF38" s="848"/>
      <c r="BG38" s="848"/>
      <c r="BH38" s="848"/>
      <c r="BI38" s="848"/>
      <c r="BJ38" s="848"/>
      <c r="BK38" s="848"/>
      <c r="BL38" s="848"/>
      <c r="BM38" s="848"/>
      <c r="BN38" s="848"/>
      <c r="BO38" s="848"/>
      <c r="BP38" s="848"/>
      <c r="BQ38" s="848"/>
      <c r="BR38" s="848"/>
      <c r="BS38" s="848"/>
      <c r="BT38" s="848"/>
      <c r="BU38" s="848"/>
      <c r="BV38" s="848"/>
      <c r="BW38" s="848"/>
      <c r="BX38" s="848"/>
      <c r="BY38" s="848"/>
      <c r="BZ38" s="848"/>
      <c r="CA38" s="848"/>
      <c r="CB38" s="848"/>
      <c r="CC38" s="848"/>
      <c r="CD38" s="848"/>
      <c r="CE38" s="848"/>
      <c r="CF38" s="848"/>
      <c r="CG38" s="848"/>
      <c r="CH38" s="848"/>
      <c r="CI38" s="848"/>
      <c r="CJ38" s="848"/>
      <c r="CK38" s="848"/>
      <c r="CL38" s="848"/>
      <c r="CM38" s="848"/>
      <c r="CN38" s="848"/>
      <c r="CO38" s="848"/>
      <c r="CP38" s="848"/>
      <c r="CQ38" s="848"/>
      <c r="CR38" s="848"/>
      <c r="CS38" s="848"/>
      <c r="CT38" s="848"/>
      <c r="CU38" s="848"/>
      <c r="CV38" s="848"/>
      <c r="CW38" s="848"/>
      <c r="CX38" s="848"/>
      <c r="CY38" s="848"/>
      <c r="CZ38" s="848"/>
      <c r="DA38" s="848"/>
      <c r="DB38" s="848"/>
      <c r="DC38" s="848"/>
      <c r="DD38" s="848"/>
      <c r="DE38" s="848"/>
      <c r="DF38" s="848"/>
      <c r="DG38" s="848"/>
      <c r="DH38" s="848"/>
      <c r="DI38" s="848"/>
      <c r="DJ38" s="848"/>
      <c r="DK38" s="848"/>
      <c r="DL38" s="848"/>
      <c r="DM38" s="848"/>
      <c r="DN38" s="848"/>
      <c r="DO38" s="848"/>
      <c r="DP38" s="848"/>
      <c r="DQ38" s="848"/>
      <c r="DR38" s="848"/>
      <c r="DS38" s="848"/>
      <c r="DT38" s="848"/>
      <c r="DU38" s="848"/>
      <c r="DV38" s="848"/>
      <c r="DW38" s="848"/>
      <c r="DX38" s="848"/>
      <c r="DY38" s="848"/>
      <c r="DZ38" s="848"/>
      <c r="EA38" s="848"/>
      <c r="EB38" s="848"/>
      <c r="EC38" s="848"/>
      <c r="ED38" s="848"/>
      <c r="EE38" s="848"/>
      <c r="EF38" s="848"/>
      <c r="EG38" s="848"/>
      <c r="EH38" s="848"/>
      <c r="EI38" s="848"/>
      <c r="EJ38" s="848"/>
      <c r="EK38" s="848"/>
      <c r="EL38" s="848"/>
    </row>
    <row r="39" spans="2:142" ht="13.5">
      <c r="B39" s="1000"/>
      <c r="C39" s="986"/>
      <c r="D39" s="2281" t="s">
        <v>2031</v>
      </c>
      <c r="E39" s="1001"/>
      <c r="F39" s="1008"/>
      <c r="G39" s="986"/>
      <c r="H39" s="214">
        <f>SUM(J39:EL39)</f>
        <v>2400</v>
      </c>
      <c r="I39" s="520"/>
      <c r="J39" s="2280"/>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0</v>
      </c>
      <c r="AM39" s="848">
        <v>0</v>
      </c>
      <c r="AN39" s="848">
        <v>0</v>
      </c>
      <c r="AO39" s="848">
        <v>0</v>
      </c>
      <c r="AP39" s="848">
        <v>0</v>
      </c>
      <c r="AQ39" s="848">
        <v>0</v>
      </c>
      <c r="AR39" s="848">
        <v>0</v>
      </c>
      <c r="AS39" s="848">
        <v>0</v>
      </c>
      <c r="AT39" s="848">
        <v>1400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500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500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01"/>
      <c r="D40" s="881" t="s">
        <v>2032</v>
      </c>
      <c r="E40" s="1001"/>
      <c r="F40" s="1008"/>
      <c r="G40" s="1001"/>
      <c r="H40" s="848">
        <f t="shared" si="4"/>
        <v>82954.41219375834</v>
      </c>
      <c r="I40" s="520"/>
      <c r="J40" s="2280"/>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848">
        <v>0</v>
      </c>
      <c r="AM40" s="848">
        <v>901.67839341041679</v>
      </c>
      <c r="AN40" s="848">
        <v>901.67839341041679</v>
      </c>
      <c r="AO40" s="848">
        <v>901.67839341041667</v>
      </c>
      <c r="AP40" s="848">
        <v>901.67839341041679</v>
      </c>
      <c r="AQ40" s="848">
        <v>901.67839341041679</v>
      </c>
      <c r="AR40" s="848">
        <v>901.67839341041679</v>
      </c>
      <c r="AS40" s="848">
        <v>901.67839341041667</v>
      </c>
      <c r="AT40" s="848">
        <v>901.67839341041667</v>
      </c>
      <c r="AU40" s="848">
        <v>901.67839341041679</v>
      </c>
      <c r="AV40" s="848">
        <v>901.67839341041679</v>
      </c>
      <c r="AW40" s="848">
        <v>901.67839341041667</v>
      </c>
      <c r="AX40" s="848">
        <v>901.67839341041667</v>
      </c>
      <c r="AY40" s="848">
        <v>901.67839341041679</v>
      </c>
      <c r="AZ40" s="848">
        <v>901.67839341041679</v>
      </c>
      <c r="BA40" s="848">
        <v>901.67839341041667</v>
      </c>
      <c r="BB40" s="848">
        <v>901.67839341041667</v>
      </c>
      <c r="BC40" s="848">
        <v>901.67839341041679</v>
      </c>
      <c r="BD40" s="848">
        <v>901.67839341041679</v>
      </c>
      <c r="BE40" s="848">
        <v>901.67839341041667</v>
      </c>
      <c r="BF40" s="848">
        <v>901.67839341041667</v>
      </c>
      <c r="BG40" s="848">
        <v>901.67839341041679</v>
      </c>
      <c r="BH40" s="848">
        <v>901.67839341041679</v>
      </c>
      <c r="BI40" s="848">
        <v>901.67839341041667</v>
      </c>
      <c r="BJ40" s="848">
        <v>901.67839341041667</v>
      </c>
      <c r="BK40" s="848">
        <v>901.67839341041679</v>
      </c>
      <c r="BL40" s="848">
        <v>901.67839341041679</v>
      </c>
      <c r="BM40" s="848">
        <v>901.67839341041667</v>
      </c>
      <c r="BN40" s="848">
        <v>901.67839341041667</v>
      </c>
      <c r="BO40" s="848">
        <v>901.67839341041679</v>
      </c>
      <c r="BP40" s="848">
        <v>901.67839341041679</v>
      </c>
      <c r="BQ40" s="848">
        <v>901.67839341041667</v>
      </c>
      <c r="BR40" s="848">
        <v>901.67839341041667</v>
      </c>
      <c r="BS40" s="848">
        <v>901.67839341041679</v>
      </c>
      <c r="BT40" s="848">
        <v>901.67839341041679</v>
      </c>
      <c r="BU40" s="848">
        <v>901.67839341041667</v>
      </c>
      <c r="BV40" s="848">
        <v>901.67839341041667</v>
      </c>
      <c r="BW40" s="848">
        <v>901.67839341041679</v>
      </c>
      <c r="BX40" s="848">
        <v>901.67839341041679</v>
      </c>
      <c r="BY40" s="848">
        <v>901.67839341041667</v>
      </c>
      <c r="BZ40" s="848">
        <v>901.67839341041667</v>
      </c>
      <c r="CA40" s="848">
        <v>901.67839341041679</v>
      </c>
      <c r="CB40" s="848">
        <v>901.67839341041679</v>
      </c>
      <c r="CC40" s="848">
        <v>901.67839341041667</v>
      </c>
      <c r="CD40" s="848">
        <v>901.67839341041667</v>
      </c>
      <c r="CE40" s="848">
        <v>901.67839341041679</v>
      </c>
      <c r="CF40" s="848">
        <v>901.67839341041679</v>
      </c>
      <c r="CG40" s="848">
        <v>901.67839341041679</v>
      </c>
      <c r="CH40" s="848">
        <v>901.67839341041667</v>
      </c>
      <c r="CI40" s="848">
        <v>901.67839341041679</v>
      </c>
      <c r="CJ40" s="848">
        <v>901.67839341041679</v>
      </c>
      <c r="CK40" s="848">
        <v>901.67839341041667</v>
      </c>
      <c r="CL40" s="848">
        <v>901.67839341041667</v>
      </c>
      <c r="CM40" s="848">
        <v>901.67839341041679</v>
      </c>
      <c r="CN40" s="848">
        <v>901.67839341041679</v>
      </c>
      <c r="CO40" s="848">
        <v>901.67839341041679</v>
      </c>
      <c r="CP40" s="848">
        <v>901.67839341041667</v>
      </c>
      <c r="CQ40" s="848">
        <v>901.67839341041679</v>
      </c>
      <c r="CR40" s="848">
        <v>901.67839341041679</v>
      </c>
      <c r="CS40" s="848">
        <v>901.67839341041667</v>
      </c>
      <c r="CT40" s="848">
        <v>901.67839341041667</v>
      </c>
      <c r="CU40" s="848">
        <v>901.67839341041679</v>
      </c>
      <c r="CV40" s="848">
        <v>901.67839341041679</v>
      </c>
      <c r="CW40" s="848">
        <v>901.67839341041679</v>
      </c>
      <c r="CX40" s="848">
        <v>901.67839341041667</v>
      </c>
      <c r="CY40" s="848">
        <v>901.67839341041679</v>
      </c>
      <c r="CZ40" s="848">
        <v>901.67839341041679</v>
      </c>
      <c r="DA40" s="848">
        <v>901.67839341041667</v>
      </c>
      <c r="DB40" s="848">
        <v>901.67839341041667</v>
      </c>
      <c r="DC40" s="848">
        <v>901.67839341041679</v>
      </c>
      <c r="DD40" s="848">
        <v>901.67839341041679</v>
      </c>
      <c r="DE40" s="848">
        <v>901.67839341041679</v>
      </c>
      <c r="DF40" s="848">
        <v>901.67839341041667</v>
      </c>
      <c r="DG40" s="848">
        <v>901.67839341041679</v>
      </c>
      <c r="DH40" s="848">
        <v>901.67839341041679</v>
      </c>
      <c r="DI40" s="848">
        <v>901.67839341041667</v>
      </c>
      <c r="DJ40" s="848">
        <v>901.67839341041667</v>
      </c>
      <c r="DK40" s="848">
        <v>901.67839341041679</v>
      </c>
      <c r="DL40" s="848">
        <v>901.67839341041679</v>
      </c>
      <c r="DM40" s="848">
        <v>901.67839341041679</v>
      </c>
      <c r="DN40" s="848">
        <v>901.67839341041667</v>
      </c>
      <c r="DO40" s="848">
        <v>901.67839341041679</v>
      </c>
      <c r="DP40" s="848">
        <v>901.67839341041679</v>
      </c>
      <c r="DQ40" s="848">
        <v>901.67839341041667</v>
      </c>
      <c r="DR40" s="848">
        <v>901.67839341041667</v>
      </c>
      <c r="DS40" s="848">
        <v>901.67839341041679</v>
      </c>
      <c r="DT40" s="848">
        <v>901.67839341041679</v>
      </c>
      <c r="DU40" s="848">
        <v>901.67839341041679</v>
      </c>
      <c r="DV40" s="848">
        <v>901.67839341041667</v>
      </c>
      <c r="DW40" s="848">
        <v>901.67839341041679</v>
      </c>
      <c r="DX40" s="848">
        <v>901.67839341041679</v>
      </c>
      <c r="DY40" s="848">
        <v>901.67839341041667</v>
      </c>
      <c r="DZ40" s="848">
        <v>901.67839341041667</v>
      </c>
      <c r="EA40" s="960">
        <v>0</v>
      </c>
      <c r="EB40" s="960">
        <v>0</v>
      </c>
      <c r="EC40" s="960">
        <v>0</v>
      </c>
      <c r="ED40" s="960">
        <v>0</v>
      </c>
      <c r="EE40" s="960">
        <v>0</v>
      </c>
      <c r="EF40" s="960">
        <v>0</v>
      </c>
      <c r="EG40" s="960">
        <v>0</v>
      </c>
      <c r="EH40" s="960">
        <v>0</v>
      </c>
      <c r="EI40" s="960">
        <v>0</v>
      </c>
      <c r="EJ40" s="960">
        <v>0</v>
      </c>
      <c r="EK40" s="960">
        <v>0</v>
      </c>
      <c r="EL40" s="960">
        <v>0</v>
      </c>
    </row>
    <row r="41" spans="2:142" ht="13.5">
      <c r="B41" s="1000"/>
      <c r="C41" s="986"/>
      <c r="D41" s="881" t="s">
        <v>787</v>
      </c>
      <c r="E41" s="1001"/>
      <c r="F41" s="1008"/>
      <c r="G41" s="986"/>
      <c r="H41" s="848">
        <f t="shared" si="4"/>
        <v>0</v>
      </c>
      <c r="I41" s="520"/>
      <c r="J41" s="2280"/>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0</v>
      </c>
      <c r="EA41" s="960">
        <v>0</v>
      </c>
      <c r="EB41" s="960">
        <v>0</v>
      </c>
      <c r="EC41" s="960">
        <v>0</v>
      </c>
      <c r="ED41" s="960">
        <v>0</v>
      </c>
      <c r="EE41" s="960">
        <v>0</v>
      </c>
      <c r="EF41" s="960">
        <v>0</v>
      </c>
      <c r="EG41" s="960">
        <v>0</v>
      </c>
      <c r="EH41" s="960">
        <v>0</v>
      </c>
      <c r="EI41" s="960">
        <v>0</v>
      </c>
      <c r="EJ41" s="960">
        <v>0</v>
      </c>
      <c r="EK41" s="960">
        <v>0</v>
      </c>
      <c r="EL41" s="960">
        <v>0</v>
      </c>
    </row>
    <row r="42" spans="2:142" ht="13.5">
      <c r="B42" s="1000"/>
      <c r="C42" s="986"/>
      <c r="D42" s="881" t="s">
        <v>788</v>
      </c>
      <c r="E42" s="1001"/>
      <c r="F42" s="1008"/>
      <c r="G42" s="986"/>
      <c r="H42" s="848">
        <f t="shared" si="4"/>
        <v>5836.7768919967421</v>
      </c>
      <c r="I42" s="520"/>
      <c r="J42" s="2280"/>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0</v>
      </c>
      <c r="AO42" s="848">
        <v>0</v>
      </c>
      <c r="AP42" s="848">
        <v>0</v>
      </c>
      <c r="AQ42" s="848">
        <v>0</v>
      </c>
      <c r="AR42" s="848">
        <v>0</v>
      </c>
      <c r="AS42" s="848">
        <v>0</v>
      </c>
      <c r="AT42" s="848">
        <v>0</v>
      </c>
      <c r="AU42" s="848">
        <v>0</v>
      </c>
      <c r="AV42" s="848">
        <v>0</v>
      </c>
      <c r="AW42" s="848">
        <v>0</v>
      </c>
      <c r="AX42" s="848">
        <v>0</v>
      </c>
      <c r="AY42" s="848">
        <v>0</v>
      </c>
      <c r="AZ42" s="848">
        <v>0</v>
      </c>
      <c r="BA42" s="848">
        <v>0</v>
      </c>
      <c r="BB42" s="848">
        <v>0</v>
      </c>
      <c r="BC42" s="848">
        <v>0</v>
      </c>
      <c r="BD42" s="848">
        <v>0</v>
      </c>
      <c r="BE42" s="848">
        <v>0</v>
      </c>
      <c r="BF42" s="848">
        <v>0</v>
      </c>
      <c r="BG42" s="848">
        <v>0</v>
      </c>
      <c r="BH42" s="848">
        <v>0</v>
      </c>
      <c r="BI42" s="848">
        <v>0</v>
      </c>
      <c r="BJ42" s="848">
        <v>0</v>
      </c>
      <c r="BK42" s="848">
        <v>0</v>
      </c>
      <c r="BL42" s="848">
        <v>0</v>
      </c>
      <c r="BM42" s="848">
        <v>0</v>
      </c>
      <c r="BN42" s="848">
        <v>0</v>
      </c>
      <c r="BO42" s="848">
        <v>0</v>
      </c>
      <c r="BP42" s="848">
        <v>0</v>
      </c>
      <c r="BQ42" s="848">
        <v>0</v>
      </c>
      <c r="BR42" s="848">
        <v>0</v>
      </c>
      <c r="BS42" s="848">
        <v>0</v>
      </c>
      <c r="BT42" s="848">
        <v>0</v>
      </c>
      <c r="BU42" s="848">
        <v>0</v>
      </c>
      <c r="BV42" s="848">
        <v>0</v>
      </c>
      <c r="BW42" s="848">
        <v>0</v>
      </c>
      <c r="BX42" s="848">
        <v>0</v>
      </c>
      <c r="BY42" s="848">
        <v>0</v>
      </c>
      <c r="BZ42" s="848">
        <v>0</v>
      </c>
      <c r="CA42" s="848">
        <v>0</v>
      </c>
      <c r="CB42" s="848">
        <v>0</v>
      </c>
      <c r="CC42" s="848">
        <v>0</v>
      </c>
      <c r="CD42" s="848">
        <v>0</v>
      </c>
      <c r="CE42" s="848">
        <v>0</v>
      </c>
      <c r="CF42" s="848">
        <v>0</v>
      </c>
      <c r="CG42" s="848">
        <v>0</v>
      </c>
      <c r="CH42" s="848">
        <v>0</v>
      </c>
      <c r="CI42" s="848">
        <v>0</v>
      </c>
      <c r="CJ42" s="848">
        <v>0</v>
      </c>
      <c r="CK42" s="848">
        <v>0</v>
      </c>
      <c r="CL42" s="848">
        <v>0</v>
      </c>
      <c r="CM42" s="848">
        <v>0</v>
      </c>
      <c r="CN42" s="848">
        <v>0</v>
      </c>
      <c r="CO42" s="848">
        <v>0</v>
      </c>
      <c r="CP42" s="848">
        <v>0</v>
      </c>
      <c r="CQ42" s="848">
        <v>0</v>
      </c>
      <c r="CR42" s="848">
        <v>0</v>
      </c>
      <c r="CS42" s="848">
        <v>0</v>
      </c>
      <c r="CT42" s="848">
        <v>0</v>
      </c>
      <c r="CU42" s="848">
        <v>0</v>
      </c>
      <c r="CV42" s="848">
        <v>0</v>
      </c>
      <c r="CW42" s="848">
        <v>0</v>
      </c>
      <c r="CX42" s="848">
        <v>0</v>
      </c>
      <c r="CY42" s="848">
        <v>0</v>
      </c>
      <c r="CZ42" s="848">
        <v>0</v>
      </c>
      <c r="DA42" s="848">
        <v>0</v>
      </c>
      <c r="DB42" s="848">
        <v>0</v>
      </c>
      <c r="DC42" s="848">
        <v>0</v>
      </c>
      <c r="DD42" s="848">
        <v>0</v>
      </c>
      <c r="DE42" s="848">
        <v>0</v>
      </c>
      <c r="DF42" s="848">
        <v>0</v>
      </c>
      <c r="DG42" s="848">
        <v>0</v>
      </c>
      <c r="DH42" s="848">
        <v>0</v>
      </c>
      <c r="DI42" s="848">
        <v>0</v>
      </c>
      <c r="DJ42" s="848">
        <v>0</v>
      </c>
      <c r="DK42" s="848">
        <v>0</v>
      </c>
      <c r="DL42" s="848">
        <v>0</v>
      </c>
      <c r="DM42" s="848">
        <v>0</v>
      </c>
      <c r="DN42" s="848">
        <v>0</v>
      </c>
      <c r="DO42" s="848">
        <v>0</v>
      </c>
      <c r="DP42" s="848">
        <v>0</v>
      </c>
      <c r="DQ42" s="848">
        <v>0</v>
      </c>
      <c r="DR42" s="848">
        <v>0</v>
      </c>
      <c r="DS42" s="848">
        <v>0</v>
      </c>
      <c r="DT42" s="848">
        <v>0</v>
      </c>
      <c r="DU42" s="848">
        <v>0</v>
      </c>
      <c r="DV42" s="848">
        <v>0</v>
      </c>
      <c r="DW42" s="848">
        <v>0</v>
      </c>
      <c r="DX42" s="848">
        <v>0</v>
      </c>
      <c r="DY42" s="848">
        <v>0</v>
      </c>
      <c r="DZ42" s="848">
        <v>5836.7768919967421</v>
      </c>
      <c r="EA42" s="960">
        <v>0</v>
      </c>
      <c r="EB42" s="960">
        <v>0</v>
      </c>
      <c r="EC42" s="960">
        <v>0</v>
      </c>
      <c r="ED42" s="960">
        <v>0</v>
      </c>
      <c r="EE42" s="960">
        <v>0</v>
      </c>
      <c r="EF42" s="960">
        <v>0</v>
      </c>
      <c r="EG42" s="960">
        <v>0</v>
      </c>
      <c r="EH42" s="960">
        <v>0</v>
      </c>
      <c r="EI42" s="960">
        <v>0</v>
      </c>
      <c r="EJ42" s="960">
        <v>0</v>
      </c>
      <c r="EK42" s="960">
        <v>0</v>
      </c>
      <c r="EL42" s="960">
        <v>0</v>
      </c>
    </row>
    <row r="43" spans="2:142" ht="13.5">
      <c r="B43" s="1000"/>
      <c r="C43" s="986"/>
      <c r="D43" s="881" t="s">
        <v>789</v>
      </c>
      <c r="E43" s="1001"/>
      <c r="F43" s="1008"/>
      <c r="G43" s="986"/>
      <c r="H43" s="848">
        <f t="shared" si="4"/>
        <v>59845.154082052737</v>
      </c>
      <c r="I43" s="520"/>
      <c r="J43" s="2280"/>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0</v>
      </c>
      <c r="AO43" s="848">
        <v>0</v>
      </c>
      <c r="AP43" s="848">
        <v>0</v>
      </c>
      <c r="AQ43" s="848">
        <v>0</v>
      </c>
      <c r="AR43" s="848">
        <v>0</v>
      </c>
      <c r="AS43" s="848">
        <v>0</v>
      </c>
      <c r="AT43" s="848">
        <v>0</v>
      </c>
      <c r="AU43" s="848">
        <v>0</v>
      </c>
      <c r="AV43" s="848">
        <v>0</v>
      </c>
      <c r="AW43" s="848">
        <v>0</v>
      </c>
      <c r="AX43" s="848">
        <v>0</v>
      </c>
      <c r="AY43" s="848">
        <v>0</v>
      </c>
      <c r="AZ43" s="848">
        <v>0</v>
      </c>
      <c r="BA43" s="848">
        <v>0</v>
      </c>
      <c r="BB43" s="848">
        <v>0</v>
      </c>
      <c r="BC43" s="848">
        <v>0</v>
      </c>
      <c r="BD43" s="848">
        <v>0</v>
      </c>
      <c r="BE43" s="848">
        <v>0</v>
      </c>
      <c r="BF43" s="848">
        <v>0</v>
      </c>
      <c r="BG43" s="848">
        <v>0</v>
      </c>
      <c r="BH43" s="848">
        <v>0</v>
      </c>
      <c r="BI43" s="848">
        <v>0</v>
      </c>
      <c r="BJ43" s="848">
        <v>0</v>
      </c>
      <c r="BK43" s="848">
        <v>0</v>
      </c>
      <c r="BL43" s="848">
        <v>0</v>
      </c>
      <c r="BM43" s="848">
        <v>0</v>
      </c>
      <c r="BN43" s="848">
        <v>0</v>
      </c>
      <c r="BO43" s="848">
        <v>0</v>
      </c>
      <c r="BP43" s="848">
        <v>0</v>
      </c>
      <c r="BQ43" s="848">
        <v>0</v>
      </c>
      <c r="BR43" s="848">
        <v>0</v>
      </c>
      <c r="BS43" s="848">
        <v>0</v>
      </c>
      <c r="BT43" s="848">
        <v>0</v>
      </c>
      <c r="BU43" s="848">
        <v>0</v>
      </c>
      <c r="BV43" s="848">
        <v>0</v>
      </c>
      <c r="BW43" s="848">
        <v>0</v>
      </c>
      <c r="BX43" s="848">
        <v>0</v>
      </c>
      <c r="BY43" s="848">
        <v>0</v>
      </c>
      <c r="BZ43" s="848">
        <v>0</v>
      </c>
      <c r="CA43" s="848">
        <v>0</v>
      </c>
      <c r="CB43" s="848">
        <v>0</v>
      </c>
      <c r="CC43" s="848">
        <v>0</v>
      </c>
      <c r="CD43" s="848">
        <v>0</v>
      </c>
      <c r="CE43" s="848">
        <v>0</v>
      </c>
      <c r="CF43" s="848">
        <v>0</v>
      </c>
      <c r="CG43" s="848">
        <v>0</v>
      </c>
      <c r="CH43" s="848">
        <v>0</v>
      </c>
      <c r="CI43" s="848">
        <v>0</v>
      </c>
      <c r="CJ43" s="848">
        <v>0</v>
      </c>
      <c r="CK43" s="848">
        <v>0</v>
      </c>
      <c r="CL43" s="848">
        <v>0</v>
      </c>
      <c r="CM43" s="848">
        <v>0</v>
      </c>
      <c r="CN43" s="848">
        <v>0</v>
      </c>
      <c r="CO43" s="848">
        <v>0</v>
      </c>
      <c r="CP43" s="848">
        <v>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59845.154082052737</v>
      </c>
      <c r="EA43" s="960">
        <v>0</v>
      </c>
      <c r="EB43" s="960">
        <v>0</v>
      </c>
      <c r="EC43" s="960">
        <v>0</v>
      </c>
      <c r="ED43" s="960">
        <v>0</v>
      </c>
      <c r="EE43" s="960">
        <v>0</v>
      </c>
      <c r="EF43" s="960">
        <v>0</v>
      </c>
      <c r="EG43" s="960">
        <v>0</v>
      </c>
      <c r="EH43" s="960">
        <v>0</v>
      </c>
      <c r="EI43" s="960">
        <v>0</v>
      </c>
      <c r="EJ43" s="960">
        <v>0</v>
      </c>
      <c r="EK43" s="960">
        <v>0</v>
      </c>
      <c r="EL43" s="960">
        <v>0</v>
      </c>
    </row>
    <row r="44" spans="2:142">
      <c r="B44" s="1000"/>
      <c r="C44" s="986"/>
      <c r="D44" s="1001"/>
      <c r="E44" s="1001"/>
      <c r="F44" s="1008"/>
      <c r="G44" s="986"/>
      <c r="H44" s="214"/>
      <c r="I44" s="520"/>
      <c r="J44" s="2280"/>
      <c r="K44" s="848"/>
      <c r="L44" s="848"/>
      <c r="M44" s="848"/>
      <c r="N44" s="848"/>
      <c r="O44" s="848"/>
      <c r="P44" s="848"/>
      <c r="Q44" s="848"/>
      <c r="R44" s="848"/>
      <c r="S44" s="848"/>
      <c r="T44" s="848"/>
      <c r="U44" s="848"/>
      <c r="V44" s="848"/>
      <c r="W44" s="848"/>
      <c r="X44" s="848"/>
      <c r="Y44" s="848"/>
      <c r="Z44" s="848"/>
      <c r="AA44" s="848"/>
      <c r="AB44" s="848"/>
      <c r="AC44" s="848"/>
      <c r="AD44" s="848"/>
      <c r="AE44" s="848"/>
      <c r="AF44" s="848"/>
      <c r="AG44" s="848"/>
      <c r="AH44" s="848"/>
      <c r="AI44" s="848"/>
      <c r="AJ44" s="848"/>
      <c r="AK44" s="848"/>
      <c r="AL44" s="848"/>
      <c r="AM44" s="848"/>
      <c r="AN44" s="848"/>
      <c r="AO44" s="848"/>
      <c r="AP44" s="848"/>
      <c r="AQ44" s="848"/>
      <c r="AR44" s="848"/>
      <c r="AS44" s="848"/>
      <c r="AT44" s="848"/>
      <c r="AU44" s="848"/>
      <c r="AV44" s="848"/>
      <c r="AW44" s="848"/>
      <c r="AX44" s="848"/>
      <c r="AY44" s="848"/>
      <c r="AZ44" s="848"/>
      <c r="BA44" s="848"/>
      <c r="BB44" s="848"/>
      <c r="BC44" s="848"/>
      <c r="BD44" s="848"/>
      <c r="BE44" s="848"/>
      <c r="BF44" s="848"/>
      <c r="BG44" s="848"/>
      <c r="BH44" s="848"/>
      <c r="BI44" s="848"/>
      <c r="BJ44" s="848"/>
      <c r="BK44" s="848"/>
      <c r="BL44" s="848"/>
      <c r="BM44" s="848"/>
      <c r="BN44" s="848"/>
      <c r="BO44" s="848"/>
      <c r="BP44" s="848"/>
      <c r="BQ44" s="848"/>
      <c r="BR44" s="848"/>
      <c r="BS44" s="848"/>
      <c r="BT44" s="848"/>
      <c r="BU44" s="848"/>
      <c r="BV44" s="848"/>
      <c r="BW44" s="848"/>
      <c r="BX44" s="848"/>
      <c r="BY44" s="848"/>
      <c r="BZ44" s="848"/>
      <c r="CA44" s="848"/>
      <c r="CB44" s="848"/>
      <c r="CC44" s="848"/>
      <c r="CD44" s="848"/>
      <c r="CE44" s="848"/>
      <c r="CF44" s="848"/>
      <c r="CG44" s="848"/>
      <c r="CH44" s="848"/>
      <c r="CI44" s="848"/>
      <c r="CJ44" s="848"/>
      <c r="CK44" s="848"/>
      <c r="CL44" s="848"/>
      <c r="CM44" s="848"/>
      <c r="CN44" s="848"/>
      <c r="CO44" s="848"/>
      <c r="CP44" s="848"/>
      <c r="CQ44" s="848"/>
      <c r="CR44" s="848"/>
      <c r="CS44" s="848"/>
      <c r="CT44" s="848"/>
      <c r="CU44" s="848"/>
      <c r="CV44" s="848"/>
      <c r="CW44" s="848"/>
      <c r="CX44" s="848"/>
      <c r="CY44" s="848"/>
      <c r="CZ44" s="848"/>
      <c r="DA44" s="848"/>
      <c r="DB44" s="848"/>
      <c r="DC44" s="848"/>
      <c r="DD44" s="848"/>
      <c r="DE44" s="848"/>
      <c r="DF44" s="848"/>
      <c r="DG44" s="848"/>
      <c r="DH44" s="848"/>
      <c r="DI44" s="848"/>
      <c r="DJ44" s="848"/>
      <c r="DK44" s="848"/>
      <c r="DL44" s="848"/>
      <c r="DM44" s="848"/>
      <c r="DN44" s="848"/>
      <c r="DO44" s="848"/>
      <c r="DP44" s="848"/>
      <c r="DQ44" s="848"/>
      <c r="DR44" s="848"/>
      <c r="DS44" s="848"/>
      <c r="DT44" s="848"/>
      <c r="DU44" s="848"/>
      <c r="DV44" s="848"/>
      <c r="DW44" s="848"/>
      <c r="DX44" s="848"/>
      <c r="DY44" s="848"/>
      <c r="DZ44" s="848"/>
      <c r="EA44" s="960"/>
      <c r="EB44" s="960"/>
      <c r="EC44" s="960"/>
      <c r="ED44" s="960"/>
      <c r="EE44" s="960"/>
      <c r="EF44" s="960"/>
      <c r="EG44" s="960"/>
      <c r="EH44" s="960"/>
      <c r="EI44" s="960"/>
      <c r="EJ44" s="960"/>
      <c r="EK44" s="960"/>
      <c r="EL44" s="960"/>
    </row>
    <row r="45" spans="2:142" s="1007" customFormat="1" ht="13.5">
      <c r="B45" s="1004"/>
      <c r="C45" s="1005" t="s">
        <v>2033</v>
      </c>
      <c r="D45" s="994"/>
      <c r="E45" s="994"/>
      <c r="F45" s="1006"/>
      <c r="G45" s="1005"/>
      <c r="H45" s="842">
        <f>SUM(J45:EL45)</f>
        <v>586289.53469655989</v>
      </c>
      <c r="I45" s="521"/>
      <c r="J45" s="2278"/>
      <c r="K45" s="842">
        <f t="shared" ref="K45:BV45" si="6">K9-K17</f>
        <v>0</v>
      </c>
      <c r="L45" s="842">
        <f t="shared" si="6"/>
        <v>0</v>
      </c>
      <c r="M45" s="842">
        <f t="shared" si="6"/>
        <v>0</v>
      </c>
      <c r="N45" s="842">
        <f t="shared" si="6"/>
        <v>0</v>
      </c>
      <c r="O45" s="842">
        <f t="shared" si="6"/>
        <v>0</v>
      </c>
      <c r="P45" s="842">
        <f t="shared" si="6"/>
        <v>0</v>
      </c>
      <c r="Q45" s="842">
        <f t="shared" si="6"/>
        <v>0</v>
      </c>
      <c r="R45" s="842">
        <f t="shared" si="6"/>
        <v>0</v>
      </c>
      <c r="S45" s="842">
        <f t="shared" si="6"/>
        <v>0</v>
      </c>
      <c r="T45" s="842">
        <f t="shared" si="6"/>
        <v>0</v>
      </c>
      <c r="U45" s="842">
        <f t="shared" si="6"/>
        <v>0</v>
      </c>
      <c r="V45" s="842">
        <f t="shared" si="6"/>
        <v>0</v>
      </c>
      <c r="W45" s="842">
        <f t="shared" si="6"/>
        <v>0</v>
      </c>
      <c r="X45" s="842">
        <f t="shared" si="6"/>
        <v>0</v>
      </c>
      <c r="Y45" s="842">
        <f t="shared" si="6"/>
        <v>0</v>
      </c>
      <c r="Z45" s="842">
        <f t="shared" si="6"/>
        <v>0</v>
      </c>
      <c r="AA45" s="842">
        <f t="shared" si="6"/>
        <v>0</v>
      </c>
      <c r="AB45" s="842">
        <f t="shared" si="6"/>
        <v>0</v>
      </c>
      <c r="AC45" s="842">
        <f t="shared" si="6"/>
        <v>0</v>
      </c>
      <c r="AD45" s="842">
        <f t="shared" si="6"/>
        <v>0</v>
      </c>
      <c r="AE45" s="842">
        <f t="shared" si="6"/>
        <v>0</v>
      </c>
      <c r="AF45" s="842">
        <f t="shared" si="6"/>
        <v>0</v>
      </c>
      <c r="AG45" s="842">
        <f t="shared" si="6"/>
        <v>0</v>
      </c>
      <c r="AH45" s="842">
        <f t="shared" si="6"/>
        <v>0</v>
      </c>
      <c r="AI45" s="842">
        <f t="shared" si="6"/>
        <v>0</v>
      </c>
      <c r="AJ45" s="842">
        <f t="shared" si="6"/>
        <v>0</v>
      </c>
      <c r="AK45" s="842">
        <f t="shared" si="6"/>
        <v>0</v>
      </c>
      <c r="AL45" s="842">
        <f t="shared" si="6"/>
        <v>0</v>
      </c>
      <c r="AM45" s="842">
        <f t="shared" si="6"/>
        <v>1320.3826827084195</v>
      </c>
      <c r="AN45" s="842">
        <f t="shared" si="6"/>
        <v>61.492982832376128</v>
      </c>
      <c r="AO45" s="842">
        <f t="shared" si="6"/>
        <v>1365.8179123810378</v>
      </c>
      <c r="AP45" s="842">
        <f t="shared" si="6"/>
        <v>1393.0869823589869</v>
      </c>
      <c r="AQ45" s="842">
        <f t="shared" si="6"/>
        <v>745.9024905025376</v>
      </c>
      <c r="AR45" s="842">
        <f t="shared" si="6"/>
        <v>1063.0138071637623</v>
      </c>
      <c r="AS45" s="842">
        <f t="shared" si="6"/>
        <v>1392.9406319685377</v>
      </c>
      <c r="AT45" s="842">
        <f t="shared" si="6"/>
        <v>-1301.0624757682381</v>
      </c>
      <c r="AU45" s="842">
        <f t="shared" si="6"/>
        <v>1392.9406319685377</v>
      </c>
      <c r="AV45" s="842">
        <f t="shared" si="6"/>
        <v>1392.9406319685377</v>
      </c>
      <c r="AW45" s="842">
        <f t="shared" si="6"/>
        <v>1393.0138071637625</v>
      </c>
      <c r="AX45" s="842">
        <f t="shared" si="6"/>
        <v>1295.4626710685379</v>
      </c>
      <c r="AY45" s="842">
        <f t="shared" si="6"/>
        <v>1386.1146587682565</v>
      </c>
      <c r="AZ45" s="842">
        <f t="shared" si="6"/>
        <v>91.965200641031743</v>
      </c>
      <c r="BA45" s="842">
        <f t="shared" si="6"/>
        <v>1439.804053841995</v>
      </c>
      <c r="BB45" s="842">
        <f t="shared" si="6"/>
        <v>1465.0585960427941</v>
      </c>
      <c r="BC45" s="842">
        <f t="shared" si="6"/>
        <v>799.68386103007219</v>
      </c>
      <c r="BD45" s="842">
        <f t="shared" si="6"/>
        <v>1364.9122456523446</v>
      </c>
      <c r="BE45" s="842">
        <f t="shared" si="6"/>
        <v>1464.8390704571202</v>
      </c>
      <c r="BF45" s="842">
        <f t="shared" si="6"/>
        <v>134.60182679824879</v>
      </c>
      <c r="BG45" s="842">
        <f t="shared" si="6"/>
        <v>1464.83907045712</v>
      </c>
      <c r="BH45" s="842">
        <f t="shared" si="6"/>
        <v>1464.83907045712</v>
      </c>
      <c r="BI45" s="842">
        <f t="shared" si="6"/>
        <v>1464.9122456523446</v>
      </c>
      <c r="BJ45" s="842">
        <f t="shared" si="6"/>
        <v>1367.4367707301203</v>
      </c>
      <c r="BK45" s="842">
        <f t="shared" si="6"/>
        <v>1457.8750745181742</v>
      </c>
      <c r="BL45" s="842">
        <f t="shared" si="6"/>
        <v>127.49148046885398</v>
      </c>
      <c r="BM45" s="842">
        <f t="shared" si="6"/>
        <v>1513.0685897580242</v>
      </c>
      <c r="BN45" s="842">
        <f t="shared" si="6"/>
        <v>1539.0650032138465</v>
      </c>
      <c r="BO45" s="842">
        <f t="shared" si="6"/>
        <v>855.06592233716765</v>
      </c>
      <c r="BP45" s="842">
        <f t="shared" si="6"/>
        <v>1438.918652823397</v>
      </c>
      <c r="BQ45" s="842">
        <f t="shared" si="6"/>
        <v>1538.8454776281724</v>
      </c>
      <c r="BR45" s="842">
        <f t="shared" si="6"/>
        <v>-328.64045775861359</v>
      </c>
      <c r="BS45" s="842">
        <f t="shared" si="6"/>
        <v>1538.8454776281724</v>
      </c>
      <c r="BT45" s="842">
        <f t="shared" si="6"/>
        <v>1538.8454776281724</v>
      </c>
      <c r="BU45" s="842">
        <f t="shared" si="6"/>
        <v>1538.9186528233972</v>
      </c>
      <c r="BV45" s="842">
        <f t="shared" si="6"/>
        <v>1441.5211089093627</v>
      </c>
      <c r="BW45" s="842">
        <f t="shared" ref="BW45:EH45" si="7">BW9-BW17</f>
        <v>1531.7407287893693</v>
      </c>
      <c r="BX45" s="842">
        <f t="shared" si="7"/>
        <v>164.10844301213433</v>
      </c>
      <c r="BY45" s="842">
        <f t="shared" si="7"/>
        <v>1587.8416344196798</v>
      </c>
      <c r="BZ45" s="842">
        <f t="shared" si="7"/>
        <v>1614.6019182493619</v>
      </c>
      <c r="CA45" s="842">
        <f t="shared" si="7"/>
        <v>1614.3823926636878</v>
      </c>
      <c r="CB45" s="842">
        <f t="shared" si="7"/>
        <v>1514.4555678589122</v>
      </c>
      <c r="CC45" s="842">
        <f t="shared" si="7"/>
        <v>1614.3823926636878</v>
      </c>
      <c r="CD45" s="842">
        <f t="shared" si="7"/>
        <v>1614.4555678589124</v>
      </c>
      <c r="CE45" s="842">
        <f t="shared" si="7"/>
        <v>1614.3823926636878</v>
      </c>
      <c r="CF45" s="842">
        <f t="shared" si="7"/>
        <v>1614.3823926636878</v>
      </c>
      <c r="CG45" s="842">
        <f t="shared" si="7"/>
        <v>1614.4555678589122</v>
      </c>
      <c r="CH45" s="842">
        <f t="shared" si="7"/>
        <v>1617.1382928833141</v>
      </c>
      <c r="CI45" s="842">
        <f t="shared" si="7"/>
        <v>1607.1341101778928</v>
      </c>
      <c r="CJ45" s="842">
        <f t="shared" si="7"/>
        <v>201.21016930436053</v>
      </c>
      <c r="CK45" s="842">
        <f t="shared" si="7"/>
        <v>1665.4627786157569</v>
      </c>
      <c r="CL45" s="842">
        <f t="shared" si="7"/>
        <v>1731.5575522190402</v>
      </c>
      <c r="CM45" s="842">
        <f t="shared" si="7"/>
        <v>1730.21220134957</v>
      </c>
      <c r="CN45" s="842">
        <f t="shared" si="7"/>
        <v>1730.3240539796016</v>
      </c>
      <c r="CO45" s="842">
        <f t="shared" si="7"/>
        <v>1730.21220134957</v>
      </c>
      <c r="CP45" s="842">
        <f t="shared" si="7"/>
        <v>1230.324053979602</v>
      </c>
      <c r="CQ45" s="842">
        <f t="shared" si="7"/>
        <v>1730.21220134957</v>
      </c>
      <c r="CR45" s="842">
        <f t="shared" si="7"/>
        <v>1730.21220134957</v>
      </c>
      <c r="CS45" s="842">
        <f t="shared" si="7"/>
        <v>1730.3240539796018</v>
      </c>
      <c r="CT45" s="842">
        <f t="shared" si="7"/>
        <v>1730.6794238583554</v>
      </c>
      <c r="CU45" s="842">
        <f t="shared" si="7"/>
        <v>1720.3690484454419</v>
      </c>
      <c r="CV45" s="842">
        <f t="shared" si="7"/>
        <v>275.03874778628597</v>
      </c>
      <c r="CW45" s="842">
        <f t="shared" si="7"/>
        <v>1780.2827278930704</v>
      </c>
      <c r="CX45" s="842">
        <f t="shared" si="7"/>
        <v>1810.1493142592349</v>
      </c>
      <c r="CY45" s="842">
        <f t="shared" si="7"/>
        <v>1809.8021736336655</v>
      </c>
      <c r="CZ45" s="842">
        <f t="shared" si="7"/>
        <v>1809.9178871755221</v>
      </c>
      <c r="DA45" s="842">
        <f t="shared" si="7"/>
        <v>1809.8021736336655</v>
      </c>
      <c r="DB45" s="842">
        <f t="shared" si="7"/>
        <v>1809.9178871755221</v>
      </c>
      <c r="DC45" s="842">
        <f t="shared" si="7"/>
        <v>1809.8021736336655</v>
      </c>
      <c r="DD45" s="842">
        <f t="shared" si="7"/>
        <v>1809.8021736336655</v>
      </c>
      <c r="DE45" s="842">
        <f t="shared" si="7"/>
        <v>1809.9178871755221</v>
      </c>
      <c r="DF45" s="842">
        <f t="shared" si="7"/>
        <v>1812.640734167177</v>
      </c>
      <c r="DG45" s="842">
        <f t="shared" si="7"/>
        <v>1802.2156395939896</v>
      </c>
      <c r="DH45" s="842">
        <f t="shared" si="7"/>
        <v>316.41933049554927</v>
      </c>
      <c r="DI45" s="842">
        <f t="shared" si="7"/>
        <v>1863.7995056850486</v>
      </c>
      <c r="DJ45" s="842">
        <f t="shared" si="7"/>
        <v>1894.55167542343</v>
      </c>
      <c r="DK45" s="842">
        <f t="shared" si="7"/>
        <v>1894.2045347978603</v>
      </c>
      <c r="DL45" s="842">
        <f t="shared" si="7"/>
        <v>1894.3202483397167</v>
      </c>
      <c r="DM45" s="842">
        <f t="shared" si="7"/>
        <v>1894.2045347978603</v>
      </c>
      <c r="DN45" s="842">
        <f t="shared" si="7"/>
        <v>1894.320248339717</v>
      </c>
      <c r="DO45" s="842">
        <f t="shared" si="7"/>
        <v>1894.2045347978603</v>
      </c>
      <c r="DP45" s="842">
        <f t="shared" si="7"/>
        <v>1894.2045347978603</v>
      </c>
      <c r="DQ45" s="842">
        <f t="shared" si="7"/>
        <v>1894.320248339717</v>
      </c>
      <c r="DR45" s="842">
        <f t="shared" si="7"/>
        <v>1897.1282521473781</v>
      </c>
      <c r="DS45" s="842">
        <f t="shared" si="7"/>
        <v>1886.4632580881989</v>
      </c>
      <c r="DT45" s="842">
        <f t="shared" si="7"/>
        <v>359.06789231417429</v>
      </c>
      <c r="DU45" s="842">
        <f t="shared" si="7"/>
        <v>1947.0377413270157</v>
      </c>
      <c r="DV45" s="842">
        <f t="shared" si="7"/>
        <v>1978.702061938782</v>
      </c>
      <c r="DW45" s="842">
        <f t="shared" si="7"/>
        <v>1978.3549213132123</v>
      </c>
      <c r="DX45" s="842">
        <f t="shared" si="7"/>
        <v>1978.470634855069</v>
      </c>
      <c r="DY45" s="842">
        <f t="shared" si="7"/>
        <v>1978.3549213132126</v>
      </c>
      <c r="DZ45" s="842">
        <f t="shared" si="7"/>
        <v>457192.79486932047</v>
      </c>
      <c r="EA45" s="1009">
        <f t="shared" si="7"/>
        <v>0</v>
      </c>
      <c r="EB45" s="1009">
        <f t="shared" si="7"/>
        <v>0</v>
      </c>
      <c r="EC45" s="1009">
        <f t="shared" si="7"/>
        <v>0</v>
      </c>
      <c r="ED45" s="1009">
        <f t="shared" si="7"/>
        <v>0</v>
      </c>
      <c r="EE45" s="1009">
        <f t="shared" si="7"/>
        <v>0</v>
      </c>
      <c r="EF45" s="1009">
        <f t="shared" si="7"/>
        <v>0</v>
      </c>
      <c r="EG45" s="1009">
        <f t="shared" si="7"/>
        <v>0</v>
      </c>
      <c r="EH45" s="1009">
        <f t="shared" si="7"/>
        <v>0</v>
      </c>
      <c r="EI45" s="1009">
        <f>EI9-EI17</f>
        <v>0</v>
      </c>
      <c r="EJ45" s="1009">
        <f>EJ9-EJ17</f>
        <v>0</v>
      </c>
      <c r="EK45" s="1009">
        <f>EK9-EK17</f>
        <v>0</v>
      </c>
      <c r="EL45" s="1009">
        <f>EL9-EL17</f>
        <v>0</v>
      </c>
    </row>
    <row r="46" spans="2:142">
      <c r="B46" s="1000"/>
      <c r="C46" s="986"/>
      <c r="D46" s="1001"/>
      <c r="E46" s="1001"/>
      <c r="F46" s="1008"/>
      <c r="G46" s="986"/>
      <c r="H46" s="842"/>
      <c r="I46" s="520"/>
      <c r="J46" s="2280"/>
      <c r="K46" s="848"/>
      <c r="L46" s="848"/>
      <c r="M46" s="848"/>
      <c r="N46" s="848"/>
      <c r="O46" s="848"/>
      <c r="P46" s="848"/>
      <c r="Q46" s="848"/>
      <c r="R46" s="848"/>
      <c r="S46" s="848"/>
      <c r="T46" s="848"/>
      <c r="U46" s="848"/>
      <c r="V46" s="848"/>
      <c r="W46" s="848"/>
      <c r="X46" s="848"/>
      <c r="Y46" s="848"/>
      <c r="Z46" s="848"/>
      <c r="AA46" s="848"/>
      <c r="AB46" s="848"/>
      <c r="AC46" s="848"/>
      <c r="AD46" s="848"/>
      <c r="AE46" s="848"/>
      <c r="AF46" s="848"/>
      <c r="AG46" s="848"/>
      <c r="AH46" s="848"/>
      <c r="AI46" s="848"/>
      <c r="AJ46" s="848"/>
      <c r="AK46" s="848"/>
      <c r="AL46" s="848"/>
      <c r="AM46" s="848"/>
      <c r="AN46" s="848"/>
      <c r="AO46" s="848"/>
      <c r="AP46" s="848"/>
      <c r="AQ46" s="848"/>
      <c r="AR46" s="848"/>
      <c r="AS46" s="848"/>
      <c r="AT46" s="848"/>
      <c r="AU46" s="848"/>
      <c r="AV46" s="848"/>
      <c r="AW46" s="848"/>
      <c r="AX46" s="848"/>
      <c r="AY46" s="848"/>
      <c r="AZ46" s="848"/>
      <c r="BA46" s="848"/>
      <c r="BB46" s="848"/>
      <c r="BC46" s="848"/>
      <c r="BD46" s="848"/>
      <c r="BE46" s="848"/>
      <c r="BF46" s="848"/>
      <c r="BG46" s="848"/>
      <c r="BH46" s="848"/>
      <c r="BI46" s="848"/>
      <c r="BJ46" s="848"/>
      <c r="BK46" s="848"/>
      <c r="BL46" s="848"/>
      <c r="BM46" s="848"/>
      <c r="BN46" s="848"/>
      <c r="BO46" s="848"/>
      <c r="BP46" s="848"/>
      <c r="BQ46" s="848"/>
      <c r="BR46" s="848"/>
      <c r="BS46" s="848"/>
      <c r="BT46" s="848"/>
      <c r="BU46" s="848"/>
      <c r="BV46" s="848"/>
      <c r="BW46" s="848"/>
      <c r="BX46" s="848"/>
      <c r="BY46" s="848"/>
      <c r="BZ46" s="848"/>
      <c r="CA46" s="848"/>
      <c r="CB46" s="848"/>
      <c r="CC46" s="848"/>
      <c r="CD46" s="848"/>
      <c r="CE46" s="848"/>
      <c r="CF46" s="848"/>
      <c r="CG46" s="848"/>
      <c r="CH46" s="848"/>
      <c r="CI46" s="848"/>
      <c r="CJ46" s="848"/>
      <c r="CK46" s="848"/>
      <c r="CL46" s="848"/>
      <c r="CM46" s="848"/>
      <c r="CN46" s="848"/>
      <c r="CO46" s="848"/>
      <c r="CP46" s="848"/>
      <c r="CQ46" s="848"/>
      <c r="CR46" s="848"/>
      <c r="CS46" s="848"/>
      <c r="CT46" s="848"/>
      <c r="CU46" s="848"/>
      <c r="CV46" s="848"/>
      <c r="CW46" s="848"/>
      <c r="CX46" s="848"/>
      <c r="CY46" s="848"/>
      <c r="CZ46" s="848"/>
      <c r="DA46" s="848"/>
      <c r="DB46" s="848"/>
      <c r="DC46" s="848"/>
      <c r="DD46" s="848"/>
      <c r="DE46" s="848"/>
      <c r="DF46" s="848"/>
      <c r="DG46" s="848"/>
      <c r="DH46" s="848"/>
      <c r="DI46" s="848"/>
      <c r="DJ46" s="848"/>
      <c r="DK46" s="848"/>
      <c r="DL46" s="848"/>
      <c r="DM46" s="848"/>
      <c r="DN46" s="848"/>
      <c r="DO46" s="848"/>
      <c r="DP46" s="848"/>
      <c r="DQ46" s="848"/>
      <c r="DR46" s="848"/>
      <c r="DS46" s="848"/>
      <c r="DT46" s="848"/>
      <c r="DU46" s="848"/>
      <c r="DV46" s="848"/>
      <c r="DW46" s="848"/>
      <c r="DX46" s="848"/>
      <c r="DY46" s="848"/>
      <c r="DZ46" s="848"/>
      <c r="EA46" s="960"/>
      <c r="EB46" s="960"/>
      <c r="EC46" s="960"/>
      <c r="ED46" s="960"/>
      <c r="EE46" s="960"/>
      <c r="EF46" s="960"/>
      <c r="EG46" s="960"/>
      <c r="EH46" s="960"/>
      <c r="EI46" s="960"/>
      <c r="EJ46" s="960"/>
      <c r="EK46" s="960"/>
      <c r="EL46" s="960"/>
    </row>
    <row r="47" spans="2:142" s="1007" customFormat="1" ht="13.5">
      <c r="B47" s="1004"/>
      <c r="C47" s="1005" t="s">
        <v>2034</v>
      </c>
      <c r="D47" s="994"/>
      <c r="E47" s="994"/>
      <c r="F47" s="1006"/>
      <c r="G47" s="1005"/>
      <c r="H47" s="215">
        <f>SUM(J47:EL47)</f>
        <v>4042.7100745725088</v>
      </c>
      <c r="I47" s="521"/>
      <c r="J47" s="2278"/>
      <c r="K47" s="842">
        <f>SUM(K49:K49)</f>
        <v>0</v>
      </c>
      <c r="L47" s="842">
        <f t="shared" ref="L47:BW47" si="8">SUM(L49:L49)</f>
        <v>0</v>
      </c>
      <c r="M47" s="842">
        <f t="shared" si="8"/>
        <v>0</v>
      </c>
      <c r="N47" s="842">
        <f t="shared" si="8"/>
        <v>0</v>
      </c>
      <c r="O47" s="842">
        <f t="shared" si="8"/>
        <v>0</v>
      </c>
      <c r="P47" s="842">
        <f t="shared" si="8"/>
        <v>0</v>
      </c>
      <c r="Q47" s="842">
        <f t="shared" si="8"/>
        <v>0</v>
      </c>
      <c r="R47" s="842">
        <f t="shared" si="8"/>
        <v>0</v>
      </c>
      <c r="S47" s="842">
        <f t="shared" si="8"/>
        <v>0</v>
      </c>
      <c r="T47" s="842">
        <f t="shared" si="8"/>
        <v>0</v>
      </c>
      <c r="U47" s="842">
        <f t="shared" si="8"/>
        <v>0</v>
      </c>
      <c r="V47" s="842">
        <f t="shared" si="8"/>
        <v>0</v>
      </c>
      <c r="W47" s="842">
        <f t="shared" si="8"/>
        <v>0</v>
      </c>
      <c r="X47" s="842">
        <f t="shared" si="8"/>
        <v>0</v>
      </c>
      <c r="Y47" s="842">
        <f t="shared" si="8"/>
        <v>0</v>
      </c>
      <c r="Z47" s="842">
        <f t="shared" si="8"/>
        <v>0</v>
      </c>
      <c r="AA47" s="842">
        <f t="shared" si="8"/>
        <v>0</v>
      </c>
      <c r="AB47" s="842">
        <f t="shared" si="8"/>
        <v>0</v>
      </c>
      <c r="AC47" s="842">
        <f t="shared" si="8"/>
        <v>0</v>
      </c>
      <c r="AD47" s="842">
        <f t="shared" si="8"/>
        <v>0</v>
      </c>
      <c r="AE47" s="842">
        <f t="shared" si="8"/>
        <v>0</v>
      </c>
      <c r="AF47" s="842">
        <f t="shared" si="8"/>
        <v>0</v>
      </c>
      <c r="AG47" s="842">
        <f t="shared" si="8"/>
        <v>0</v>
      </c>
      <c r="AH47" s="842">
        <f t="shared" si="8"/>
        <v>0</v>
      </c>
      <c r="AI47" s="842">
        <f t="shared" si="8"/>
        <v>0</v>
      </c>
      <c r="AJ47" s="842">
        <f t="shared" si="8"/>
        <v>0</v>
      </c>
      <c r="AK47" s="842">
        <f t="shared" si="8"/>
        <v>0</v>
      </c>
      <c r="AL47" s="842">
        <f t="shared" si="8"/>
        <v>0</v>
      </c>
      <c r="AM47" s="842">
        <f t="shared" si="8"/>
        <v>53.22681111041652</v>
      </c>
      <c r="AN47" s="842">
        <f t="shared" si="8"/>
        <v>58.067964383604682</v>
      </c>
      <c r="AO47" s="842">
        <f t="shared" si="8"/>
        <v>55.774567073096499</v>
      </c>
      <c r="AP47" s="842">
        <f t="shared" si="8"/>
        <v>44.731311961538687</v>
      </c>
      <c r="AQ47" s="842">
        <f t="shared" si="8"/>
        <v>49.998475672719593</v>
      </c>
      <c r="AR47" s="842">
        <f t="shared" si="8"/>
        <v>46.634752912744631</v>
      </c>
      <c r="AS47" s="842">
        <f t="shared" si="8"/>
        <v>50.427515995145875</v>
      </c>
      <c r="AT47" s="842">
        <f t="shared" si="8"/>
        <v>55.706546798063471</v>
      </c>
      <c r="AU47" s="842">
        <f t="shared" si="8"/>
        <v>83.043552075712157</v>
      </c>
      <c r="AV47" s="842">
        <f t="shared" si="8"/>
        <v>76.865085088635112</v>
      </c>
      <c r="AW47" s="842">
        <f t="shared" si="8"/>
        <v>82.19919416049747</v>
      </c>
      <c r="AX47" s="842">
        <f t="shared" si="8"/>
        <v>75.165951133457057</v>
      </c>
      <c r="AY47" s="842">
        <f t="shared" si="8"/>
        <v>79.400240976536395</v>
      </c>
      <c r="AZ47" s="842">
        <f t="shared" si="8"/>
        <v>84.622671785333139</v>
      </c>
      <c r="BA47" s="842">
        <f t="shared" si="8"/>
        <v>75.241828393195121</v>
      </c>
      <c r="BB47" s="842">
        <f t="shared" si="8"/>
        <v>69.817980262466946</v>
      </c>
      <c r="BC47" s="842">
        <f t="shared" si="8"/>
        <v>75.28850731183266</v>
      </c>
      <c r="BD47" s="842">
        <f t="shared" si="8"/>
        <v>67.259175686994865</v>
      </c>
      <c r="BE47" s="842">
        <f t="shared" si="8"/>
        <v>71.725324877723722</v>
      </c>
      <c r="BF47" s="842">
        <f t="shared" si="8"/>
        <v>77.199825561704571</v>
      </c>
      <c r="BG47" s="842">
        <f t="shared" si="8"/>
        <v>67.893418082830976</v>
      </c>
      <c r="BH47" s="842">
        <f t="shared" si="8"/>
        <v>61.838484754093379</v>
      </c>
      <c r="BI47" s="842">
        <f t="shared" si="8"/>
        <v>67.292387854483309</v>
      </c>
      <c r="BJ47" s="842">
        <f t="shared" si="8"/>
        <v>60.372035797007179</v>
      </c>
      <c r="BK47" s="842">
        <f t="shared" si="8"/>
        <v>64.724718422428879</v>
      </c>
      <c r="BL47" s="842">
        <f t="shared" si="8"/>
        <v>70.066361258303473</v>
      </c>
      <c r="BM47" s="842">
        <f t="shared" si="8"/>
        <v>60.730517181705231</v>
      </c>
      <c r="BN47" s="842">
        <f t="shared" si="8"/>
        <v>55.430420385155934</v>
      </c>
      <c r="BO47" s="842">
        <f t="shared" si="8"/>
        <v>61.026502149094689</v>
      </c>
      <c r="BP47" s="842">
        <f t="shared" si="8"/>
        <v>53.073717865343724</v>
      </c>
      <c r="BQ47" s="842">
        <f t="shared" si="8"/>
        <v>57.665842816594925</v>
      </c>
      <c r="BR47" s="842">
        <f t="shared" si="8"/>
        <v>63.266581710599176</v>
      </c>
      <c r="BS47" s="842">
        <f t="shared" si="8"/>
        <v>36.696573996920087</v>
      </c>
      <c r="BT47" s="842">
        <f t="shared" si="8"/>
        <v>30.736865775798474</v>
      </c>
      <c r="BU47" s="842">
        <f t="shared" si="8"/>
        <v>36.28150263430107</v>
      </c>
      <c r="BV47" s="842">
        <f t="shared" si="8"/>
        <v>31.884881847813826</v>
      </c>
      <c r="BW47" s="842">
        <f t="shared" si="8"/>
        <v>36.331822883036715</v>
      </c>
      <c r="BX47" s="842">
        <f t="shared" ref="BX47:EI47" si="9">SUM(BX49:BX49)</f>
        <v>41.768513290865698</v>
      </c>
      <c r="BY47" s="842">
        <f t="shared" si="9"/>
        <v>34.891454507939251</v>
      </c>
      <c r="BZ47" s="842">
        <f t="shared" si="9"/>
        <v>27.439772009383773</v>
      </c>
      <c r="CA47" s="842">
        <f t="shared" si="9"/>
        <v>33.137626997716048</v>
      </c>
      <c r="CB47" s="842">
        <f t="shared" si="9"/>
        <v>29.139957824981511</v>
      </c>
      <c r="CC47" s="842">
        <f t="shared" si="9"/>
        <v>33.842307851324996</v>
      </c>
      <c r="CD47" s="842">
        <f t="shared" si="9"/>
        <v>39.553501455994649</v>
      </c>
      <c r="CE47" s="842">
        <f t="shared" si="9"/>
        <v>35.695864214007365</v>
      </c>
      <c r="CF47" s="842">
        <f t="shared" si="9"/>
        <v>27.627406050904792</v>
      </c>
      <c r="CG47" s="842">
        <f t="shared" si="9"/>
        <v>33.325651943490236</v>
      </c>
      <c r="CH47" s="842">
        <f t="shared" si="9"/>
        <v>29.075518613804608</v>
      </c>
      <c r="CI47" s="842">
        <f t="shared" si="9"/>
        <v>33.883068247564474</v>
      </c>
      <c r="CJ47" s="842">
        <f t="shared" si="9"/>
        <v>39.473398643952272</v>
      </c>
      <c r="CK47" s="842">
        <f t="shared" si="9"/>
        <v>32.671573001622924</v>
      </c>
      <c r="CL47" s="842">
        <f t="shared" si="9"/>
        <v>25.049473478179412</v>
      </c>
      <c r="CM47" s="842">
        <f t="shared" si="9"/>
        <v>39.380829347633551</v>
      </c>
      <c r="CN47" s="842">
        <f t="shared" si="9"/>
        <v>35.618847806127881</v>
      </c>
      <c r="CO47" s="842">
        <f t="shared" si="9"/>
        <v>40.775725999506527</v>
      </c>
      <c r="CP47" s="842">
        <f t="shared" si="9"/>
        <v>46.736711737547346</v>
      </c>
      <c r="CQ47" s="842">
        <f t="shared" si="9"/>
        <v>25.275220362542409</v>
      </c>
      <c r="CR47" s="842">
        <f t="shared" si="9"/>
        <v>17.419395927817952</v>
      </c>
      <c r="CS47" s="842">
        <f t="shared" si="9"/>
        <v>23.331722644876091</v>
      </c>
      <c r="CT47" s="842">
        <f t="shared" si="9"/>
        <v>21.864046546689853</v>
      </c>
      <c r="CU47" s="842">
        <f t="shared" si="9"/>
        <v>27.715424335888489</v>
      </c>
      <c r="CV47" s="842">
        <f t="shared" si="9"/>
        <v>33.520976244986286</v>
      </c>
      <c r="CW47" s="842">
        <f t="shared" si="9"/>
        <v>29.429391189201699</v>
      </c>
      <c r="CX47" s="842">
        <f t="shared" si="9"/>
        <v>22.354137919151029</v>
      </c>
      <c r="CY47" s="842">
        <f t="shared" si="9"/>
        <v>28.443315795047813</v>
      </c>
      <c r="CZ47" s="842">
        <f t="shared" si="9"/>
        <v>27.386705838845462</v>
      </c>
      <c r="DA47" s="842">
        <f t="shared" si="9"/>
        <v>32.687678608810181</v>
      </c>
      <c r="DB47" s="842">
        <f t="shared" si="9"/>
        <v>38.798384694477093</v>
      </c>
      <c r="DC47" s="842">
        <f t="shared" si="9"/>
        <v>37.916613084489143</v>
      </c>
      <c r="DD47" s="842">
        <f t="shared" si="9"/>
        <v>25.850776641028485</v>
      </c>
      <c r="DE47" s="842">
        <f t="shared" si="9"/>
        <v>31.947239180929177</v>
      </c>
      <c r="DF47" s="842">
        <f t="shared" si="9"/>
        <v>30.656340285298338</v>
      </c>
      <c r="DG47" s="842">
        <f t="shared" si="9"/>
        <v>35.856739466005081</v>
      </c>
      <c r="DH47" s="842">
        <f t="shared" si="9"/>
        <v>41.850181852436727</v>
      </c>
      <c r="DI47" s="842">
        <f t="shared" si="9"/>
        <v>37.863642930149943</v>
      </c>
      <c r="DJ47" s="842">
        <f t="shared" si="9"/>
        <v>23.060811869189518</v>
      </c>
      <c r="DK47" s="842">
        <f t="shared" si="9"/>
        <v>29.328845529644511</v>
      </c>
      <c r="DL47" s="842">
        <f t="shared" si="9"/>
        <v>28.436137445617465</v>
      </c>
      <c r="DM47" s="842">
        <f t="shared" si="9"/>
        <v>33.916680078591924</v>
      </c>
      <c r="DN47" s="842">
        <f t="shared" si="9"/>
        <v>40.207330131149838</v>
      </c>
      <c r="DO47" s="842">
        <f t="shared" si="9"/>
        <v>39.505877371317247</v>
      </c>
      <c r="DP47" s="842">
        <f t="shared" si="9"/>
        <v>26.613120581655881</v>
      </c>
      <c r="DQ47" s="842">
        <f t="shared" si="9"/>
        <v>32.888554885261847</v>
      </c>
      <c r="DR47" s="842">
        <f t="shared" si="9"/>
        <v>31.76910352986086</v>
      </c>
      <c r="DS47" s="842">
        <f t="shared" si="9"/>
        <v>37.147125587408567</v>
      </c>
      <c r="DT47" s="842">
        <f t="shared" si="9"/>
        <v>43.319239249257372</v>
      </c>
      <c r="DU47" s="842">
        <f t="shared" si="9"/>
        <v>39.426158218741257</v>
      </c>
      <c r="DV47" s="842">
        <f t="shared" si="9"/>
        <v>23.737403210101935</v>
      </c>
      <c r="DW47" s="842">
        <f t="shared" si="9"/>
        <v>30.18944872456488</v>
      </c>
      <c r="DX47" s="842">
        <f t="shared" si="9"/>
        <v>29.464276671114167</v>
      </c>
      <c r="DY47" s="842">
        <f t="shared" si="9"/>
        <v>35.129563549522786</v>
      </c>
      <c r="DZ47" s="842">
        <f t="shared" si="9"/>
        <v>41.605342731359528</v>
      </c>
      <c r="EA47" s="1009">
        <f t="shared" si="9"/>
        <v>0</v>
      </c>
      <c r="EB47" s="1009">
        <f t="shared" si="9"/>
        <v>0</v>
      </c>
      <c r="EC47" s="1009">
        <f t="shared" si="9"/>
        <v>0</v>
      </c>
      <c r="ED47" s="1009">
        <f t="shared" si="9"/>
        <v>0</v>
      </c>
      <c r="EE47" s="1009">
        <f t="shared" si="9"/>
        <v>0</v>
      </c>
      <c r="EF47" s="1009">
        <f t="shared" si="9"/>
        <v>0</v>
      </c>
      <c r="EG47" s="1009">
        <f t="shared" si="9"/>
        <v>0</v>
      </c>
      <c r="EH47" s="1009">
        <f t="shared" si="9"/>
        <v>0</v>
      </c>
      <c r="EI47" s="1009">
        <f t="shared" si="9"/>
        <v>0</v>
      </c>
      <c r="EJ47" s="1009">
        <f>SUM(EJ49:EJ49)</f>
        <v>0</v>
      </c>
      <c r="EK47" s="1009">
        <f>SUM(EK49:EK49)</f>
        <v>0</v>
      </c>
      <c r="EL47" s="1009">
        <f>SUM(EL49:EL49)</f>
        <v>0</v>
      </c>
    </row>
    <row r="48" spans="2:142">
      <c r="B48" s="1000"/>
      <c r="C48" s="986"/>
      <c r="D48" s="1001"/>
      <c r="E48" s="1001"/>
      <c r="F48" s="1008"/>
      <c r="G48" s="986"/>
      <c r="H48" s="214"/>
      <c r="I48" s="520"/>
      <c r="J48" s="2280"/>
      <c r="K48" s="848"/>
      <c r="L48" s="848"/>
      <c r="M48" s="848"/>
      <c r="N48" s="848"/>
      <c r="O48" s="848"/>
      <c r="P48" s="848"/>
      <c r="Q48" s="848"/>
      <c r="R48" s="848"/>
      <c r="S48" s="848"/>
      <c r="T48" s="848"/>
      <c r="U48" s="848"/>
      <c r="V48" s="848"/>
      <c r="W48" s="848"/>
      <c r="X48" s="848"/>
      <c r="Y48" s="848"/>
      <c r="Z48" s="848"/>
      <c r="AA48" s="848"/>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c r="BU48" s="848"/>
      <c r="BV48" s="848"/>
      <c r="BW48" s="848"/>
      <c r="BX48" s="848"/>
      <c r="BY48" s="848"/>
      <c r="BZ48" s="848"/>
      <c r="CA48" s="848"/>
      <c r="CB48" s="848"/>
      <c r="CC48" s="848"/>
      <c r="CD48" s="848"/>
      <c r="CE48" s="848"/>
      <c r="CF48" s="848"/>
      <c r="CG48" s="848"/>
      <c r="CH48" s="848"/>
      <c r="CI48" s="848"/>
      <c r="CJ48" s="848"/>
      <c r="CK48" s="848"/>
      <c r="CL48" s="848"/>
      <c r="CM48" s="848"/>
      <c r="CN48" s="848"/>
      <c r="CO48" s="848"/>
      <c r="CP48" s="848"/>
      <c r="CQ48" s="848"/>
      <c r="CR48" s="848"/>
      <c r="CS48" s="848"/>
      <c r="CT48" s="848"/>
      <c r="CU48" s="848"/>
      <c r="CV48" s="848"/>
      <c r="CW48" s="848"/>
      <c r="CX48" s="848"/>
      <c r="CY48" s="848"/>
      <c r="CZ48" s="848"/>
      <c r="DA48" s="848"/>
      <c r="DB48" s="848"/>
      <c r="DC48" s="848"/>
      <c r="DD48" s="848"/>
      <c r="DE48" s="848"/>
      <c r="DF48" s="848"/>
      <c r="DG48" s="848"/>
      <c r="DH48" s="848"/>
      <c r="DI48" s="848"/>
      <c r="DJ48" s="848"/>
      <c r="DK48" s="848"/>
      <c r="DL48" s="848"/>
      <c r="DM48" s="848"/>
      <c r="DN48" s="848"/>
      <c r="DO48" s="848"/>
      <c r="DP48" s="848"/>
      <c r="DQ48" s="848"/>
      <c r="DR48" s="848"/>
      <c r="DS48" s="848"/>
      <c r="DT48" s="848"/>
      <c r="DU48" s="848"/>
      <c r="DV48" s="848"/>
      <c r="DW48" s="848"/>
      <c r="DX48" s="848"/>
      <c r="DY48" s="848"/>
      <c r="DZ48" s="848"/>
      <c r="EA48" s="960"/>
      <c r="EB48" s="960"/>
      <c r="EC48" s="960"/>
      <c r="ED48" s="960"/>
      <c r="EE48" s="960"/>
      <c r="EF48" s="960"/>
      <c r="EG48" s="960"/>
      <c r="EH48" s="960"/>
      <c r="EI48" s="960"/>
      <c r="EJ48" s="960"/>
      <c r="EK48" s="960"/>
      <c r="EL48" s="960"/>
    </row>
    <row r="49" spans="2:142" ht="13.5">
      <c r="B49" s="1000"/>
      <c r="C49" s="986"/>
      <c r="D49" s="881" t="s">
        <v>2035</v>
      </c>
      <c r="E49" s="1001"/>
      <c r="F49" s="1008"/>
      <c r="G49" s="986"/>
      <c r="H49" s="214">
        <f>SUM(J49:EL49)</f>
        <v>4042.7100745725088</v>
      </c>
      <c r="I49" s="520"/>
      <c r="J49" s="2280"/>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53.22681111041652</v>
      </c>
      <c r="AN49" s="848">
        <v>58.067964383604682</v>
      </c>
      <c r="AO49" s="848">
        <v>55.774567073096499</v>
      </c>
      <c r="AP49" s="848">
        <v>44.731311961538687</v>
      </c>
      <c r="AQ49" s="848">
        <v>49.998475672719593</v>
      </c>
      <c r="AR49" s="848">
        <v>46.634752912744631</v>
      </c>
      <c r="AS49" s="848">
        <v>50.427515995145875</v>
      </c>
      <c r="AT49" s="848">
        <v>55.706546798063471</v>
      </c>
      <c r="AU49" s="848">
        <v>83.043552075712157</v>
      </c>
      <c r="AV49" s="848">
        <v>76.865085088635112</v>
      </c>
      <c r="AW49" s="848">
        <v>82.19919416049747</v>
      </c>
      <c r="AX49" s="848">
        <v>75.165951133457057</v>
      </c>
      <c r="AY49" s="848">
        <v>79.400240976536395</v>
      </c>
      <c r="AZ49" s="848">
        <v>84.622671785333139</v>
      </c>
      <c r="BA49" s="848">
        <v>75.241828393195121</v>
      </c>
      <c r="BB49" s="848">
        <v>69.817980262466946</v>
      </c>
      <c r="BC49" s="848">
        <v>75.28850731183266</v>
      </c>
      <c r="BD49" s="848">
        <v>67.259175686994865</v>
      </c>
      <c r="BE49" s="848">
        <v>71.725324877723722</v>
      </c>
      <c r="BF49" s="848">
        <v>77.199825561704571</v>
      </c>
      <c r="BG49" s="848">
        <v>67.893418082830976</v>
      </c>
      <c r="BH49" s="848">
        <v>61.838484754093379</v>
      </c>
      <c r="BI49" s="848">
        <v>67.292387854483309</v>
      </c>
      <c r="BJ49" s="848">
        <v>60.372035797007179</v>
      </c>
      <c r="BK49" s="848">
        <v>64.724718422428879</v>
      </c>
      <c r="BL49" s="848">
        <v>70.066361258303473</v>
      </c>
      <c r="BM49" s="848">
        <v>60.730517181705231</v>
      </c>
      <c r="BN49" s="848">
        <v>55.430420385155934</v>
      </c>
      <c r="BO49" s="848">
        <v>61.026502149094689</v>
      </c>
      <c r="BP49" s="848">
        <v>53.073717865343724</v>
      </c>
      <c r="BQ49" s="848">
        <v>57.665842816594925</v>
      </c>
      <c r="BR49" s="848">
        <v>63.266581710599176</v>
      </c>
      <c r="BS49" s="848">
        <v>36.696573996920087</v>
      </c>
      <c r="BT49" s="848">
        <v>30.736865775798474</v>
      </c>
      <c r="BU49" s="848">
        <v>36.28150263430107</v>
      </c>
      <c r="BV49" s="848">
        <v>31.884881847813826</v>
      </c>
      <c r="BW49" s="848">
        <v>36.331822883036715</v>
      </c>
      <c r="BX49" s="848">
        <v>41.768513290865698</v>
      </c>
      <c r="BY49" s="848">
        <v>34.891454507939251</v>
      </c>
      <c r="BZ49" s="848">
        <v>27.439772009383773</v>
      </c>
      <c r="CA49" s="848">
        <v>33.137626997716048</v>
      </c>
      <c r="CB49" s="848">
        <v>29.139957824981511</v>
      </c>
      <c r="CC49" s="848">
        <v>33.842307851324996</v>
      </c>
      <c r="CD49" s="848">
        <v>39.553501455994649</v>
      </c>
      <c r="CE49" s="848">
        <v>35.695864214007365</v>
      </c>
      <c r="CF49" s="848">
        <v>27.627406050904792</v>
      </c>
      <c r="CG49" s="848">
        <v>33.325651943490236</v>
      </c>
      <c r="CH49" s="848">
        <v>29.075518613804608</v>
      </c>
      <c r="CI49" s="848">
        <v>33.883068247564474</v>
      </c>
      <c r="CJ49" s="848">
        <v>39.473398643952272</v>
      </c>
      <c r="CK49" s="848">
        <v>32.671573001622924</v>
      </c>
      <c r="CL49" s="848">
        <v>25.049473478179412</v>
      </c>
      <c r="CM49" s="848">
        <v>39.380829347633551</v>
      </c>
      <c r="CN49" s="848">
        <v>35.618847806127881</v>
      </c>
      <c r="CO49" s="848">
        <v>40.775725999506527</v>
      </c>
      <c r="CP49" s="848">
        <v>46.736711737547346</v>
      </c>
      <c r="CQ49" s="848">
        <v>25.275220362542409</v>
      </c>
      <c r="CR49" s="848">
        <v>17.419395927817952</v>
      </c>
      <c r="CS49" s="848">
        <v>23.331722644876091</v>
      </c>
      <c r="CT49" s="848">
        <v>21.864046546689853</v>
      </c>
      <c r="CU49" s="848">
        <v>27.715424335888489</v>
      </c>
      <c r="CV49" s="848">
        <v>33.520976244986286</v>
      </c>
      <c r="CW49" s="848">
        <v>29.429391189201699</v>
      </c>
      <c r="CX49" s="848">
        <v>22.354137919151029</v>
      </c>
      <c r="CY49" s="848">
        <v>28.443315795047813</v>
      </c>
      <c r="CZ49" s="848">
        <v>27.386705838845462</v>
      </c>
      <c r="DA49" s="848">
        <v>32.687678608810181</v>
      </c>
      <c r="DB49" s="848">
        <v>38.798384694477093</v>
      </c>
      <c r="DC49" s="848">
        <v>37.916613084489143</v>
      </c>
      <c r="DD49" s="848">
        <v>25.850776641028485</v>
      </c>
      <c r="DE49" s="848">
        <v>31.947239180929177</v>
      </c>
      <c r="DF49" s="848">
        <v>30.656340285298338</v>
      </c>
      <c r="DG49" s="848">
        <v>35.856739466005081</v>
      </c>
      <c r="DH49" s="848">
        <v>41.850181852436727</v>
      </c>
      <c r="DI49" s="848">
        <v>37.863642930149943</v>
      </c>
      <c r="DJ49" s="848">
        <v>23.060811869189518</v>
      </c>
      <c r="DK49" s="848">
        <v>29.328845529644511</v>
      </c>
      <c r="DL49" s="848">
        <v>28.436137445617465</v>
      </c>
      <c r="DM49" s="848">
        <v>33.916680078591924</v>
      </c>
      <c r="DN49" s="848">
        <v>40.207330131149838</v>
      </c>
      <c r="DO49" s="848">
        <v>39.505877371317247</v>
      </c>
      <c r="DP49" s="848">
        <v>26.613120581655881</v>
      </c>
      <c r="DQ49" s="848">
        <v>32.888554885261847</v>
      </c>
      <c r="DR49" s="848">
        <v>31.76910352986086</v>
      </c>
      <c r="DS49" s="848">
        <v>37.147125587408567</v>
      </c>
      <c r="DT49" s="848">
        <v>43.319239249257372</v>
      </c>
      <c r="DU49" s="848">
        <v>39.426158218741257</v>
      </c>
      <c r="DV49" s="848">
        <v>23.737403210101935</v>
      </c>
      <c r="DW49" s="848">
        <v>30.18944872456488</v>
      </c>
      <c r="DX49" s="848">
        <v>29.464276671114167</v>
      </c>
      <c r="DY49" s="848">
        <v>35.129563549522786</v>
      </c>
      <c r="DZ49" s="848">
        <v>41.605342731359528</v>
      </c>
      <c r="EA49" s="848">
        <v>0</v>
      </c>
      <c r="EB49" s="848">
        <v>0</v>
      </c>
      <c r="EC49" s="848">
        <v>0</v>
      </c>
      <c r="ED49" s="848">
        <v>0</v>
      </c>
      <c r="EE49" s="848">
        <v>0</v>
      </c>
      <c r="EF49" s="848">
        <v>0</v>
      </c>
      <c r="EG49" s="848">
        <v>0</v>
      </c>
      <c r="EH49" s="848">
        <v>0</v>
      </c>
      <c r="EI49" s="848">
        <v>0</v>
      </c>
      <c r="EJ49" s="848">
        <v>0</v>
      </c>
      <c r="EK49" s="848">
        <v>0</v>
      </c>
      <c r="EL49" s="848">
        <v>0</v>
      </c>
    </row>
    <row r="50" spans="2:142">
      <c r="B50" s="1000"/>
      <c r="C50" s="986"/>
      <c r="D50" s="1001"/>
      <c r="E50" s="1001"/>
      <c r="F50" s="1008"/>
      <c r="G50" s="986"/>
      <c r="H50" s="214"/>
      <c r="I50" s="520"/>
      <c r="J50" s="2280"/>
      <c r="K50" s="848"/>
      <c r="L50" s="848"/>
      <c r="M50" s="848"/>
      <c r="N50" s="848"/>
      <c r="O50" s="848"/>
      <c r="P50" s="848"/>
      <c r="Q50" s="848"/>
      <c r="R50" s="848"/>
      <c r="S50" s="848"/>
      <c r="T50" s="848"/>
      <c r="U50" s="848"/>
      <c r="V50" s="848"/>
      <c r="W50" s="848"/>
      <c r="X50" s="848"/>
      <c r="Y50" s="848"/>
      <c r="Z50" s="848"/>
      <c r="AA50" s="848"/>
      <c r="AB50" s="848"/>
      <c r="AC50" s="848"/>
      <c r="AD50" s="848"/>
      <c r="AE50" s="848"/>
      <c r="AF50" s="848"/>
      <c r="AG50" s="848"/>
      <c r="AH50" s="848"/>
      <c r="AI50" s="848"/>
      <c r="AJ50" s="848"/>
      <c r="AK50" s="848"/>
      <c r="AL50" s="848"/>
      <c r="AM50" s="848"/>
      <c r="AN50" s="848"/>
      <c r="AO50" s="848"/>
      <c r="AP50" s="848"/>
      <c r="AQ50" s="848"/>
      <c r="AR50" s="848"/>
      <c r="AS50" s="848"/>
      <c r="AT50" s="848"/>
      <c r="AU50" s="848"/>
      <c r="AV50" s="848"/>
      <c r="AW50" s="848"/>
      <c r="AX50" s="848"/>
      <c r="AY50" s="848"/>
      <c r="AZ50" s="848"/>
      <c r="BA50" s="848"/>
      <c r="BB50" s="848"/>
      <c r="BC50" s="848"/>
      <c r="BD50" s="848"/>
      <c r="BE50" s="848"/>
      <c r="BF50" s="848"/>
      <c r="BG50" s="848"/>
      <c r="BH50" s="848"/>
      <c r="BI50" s="848"/>
      <c r="BJ50" s="848"/>
      <c r="BK50" s="848"/>
      <c r="BL50" s="848"/>
      <c r="BM50" s="848"/>
      <c r="BN50" s="848"/>
      <c r="BO50" s="848"/>
      <c r="BP50" s="848"/>
      <c r="BQ50" s="848"/>
      <c r="BR50" s="848"/>
      <c r="BS50" s="848"/>
      <c r="BT50" s="848"/>
      <c r="BU50" s="848"/>
      <c r="BV50" s="848"/>
      <c r="BW50" s="848"/>
      <c r="BX50" s="848"/>
      <c r="BY50" s="848"/>
      <c r="BZ50" s="848"/>
      <c r="CA50" s="848"/>
      <c r="CB50" s="848"/>
      <c r="CC50" s="848"/>
      <c r="CD50" s="848"/>
      <c r="CE50" s="848"/>
      <c r="CF50" s="848"/>
      <c r="CG50" s="848"/>
      <c r="CH50" s="848"/>
      <c r="CI50" s="848"/>
      <c r="CJ50" s="848"/>
      <c r="CK50" s="848"/>
      <c r="CL50" s="848"/>
      <c r="CM50" s="848"/>
      <c r="CN50" s="848"/>
      <c r="CO50" s="848"/>
      <c r="CP50" s="848"/>
      <c r="CQ50" s="848"/>
      <c r="CR50" s="848"/>
      <c r="CS50" s="848"/>
      <c r="CT50" s="848"/>
      <c r="CU50" s="848"/>
      <c r="CV50" s="848"/>
      <c r="CW50" s="848"/>
      <c r="CX50" s="848"/>
      <c r="CY50" s="848"/>
      <c r="CZ50" s="848"/>
      <c r="DA50" s="848"/>
      <c r="DB50" s="848"/>
      <c r="DC50" s="848"/>
      <c r="DD50" s="848"/>
      <c r="DE50" s="848"/>
      <c r="DF50" s="848"/>
      <c r="DG50" s="848"/>
      <c r="DH50" s="848"/>
      <c r="DI50" s="848"/>
      <c r="DJ50" s="848"/>
      <c r="DK50" s="848"/>
      <c r="DL50" s="848"/>
      <c r="DM50" s="848"/>
      <c r="DN50" s="848"/>
      <c r="DO50" s="848"/>
      <c r="DP50" s="848"/>
      <c r="DQ50" s="848"/>
      <c r="DR50" s="848"/>
      <c r="DS50" s="848"/>
      <c r="DT50" s="848"/>
      <c r="DU50" s="848"/>
      <c r="DV50" s="848"/>
      <c r="DW50" s="848"/>
      <c r="DX50" s="848"/>
      <c r="DY50" s="848"/>
      <c r="DZ50" s="848"/>
      <c r="EA50" s="960"/>
      <c r="EB50" s="960"/>
      <c r="EC50" s="960"/>
      <c r="ED50" s="960"/>
      <c r="EE50" s="960"/>
      <c r="EF50" s="960"/>
      <c r="EG50" s="960"/>
      <c r="EH50" s="960"/>
      <c r="EI50" s="960"/>
      <c r="EJ50" s="960"/>
      <c r="EK50" s="960"/>
      <c r="EL50" s="960"/>
    </row>
    <row r="51" spans="2:142" s="1007" customFormat="1" ht="13.5">
      <c r="B51" s="1004"/>
      <c r="C51" s="1005" t="s">
        <v>2036</v>
      </c>
      <c r="D51" s="994"/>
      <c r="E51" s="994"/>
      <c r="F51" s="1006"/>
      <c r="G51" s="1005"/>
      <c r="H51" s="215">
        <f t="shared" si="4"/>
        <v>157662.33333333363</v>
      </c>
      <c r="I51" s="521"/>
      <c r="J51" s="2278"/>
      <c r="K51" s="842">
        <f t="shared" ref="K51:AP51" si="10">SUM(K53:K60)</f>
        <v>0</v>
      </c>
      <c r="L51" s="842">
        <f t="shared" si="10"/>
        <v>0</v>
      </c>
      <c r="M51" s="842">
        <f t="shared" si="10"/>
        <v>0</v>
      </c>
      <c r="N51" s="842">
        <f t="shared" si="10"/>
        <v>0</v>
      </c>
      <c r="O51" s="842">
        <f t="shared" si="10"/>
        <v>0</v>
      </c>
      <c r="P51" s="842">
        <f t="shared" si="10"/>
        <v>0</v>
      </c>
      <c r="Q51" s="842">
        <f t="shared" si="10"/>
        <v>0</v>
      </c>
      <c r="R51" s="842">
        <f t="shared" si="10"/>
        <v>0</v>
      </c>
      <c r="S51" s="842">
        <f t="shared" si="10"/>
        <v>0</v>
      </c>
      <c r="T51" s="842">
        <f t="shared" si="10"/>
        <v>0</v>
      </c>
      <c r="U51" s="842">
        <f t="shared" si="10"/>
        <v>0</v>
      </c>
      <c r="V51" s="842">
        <f t="shared" si="10"/>
        <v>0</v>
      </c>
      <c r="W51" s="842">
        <f t="shared" si="10"/>
        <v>0</v>
      </c>
      <c r="X51" s="842">
        <f t="shared" si="10"/>
        <v>0</v>
      </c>
      <c r="Y51" s="842">
        <f t="shared" si="10"/>
        <v>0</v>
      </c>
      <c r="Z51" s="842">
        <f t="shared" si="10"/>
        <v>0</v>
      </c>
      <c r="AA51" s="842">
        <f t="shared" si="10"/>
        <v>0</v>
      </c>
      <c r="AB51" s="842">
        <f t="shared" si="10"/>
        <v>0</v>
      </c>
      <c r="AC51" s="842">
        <f t="shared" si="10"/>
        <v>0</v>
      </c>
      <c r="AD51" s="842">
        <f t="shared" si="10"/>
        <v>0</v>
      </c>
      <c r="AE51" s="842">
        <f t="shared" si="10"/>
        <v>0</v>
      </c>
      <c r="AF51" s="842">
        <f t="shared" si="10"/>
        <v>0</v>
      </c>
      <c r="AG51" s="842">
        <f t="shared" si="10"/>
        <v>0</v>
      </c>
      <c r="AH51" s="842">
        <f t="shared" si="10"/>
        <v>0</v>
      </c>
      <c r="AI51" s="842">
        <f t="shared" si="10"/>
        <v>0</v>
      </c>
      <c r="AJ51" s="842">
        <f t="shared" si="10"/>
        <v>0</v>
      </c>
      <c r="AK51" s="842">
        <f t="shared" si="10"/>
        <v>0</v>
      </c>
      <c r="AL51" s="842">
        <f t="shared" si="10"/>
        <v>0</v>
      </c>
      <c r="AM51" s="842">
        <f t="shared" si="10"/>
        <v>1151.7916666666665</v>
      </c>
      <c r="AN51" s="842">
        <f t="shared" si="10"/>
        <v>1151.7916666666665</v>
      </c>
      <c r="AO51" s="842">
        <f t="shared" si="10"/>
        <v>1151.7916666666665</v>
      </c>
      <c r="AP51" s="842">
        <f t="shared" si="10"/>
        <v>1151.7916666666665</v>
      </c>
      <c r="AQ51" s="842">
        <f t="shared" ref="AQ51:DB51" si="11">SUM(AQ53:AQ60)</f>
        <v>1151.7916666666665</v>
      </c>
      <c r="AR51" s="842">
        <f t="shared" si="11"/>
        <v>1151.7916666666665</v>
      </c>
      <c r="AS51" s="842">
        <f t="shared" si="11"/>
        <v>1151.7916666666665</v>
      </c>
      <c r="AT51" s="842">
        <f t="shared" si="11"/>
        <v>1151.7916666666665</v>
      </c>
      <c r="AU51" s="842">
        <f t="shared" si="11"/>
        <v>11191.333333333334</v>
      </c>
      <c r="AV51" s="842">
        <f t="shared" si="11"/>
        <v>1923.3333333333335</v>
      </c>
      <c r="AW51" s="842">
        <f t="shared" si="11"/>
        <v>1923.3333333333335</v>
      </c>
      <c r="AX51" s="842">
        <f t="shared" si="11"/>
        <v>1923.3333333333335</v>
      </c>
      <c r="AY51" s="842">
        <f t="shared" si="11"/>
        <v>1923.3333333333335</v>
      </c>
      <c r="AZ51" s="842">
        <f t="shared" si="11"/>
        <v>1923.3333333333335</v>
      </c>
      <c r="BA51" s="842">
        <f t="shared" si="11"/>
        <v>1923.3333333333335</v>
      </c>
      <c r="BB51" s="842">
        <f t="shared" si="11"/>
        <v>1923.3333333333335</v>
      </c>
      <c r="BC51" s="842">
        <f t="shared" si="11"/>
        <v>1923.3333333333335</v>
      </c>
      <c r="BD51" s="842">
        <f t="shared" si="11"/>
        <v>1923.3333333333335</v>
      </c>
      <c r="BE51" s="842">
        <f t="shared" si="11"/>
        <v>1923.3333333333335</v>
      </c>
      <c r="BF51" s="842">
        <f t="shared" si="11"/>
        <v>1923.3333333333335</v>
      </c>
      <c r="BG51" s="842">
        <f t="shared" si="11"/>
        <v>1923.3333333333335</v>
      </c>
      <c r="BH51" s="842">
        <f t="shared" si="11"/>
        <v>1923.3333333333335</v>
      </c>
      <c r="BI51" s="842">
        <f t="shared" si="11"/>
        <v>1923.3333333333335</v>
      </c>
      <c r="BJ51" s="842">
        <f t="shared" si="11"/>
        <v>1923.3333333333335</v>
      </c>
      <c r="BK51" s="842">
        <f t="shared" si="11"/>
        <v>1923.3333333333335</v>
      </c>
      <c r="BL51" s="842">
        <f t="shared" si="11"/>
        <v>1923.3333333333335</v>
      </c>
      <c r="BM51" s="842">
        <f t="shared" si="11"/>
        <v>1923.3333333333335</v>
      </c>
      <c r="BN51" s="842">
        <f t="shared" si="11"/>
        <v>1923.3333333333335</v>
      </c>
      <c r="BO51" s="842">
        <f t="shared" si="11"/>
        <v>1923.3333333333335</v>
      </c>
      <c r="BP51" s="842">
        <f t="shared" si="11"/>
        <v>1923.3333333333335</v>
      </c>
      <c r="BQ51" s="842">
        <f t="shared" si="11"/>
        <v>1923.3333333333335</v>
      </c>
      <c r="BR51" s="842">
        <f t="shared" si="11"/>
        <v>1923.3333333333335</v>
      </c>
      <c r="BS51" s="842">
        <f t="shared" si="11"/>
        <v>9342.9166666666661</v>
      </c>
      <c r="BT51" s="842">
        <f t="shared" si="11"/>
        <v>1532.9166666666667</v>
      </c>
      <c r="BU51" s="842">
        <f t="shared" si="11"/>
        <v>1532.9166666666667</v>
      </c>
      <c r="BV51" s="842">
        <f t="shared" si="11"/>
        <v>1532.9166666666667</v>
      </c>
      <c r="BW51" s="842">
        <f t="shared" si="11"/>
        <v>1532.9166666666667</v>
      </c>
      <c r="BX51" s="842">
        <f t="shared" si="11"/>
        <v>1532.9166666666667</v>
      </c>
      <c r="BY51" s="842">
        <f t="shared" si="11"/>
        <v>1532.9166666666667</v>
      </c>
      <c r="BZ51" s="842">
        <f t="shared" si="11"/>
        <v>1532.9166666666667</v>
      </c>
      <c r="CA51" s="842">
        <f t="shared" si="11"/>
        <v>1532.9166666666667</v>
      </c>
      <c r="CB51" s="842">
        <f t="shared" si="11"/>
        <v>1532.9166666666667</v>
      </c>
      <c r="CC51" s="842">
        <f t="shared" si="11"/>
        <v>1532.9166666666667</v>
      </c>
      <c r="CD51" s="842">
        <f t="shared" si="11"/>
        <v>1532.9166666666667</v>
      </c>
      <c r="CE51" s="842">
        <f t="shared" si="11"/>
        <v>1532.9166666666667</v>
      </c>
      <c r="CF51" s="842">
        <f t="shared" si="11"/>
        <v>1532.9166666666667</v>
      </c>
      <c r="CG51" s="842">
        <f t="shared" si="11"/>
        <v>1532.9166666666667</v>
      </c>
      <c r="CH51" s="842">
        <f t="shared" si="11"/>
        <v>1532.9166666666667</v>
      </c>
      <c r="CI51" s="842">
        <f t="shared" si="11"/>
        <v>1532.9166666666667</v>
      </c>
      <c r="CJ51" s="842">
        <f t="shared" si="11"/>
        <v>1532.9166666666667</v>
      </c>
      <c r="CK51" s="842">
        <f t="shared" si="11"/>
        <v>1532.9166666666667</v>
      </c>
      <c r="CL51" s="842">
        <f t="shared" si="11"/>
        <v>1532.9166666666667</v>
      </c>
      <c r="CM51" s="842">
        <f t="shared" si="11"/>
        <v>1532.9166666666667</v>
      </c>
      <c r="CN51" s="842">
        <f t="shared" si="11"/>
        <v>1532.9166666666667</v>
      </c>
      <c r="CO51" s="842">
        <f t="shared" si="11"/>
        <v>1532.9166666666667</v>
      </c>
      <c r="CP51" s="842">
        <f t="shared" si="11"/>
        <v>1532.9166666666667</v>
      </c>
      <c r="CQ51" s="842">
        <f t="shared" si="11"/>
        <v>9190.8333333333339</v>
      </c>
      <c r="CR51" s="842">
        <f t="shared" si="11"/>
        <v>1120.8333333333333</v>
      </c>
      <c r="CS51" s="842">
        <f t="shared" si="11"/>
        <v>1120.8333333333333</v>
      </c>
      <c r="CT51" s="842">
        <f t="shared" si="11"/>
        <v>1120.8333333333333</v>
      </c>
      <c r="CU51" s="842">
        <f t="shared" si="11"/>
        <v>1120.8333333333333</v>
      </c>
      <c r="CV51" s="842">
        <f t="shared" si="11"/>
        <v>1120.8333333333333</v>
      </c>
      <c r="CW51" s="842">
        <f t="shared" si="11"/>
        <v>1120.8333333333333</v>
      </c>
      <c r="CX51" s="842">
        <f t="shared" si="11"/>
        <v>1120.8333333333333</v>
      </c>
      <c r="CY51" s="842">
        <f t="shared" si="11"/>
        <v>1120.8333333333333</v>
      </c>
      <c r="CZ51" s="842">
        <f t="shared" si="11"/>
        <v>1120.8333333333333</v>
      </c>
      <c r="DA51" s="842">
        <f t="shared" si="11"/>
        <v>1120.8333333333333</v>
      </c>
      <c r="DB51" s="842">
        <f t="shared" si="11"/>
        <v>1120.8333333333333</v>
      </c>
      <c r="DC51" s="842">
        <f t="shared" ref="DC51:EL51" si="12">SUM(DC53:DC60)</f>
        <v>1120.8333333333333</v>
      </c>
      <c r="DD51" s="842">
        <f t="shared" si="12"/>
        <v>1120.8333333333333</v>
      </c>
      <c r="DE51" s="842">
        <f t="shared" si="12"/>
        <v>1120.8333333333333</v>
      </c>
      <c r="DF51" s="842">
        <f t="shared" si="12"/>
        <v>1120.8333333333333</v>
      </c>
      <c r="DG51" s="842">
        <f t="shared" si="12"/>
        <v>1120.8333333333333</v>
      </c>
      <c r="DH51" s="842">
        <f t="shared" si="12"/>
        <v>1120.8333333333333</v>
      </c>
      <c r="DI51" s="842">
        <f t="shared" si="12"/>
        <v>1120.8333333333333</v>
      </c>
      <c r="DJ51" s="842">
        <f t="shared" si="12"/>
        <v>1120.8333333333333</v>
      </c>
      <c r="DK51" s="842">
        <f t="shared" si="12"/>
        <v>1120.8333333333333</v>
      </c>
      <c r="DL51" s="842">
        <f t="shared" si="12"/>
        <v>1120.8333333333333</v>
      </c>
      <c r="DM51" s="842">
        <f t="shared" si="12"/>
        <v>1120.8333333333333</v>
      </c>
      <c r="DN51" s="842">
        <f t="shared" si="12"/>
        <v>1120.8333333333333</v>
      </c>
      <c r="DO51" s="842">
        <f t="shared" si="12"/>
        <v>1120.8333333333333</v>
      </c>
      <c r="DP51" s="842">
        <f t="shared" si="12"/>
        <v>1120.8333333333333</v>
      </c>
      <c r="DQ51" s="842">
        <f t="shared" si="12"/>
        <v>1120.8333333333333</v>
      </c>
      <c r="DR51" s="842">
        <f t="shared" si="12"/>
        <v>1120.8333333333333</v>
      </c>
      <c r="DS51" s="842">
        <f t="shared" si="12"/>
        <v>1120.8333333333333</v>
      </c>
      <c r="DT51" s="842">
        <f t="shared" si="12"/>
        <v>1120.8333333333333</v>
      </c>
      <c r="DU51" s="842">
        <f t="shared" si="12"/>
        <v>1120.8333333333333</v>
      </c>
      <c r="DV51" s="842">
        <f t="shared" si="12"/>
        <v>1120.8333333333333</v>
      </c>
      <c r="DW51" s="842">
        <f t="shared" si="12"/>
        <v>1120.8333333333333</v>
      </c>
      <c r="DX51" s="842">
        <f t="shared" si="12"/>
        <v>1120.8333333333333</v>
      </c>
      <c r="DY51" s="842">
        <f t="shared" si="12"/>
        <v>1120.8333333333333</v>
      </c>
      <c r="DZ51" s="842">
        <f t="shared" si="12"/>
        <v>1120.8333333333333</v>
      </c>
      <c r="EA51" s="842">
        <f t="shared" si="12"/>
        <v>0</v>
      </c>
      <c r="EB51" s="842">
        <f t="shared" si="12"/>
        <v>0</v>
      </c>
      <c r="EC51" s="842">
        <f t="shared" si="12"/>
        <v>0</v>
      </c>
      <c r="ED51" s="842">
        <f t="shared" si="12"/>
        <v>0</v>
      </c>
      <c r="EE51" s="842">
        <f t="shared" si="12"/>
        <v>0</v>
      </c>
      <c r="EF51" s="842">
        <f t="shared" si="12"/>
        <v>0</v>
      </c>
      <c r="EG51" s="842">
        <f t="shared" si="12"/>
        <v>0</v>
      </c>
      <c r="EH51" s="842">
        <f t="shared" si="12"/>
        <v>0</v>
      </c>
      <c r="EI51" s="842">
        <f t="shared" si="12"/>
        <v>0</v>
      </c>
      <c r="EJ51" s="842">
        <f t="shared" si="12"/>
        <v>0</v>
      </c>
      <c r="EK51" s="842">
        <f t="shared" si="12"/>
        <v>0</v>
      </c>
      <c r="EL51" s="842">
        <f t="shared" si="12"/>
        <v>0</v>
      </c>
    </row>
    <row r="52" spans="2:142">
      <c r="B52" s="1000"/>
      <c r="C52" s="986"/>
      <c r="D52" s="1001"/>
      <c r="E52" s="1001"/>
      <c r="F52" s="1008"/>
      <c r="G52" s="986"/>
      <c r="H52" s="214"/>
      <c r="I52" s="520"/>
      <c r="J52" s="2280"/>
      <c r="K52" s="848"/>
      <c r="L52" s="848"/>
      <c r="M52" s="848"/>
      <c r="N52" s="848"/>
      <c r="O52" s="848"/>
      <c r="P52" s="848"/>
      <c r="Q52" s="848"/>
      <c r="R52" s="848"/>
      <c r="S52" s="848"/>
      <c r="T52" s="848"/>
      <c r="U52" s="848"/>
      <c r="V52" s="848"/>
      <c r="W52" s="848"/>
      <c r="X52" s="848"/>
      <c r="Y52" s="848"/>
      <c r="Z52" s="848"/>
      <c r="AA52" s="848"/>
      <c r="AB52" s="848"/>
      <c r="AC52" s="848"/>
      <c r="AD52" s="848"/>
      <c r="AE52" s="848"/>
      <c r="AF52" s="848"/>
      <c r="AG52" s="848"/>
      <c r="AH52" s="848"/>
      <c r="AI52" s="848"/>
      <c r="AJ52" s="848"/>
      <c r="AK52" s="848"/>
      <c r="AL52" s="848"/>
      <c r="AM52" s="848"/>
      <c r="AN52" s="848"/>
      <c r="AO52" s="848"/>
      <c r="AP52" s="848"/>
      <c r="AQ52" s="848"/>
      <c r="AR52" s="848"/>
      <c r="AS52" s="848"/>
      <c r="AT52" s="848"/>
      <c r="AU52" s="848"/>
      <c r="AV52" s="848"/>
      <c r="AW52" s="848"/>
      <c r="AX52" s="848"/>
      <c r="AY52" s="848"/>
      <c r="AZ52" s="848"/>
      <c r="BA52" s="848"/>
      <c r="BB52" s="848"/>
      <c r="BC52" s="848"/>
      <c r="BD52" s="848"/>
      <c r="BE52" s="848"/>
      <c r="BF52" s="848"/>
      <c r="BG52" s="848"/>
      <c r="BH52" s="848"/>
      <c r="BI52" s="848"/>
      <c r="BJ52" s="848"/>
      <c r="BK52" s="848"/>
      <c r="BL52" s="848"/>
      <c r="BM52" s="848"/>
      <c r="BN52" s="848"/>
      <c r="BO52" s="848"/>
      <c r="BP52" s="848"/>
      <c r="BQ52" s="848"/>
      <c r="BR52" s="848"/>
      <c r="BS52" s="848"/>
      <c r="BT52" s="848"/>
      <c r="BU52" s="848"/>
      <c r="BV52" s="848"/>
      <c r="BW52" s="848"/>
      <c r="BX52" s="848"/>
      <c r="BY52" s="848"/>
      <c r="BZ52" s="848"/>
      <c r="CA52" s="848"/>
      <c r="CB52" s="848"/>
      <c r="CC52" s="848"/>
      <c r="CD52" s="848"/>
      <c r="CE52" s="848"/>
      <c r="CF52" s="848"/>
      <c r="CG52" s="848"/>
      <c r="CH52" s="848"/>
      <c r="CI52" s="848"/>
      <c r="CJ52" s="848"/>
      <c r="CK52" s="848"/>
      <c r="CL52" s="848"/>
      <c r="CM52" s="848"/>
      <c r="CN52" s="848"/>
      <c r="CO52" s="848"/>
      <c r="CP52" s="848"/>
      <c r="CQ52" s="848"/>
      <c r="CR52" s="848"/>
      <c r="CS52" s="848"/>
      <c r="CT52" s="848"/>
      <c r="CU52" s="848"/>
      <c r="CV52" s="848"/>
      <c r="CW52" s="848"/>
      <c r="CX52" s="848"/>
      <c r="CY52" s="848"/>
      <c r="CZ52" s="848"/>
      <c r="DA52" s="848"/>
      <c r="DB52" s="848"/>
      <c r="DC52" s="848"/>
      <c r="DD52" s="848"/>
      <c r="DE52" s="848"/>
      <c r="DF52" s="848"/>
      <c r="DG52" s="848"/>
      <c r="DH52" s="848"/>
      <c r="DI52" s="848"/>
      <c r="DJ52" s="848"/>
      <c r="DK52" s="848"/>
      <c r="DL52" s="848"/>
      <c r="DM52" s="848"/>
      <c r="DN52" s="848"/>
      <c r="DO52" s="848"/>
      <c r="DP52" s="848"/>
      <c r="DQ52" s="848"/>
      <c r="DR52" s="848"/>
      <c r="DS52" s="848"/>
      <c r="DT52" s="848"/>
      <c r="DU52" s="848"/>
      <c r="DV52" s="848"/>
      <c r="DW52" s="848"/>
      <c r="DX52" s="848"/>
      <c r="DY52" s="848"/>
      <c r="DZ52" s="848"/>
      <c r="EA52" s="960"/>
      <c r="EB52" s="960"/>
      <c r="EC52" s="960"/>
      <c r="ED52" s="960"/>
      <c r="EE52" s="960"/>
      <c r="EF52" s="960"/>
      <c r="EG52" s="960"/>
      <c r="EH52" s="960"/>
      <c r="EI52" s="960"/>
      <c r="EJ52" s="960"/>
      <c r="EK52" s="960"/>
      <c r="EL52" s="960"/>
    </row>
    <row r="53" spans="2:142" ht="13.5">
      <c r="B53" s="1000"/>
      <c r="C53" s="986"/>
      <c r="D53" s="881" t="s">
        <v>795</v>
      </c>
      <c r="E53" s="1001"/>
      <c r="F53" s="1008"/>
      <c r="G53" s="986"/>
      <c r="H53" s="214">
        <f t="shared" si="4"/>
        <v>118218.33333333317</v>
      </c>
      <c r="I53" s="520"/>
      <c r="J53" s="2280"/>
      <c r="K53" s="848">
        <v>0</v>
      </c>
      <c r="L53" s="848">
        <v>0</v>
      </c>
      <c r="M53" s="848">
        <v>0</v>
      </c>
      <c r="N53" s="848">
        <v>0</v>
      </c>
      <c r="O53" s="848">
        <v>0</v>
      </c>
      <c r="P53" s="848">
        <v>0</v>
      </c>
      <c r="Q53" s="848">
        <v>0</v>
      </c>
      <c r="R53" s="848">
        <v>0</v>
      </c>
      <c r="S53" s="848">
        <v>0</v>
      </c>
      <c r="T53" s="848">
        <v>0</v>
      </c>
      <c r="U53" s="848">
        <v>0</v>
      </c>
      <c r="V53" s="848">
        <v>0</v>
      </c>
      <c r="W53" s="848">
        <v>0</v>
      </c>
      <c r="X53" s="848">
        <v>0</v>
      </c>
      <c r="Y53" s="848">
        <v>0</v>
      </c>
      <c r="Z53" s="848">
        <v>0</v>
      </c>
      <c r="AA53" s="848">
        <v>0</v>
      </c>
      <c r="AB53" s="848">
        <v>0</v>
      </c>
      <c r="AC53" s="848">
        <v>0</v>
      </c>
      <c r="AD53" s="848">
        <v>0</v>
      </c>
      <c r="AE53" s="848">
        <v>0</v>
      </c>
      <c r="AF53" s="848">
        <v>0</v>
      </c>
      <c r="AG53" s="848">
        <v>0</v>
      </c>
      <c r="AH53" s="848">
        <v>0</v>
      </c>
      <c r="AI53" s="848">
        <v>0</v>
      </c>
      <c r="AJ53" s="848">
        <v>0</v>
      </c>
      <c r="AK53" s="848">
        <v>0</v>
      </c>
      <c r="AL53" s="848">
        <v>0</v>
      </c>
      <c r="AM53" s="848">
        <v>924.79166666666663</v>
      </c>
      <c r="AN53" s="848">
        <v>924.79166666666663</v>
      </c>
      <c r="AO53" s="848">
        <v>924.79166666666663</v>
      </c>
      <c r="AP53" s="848">
        <v>924.79166666666663</v>
      </c>
      <c r="AQ53" s="848">
        <v>924.79166666666663</v>
      </c>
      <c r="AR53" s="848">
        <v>924.79166666666663</v>
      </c>
      <c r="AS53" s="848">
        <v>924.79166666666663</v>
      </c>
      <c r="AT53" s="848">
        <v>924.79166666666663</v>
      </c>
      <c r="AU53" s="848">
        <v>1620</v>
      </c>
      <c r="AV53" s="848">
        <v>1620</v>
      </c>
      <c r="AW53" s="848">
        <v>1620</v>
      </c>
      <c r="AX53" s="848">
        <v>1620</v>
      </c>
      <c r="AY53" s="848">
        <v>1620</v>
      </c>
      <c r="AZ53" s="848">
        <v>1620</v>
      </c>
      <c r="BA53" s="848">
        <v>1620</v>
      </c>
      <c r="BB53" s="848">
        <v>1620</v>
      </c>
      <c r="BC53" s="848">
        <v>1620</v>
      </c>
      <c r="BD53" s="848">
        <v>1620</v>
      </c>
      <c r="BE53" s="848">
        <v>1620</v>
      </c>
      <c r="BF53" s="848">
        <v>1620</v>
      </c>
      <c r="BG53" s="848">
        <v>1620</v>
      </c>
      <c r="BH53" s="848">
        <v>1620</v>
      </c>
      <c r="BI53" s="848">
        <v>1620</v>
      </c>
      <c r="BJ53" s="848">
        <v>1620</v>
      </c>
      <c r="BK53" s="848">
        <v>1620</v>
      </c>
      <c r="BL53" s="848">
        <v>1620</v>
      </c>
      <c r="BM53" s="848">
        <v>1620</v>
      </c>
      <c r="BN53" s="848">
        <v>1620</v>
      </c>
      <c r="BO53" s="848">
        <v>1620</v>
      </c>
      <c r="BP53" s="848">
        <v>1620</v>
      </c>
      <c r="BQ53" s="848">
        <v>1620</v>
      </c>
      <c r="BR53" s="848">
        <v>1620</v>
      </c>
      <c r="BS53" s="848">
        <v>1316.25</v>
      </c>
      <c r="BT53" s="848">
        <v>1316.25</v>
      </c>
      <c r="BU53" s="848">
        <v>1316.25</v>
      </c>
      <c r="BV53" s="848">
        <v>1316.25</v>
      </c>
      <c r="BW53" s="848">
        <v>1316.25</v>
      </c>
      <c r="BX53" s="848">
        <v>1316.25</v>
      </c>
      <c r="BY53" s="848">
        <v>1316.25</v>
      </c>
      <c r="BZ53" s="848">
        <v>1316.25</v>
      </c>
      <c r="CA53" s="848">
        <v>1316.25</v>
      </c>
      <c r="CB53" s="848">
        <v>1316.25</v>
      </c>
      <c r="CC53" s="848">
        <v>1316.25</v>
      </c>
      <c r="CD53" s="848">
        <v>1316.25</v>
      </c>
      <c r="CE53" s="848">
        <v>1316.25</v>
      </c>
      <c r="CF53" s="848">
        <v>1316.25</v>
      </c>
      <c r="CG53" s="848">
        <v>1316.25</v>
      </c>
      <c r="CH53" s="848">
        <v>1316.25</v>
      </c>
      <c r="CI53" s="848">
        <v>1316.25</v>
      </c>
      <c r="CJ53" s="848">
        <v>1316.25</v>
      </c>
      <c r="CK53" s="848">
        <v>1316.25</v>
      </c>
      <c r="CL53" s="848">
        <v>1316.25</v>
      </c>
      <c r="CM53" s="848">
        <v>1316.25</v>
      </c>
      <c r="CN53" s="848">
        <v>1316.25</v>
      </c>
      <c r="CO53" s="848">
        <v>1316.25</v>
      </c>
      <c r="CP53" s="848">
        <v>1316.25</v>
      </c>
      <c r="CQ53" s="848">
        <v>1120.8333333333333</v>
      </c>
      <c r="CR53" s="848">
        <v>1120.8333333333333</v>
      </c>
      <c r="CS53" s="848">
        <v>1120.8333333333333</v>
      </c>
      <c r="CT53" s="848">
        <v>1120.8333333333333</v>
      </c>
      <c r="CU53" s="848">
        <v>1120.8333333333333</v>
      </c>
      <c r="CV53" s="848">
        <v>1120.8333333333333</v>
      </c>
      <c r="CW53" s="848">
        <v>1120.8333333333333</v>
      </c>
      <c r="CX53" s="848">
        <v>1120.8333333333333</v>
      </c>
      <c r="CY53" s="848">
        <v>1120.8333333333333</v>
      </c>
      <c r="CZ53" s="848">
        <v>1120.8333333333333</v>
      </c>
      <c r="DA53" s="848">
        <v>1120.8333333333333</v>
      </c>
      <c r="DB53" s="848">
        <v>1120.8333333333333</v>
      </c>
      <c r="DC53" s="848">
        <v>1120.8333333333333</v>
      </c>
      <c r="DD53" s="848">
        <v>1120.8333333333333</v>
      </c>
      <c r="DE53" s="848">
        <v>1120.8333333333333</v>
      </c>
      <c r="DF53" s="848">
        <v>1120.8333333333333</v>
      </c>
      <c r="DG53" s="848">
        <v>1120.8333333333333</v>
      </c>
      <c r="DH53" s="848">
        <v>1120.8333333333333</v>
      </c>
      <c r="DI53" s="848">
        <v>1120.8333333333333</v>
      </c>
      <c r="DJ53" s="848">
        <v>1120.8333333333333</v>
      </c>
      <c r="DK53" s="848">
        <v>1120.8333333333333</v>
      </c>
      <c r="DL53" s="848">
        <v>1120.8333333333333</v>
      </c>
      <c r="DM53" s="848">
        <v>1120.8333333333333</v>
      </c>
      <c r="DN53" s="848">
        <v>1120.8333333333333</v>
      </c>
      <c r="DO53" s="848">
        <v>1120.8333333333333</v>
      </c>
      <c r="DP53" s="848">
        <v>1120.8333333333333</v>
      </c>
      <c r="DQ53" s="848">
        <v>1120.8333333333333</v>
      </c>
      <c r="DR53" s="848">
        <v>1120.8333333333333</v>
      </c>
      <c r="DS53" s="848">
        <v>1120.8333333333333</v>
      </c>
      <c r="DT53" s="848">
        <v>1120.8333333333333</v>
      </c>
      <c r="DU53" s="848">
        <v>1120.8333333333333</v>
      </c>
      <c r="DV53" s="848">
        <v>1120.8333333333333</v>
      </c>
      <c r="DW53" s="848">
        <v>1120.8333333333333</v>
      </c>
      <c r="DX53" s="848">
        <v>1120.8333333333333</v>
      </c>
      <c r="DY53" s="848">
        <v>1120.8333333333333</v>
      </c>
      <c r="DZ53" s="848">
        <v>1120.8333333333333</v>
      </c>
      <c r="EA53" s="960">
        <v>0</v>
      </c>
      <c r="EB53" s="960">
        <v>0</v>
      </c>
      <c r="EC53" s="960">
        <v>0</v>
      </c>
      <c r="ED53" s="960">
        <v>0</v>
      </c>
      <c r="EE53" s="960">
        <v>0</v>
      </c>
      <c r="EF53" s="960">
        <v>0</v>
      </c>
      <c r="EG53" s="960">
        <v>0</v>
      </c>
      <c r="EH53" s="960">
        <v>0</v>
      </c>
      <c r="EI53" s="960">
        <v>0</v>
      </c>
      <c r="EJ53" s="960">
        <v>0</v>
      </c>
      <c r="EK53" s="960">
        <v>0</v>
      </c>
      <c r="EL53" s="960">
        <v>0</v>
      </c>
    </row>
    <row r="54" spans="2:142" s="833" customFormat="1" ht="13.5">
      <c r="B54" s="1000"/>
      <c r="C54" s="1001"/>
      <c r="D54" s="881" t="s">
        <v>796</v>
      </c>
      <c r="E54" s="1001"/>
      <c r="F54" s="1008"/>
      <c r="G54" s="1001"/>
      <c r="H54" s="214">
        <f>SUM(J54:EL54)</f>
        <v>14295.999999999984</v>
      </c>
      <c r="I54" s="520"/>
      <c r="J54" s="2280"/>
      <c r="K54" s="848">
        <v>0</v>
      </c>
      <c r="L54" s="848">
        <v>0</v>
      </c>
      <c r="M54" s="848">
        <v>0</v>
      </c>
      <c r="N54" s="848">
        <v>0</v>
      </c>
      <c r="O54" s="848">
        <v>0</v>
      </c>
      <c r="P54" s="848">
        <v>0</v>
      </c>
      <c r="Q54" s="848">
        <v>0</v>
      </c>
      <c r="R54" s="848">
        <v>0</v>
      </c>
      <c r="S54" s="848">
        <v>0</v>
      </c>
      <c r="T54" s="848">
        <v>0</v>
      </c>
      <c r="U54" s="848">
        <v>0</v>
      </c>
      <c r="V54" s="848">
        <v>0</v>
      </c>
      <c r="W54" s="848">
        <v>0</v>
      </c>
      <c r="X54" s="848">
        <v>0</v>
      </c>
      <c r="Y54" s="848">
        <v>0</v>
      </c>
      <c r="Z54" s="848">
        <v>0</v>
      </c>
      <c r="AA54" s="848">
        <v>0</v>
      </c>
      <c r="AB54" s="848">
        <v>0</v>
      </c>
      <c r="AC54" s="848">
        <v>0</v>
      </c>
      <c r="AD54" s="848">
        <v>0</v>
      </c>
      <c r="AE54" s="848">
        <v>0</v>
      </c>
      <c r="AF54" s="848">
        <v>0</v>
      </c>
      <c r="AG54" s="848">
        <v>0</v>
      </c>
      <c r="AH54" s="848">
        <v>0</v>
      </c>
      <c r="AI54" s="848">
        <v>0</v>
      </c>
      <c r="AJ54" s="848">
        <v>0</v>
      </c>
      <c r="AK54" s="848">
        <v>0</v>
      </c>
      <c r="AL54" s="848">
        <v>0</v>
      </c>
      <c r="AM54" s="848">
        <v>227</v>
      </c>
      <c r="AN54" s="848">
        <v>227</v>
      </c>
      <c r="AO54" s="848">
        <v>227</v>
      </c>
      <c r="AP54" s="848">
        <v>227</v>
      </c>
      <c r="AQ54" s="848">
        <v>227</v>
      </c>
      <c r="AR54" s="848">
        <v>227</v>
      </c>
      <c r="AS54" s="848">
        <v>227</v>
      </c>
      <c r="AT54" s="848">
        <v>227</v>
      </c>
      <c r="AU54" s="848">
        <v>303.33333333333337</v>
      </c>
      <c r="AV54" s="848">
        <v>303.33333333333337</v>
      </c>
      <c r="AW54" s="848">
        <v>303.33333333333337</v>
      </c>
      <c r="AX54" s="848">
        <v>303.33333333333337</v>
      </c>
      <c r="AY54" s="848">
        <v>303.33333333333337</v>
      </c>
      <c r="AZ54" s="848">
        <v>303.33333333333337</v>
      </c>
      <c r="BA54" s="848">
        <v>303.33333333333337</v>
      </c>
      <c r="BB54" s="848">
        <v>303.33333333333337</v>
      </c>
      <c r="BC54" s="848">
        <v>303.33333333333337</v>
      </c>
      <c r="BD54" s="848">
        <v>303.33333333333337</v>
      </c>
      <c r="BE54" s="848">
        <v>303.33333333333337</v>
      </c>
      <c r="BF54" s="848">
        <v>303.33333333333337</v>
      </c>
      <c r="BG54" s="848">
        <v>303.33333333333337</v>
      </c>
      <c r="BH54" s="848">
        <v>303.33333333333337</v>
      </c>
      <c r="BI54" s="848">
        <v>303.33333333333337</v>
      </c>
      <c r="BJ54" s="848">
        <v>303.33333333333337</v>
      </c>
      <c r="BK54" s="848">
        <v>303.33333333333337</v>
      </c>
      <c r="BL54" s="848">
        <v>303.33333333333337</v>
      </c>
      <c r="BM54" s="848">
        <v>303.33333333333337</v>
      </c>
      <c r="BN54" s="848">
        <v>303.33333333333337</v>
      </c>
      <c r="BO54" s="848">
        <v>303.33333333333337</v>
      </c>
      <c r="BP54" s="848">
        <v>303.33333333333337</v>
      </c>
      <c r="BQ54" s="848">
        <v>303.33333333333337</v>
      </c>
      <c r="BR54" s="848">
        <v>303.33333333333337</v>
      </c>
      <c r="BS54" s="848">
        <v>216.66666666666666</v>
      </c>
      <c r="BT54" s="848">
        <v>216.66666666666666</v>
      </c>
      <c r="BU54" s="848">
        <v>216.66666666666666</v>
      </c>
      <c r="BV54" s="848">
        <v>216.66666666666666</v>
      </c>
      <c r="BW54" s="848">
        <v>216.66666666666666</v>
      </c>
      <c r="BX54" s="848">
        <v>216.66666666666666</v>
      </c>
      <c r="BY54" s="848">
        <v>216.66666666666666</v>
      </c>
      <c r="BZ54" s="848">
        <v>216.66666666666666</v>
      </c>
      <c r="CA54" s="848">
        <v>216.66666666666666</v>
      </c>
      <c r="CB54" s="848">
        <v>216.66666666666666</v>
      </c>
      <c r="CC54" s="848">
        <v>216.66666666666666</v>
      </c>
      <c r="CD54" s="848">
        <v>216.66666666666666</v>
      </c>
      <c r="CE54" s="848">
        <v>216.66666666666666</v>
      </c>
      <c r="CF54" s="848">
        <v>216.66666666666666</v>
      </c>
      <c r="CG54" s="848">
        <v>216.66666666666666</v>
      </c>
      <c r="CH54" s="848">
        <v>216.66666666666666</v>
      </c>
      <c r="CI54" s="848">
        <v>216.66666666666666</v>
      </c>
      <c r="CJ54" s="848">
        <v>216.66666666666666</v>
      </c>
      <c r="CK54" s="848">
        <v>216.66666666666666</v>
      </c>
      <c r="CL54" s="848">
        <v>216.66666666666666</v>
      </c>
      <c r="CM54" s="848">
        <v>216.66666666666666</v>
      </c>
      <c r="CN54" s="848">
        <v>216.66666666666666</v>
      </c>
      <c r="CO54" s="848">
        <v>216.66666666666666</v>
      </c>
      <c r="CP54" s="848">
        <v>216.66666666666666</v>
      </c>
      <c r="CQ54" s="848">
        <v>0</v>
      </c>
      <c r="CR54" s="848">
        <v>0</v>
      </c>
      <c r="CS54" s="848">
        <v>0</v>
      </c>
      <c r="CT54" s="848">
        <v>0</v>
      </c>
      <c r="CU54" s="848">
        <v>0</v>
      </c>
      <c r="CV54" s="848">
        <v>0</v>
      </c>
      <c r="CW54" s="848">
        <v>0</v>
      </c>
      <c r="CX54" s="848">
        <v>0</v>
      </c>
      <c r="CY54" s="848">
        <v>0</v>
      </c>
      <c r="CZ54" s="848">
        <v>0</v>
      </c>
      <c r="DA54" s="848">
        <v>0</v>
      </c>
      <c r="DB54" s="848">
        <v>0</v>
      </c>
      <c r="DC54" s="848">
        <v>0</v>
      </c>
      <c r="DD54" s="848">
        <v>0</v>
      </c>
      <c r="DE54" s="848">
        <v>0</v>
      </c>
      <c r="DF54" s="848">
        <v>0</v>
      </c>
      <c r="DG54" s="848">
        <v>0</v>
      </c>
      <c r="DH54" s="848">
        <v>0</v>
      </c>
      <c r="DI54" s="848">
        <v>0</v>
      </c>
      <c r="DJ54" s="848">
        <v>0</v>
      </c>
      <c r="DK54" s="848">
        <v>0</v>
      </c>
      <c r="DL54" s="848">
        <v>0</v>
      </c>
      <c r="DM54" s="848">
        <v>0</v>
      </c>
      <c r="DN54" s="848">
        <v>0</v>
      </c>
      <c r="DO54" s="848">
        <v>0</v>
      </c>
      <c r="DP54" s="848">
        <v>0</v>
      </c>
      <c r="DQ54" s="848">
        <v>0</v>
      </c>
      <c r="DR54" s="848">
        <v>0</v>
      </c>
      <c r="DS54" s="848">
        <v>0</v>
      </c>
      <c r="DT54" s="848">
        <v>0</v>
      </c>
      <c r="DU54" s="848">
        <v>0</v>
      </c>
      <c r="DV54" s="848">
        <v>0</v>
      </c>
      <c r="DW54" s="848">
        <v>0</v>
      </c>
      <c r="DX54" s="848">
        <v>0</v>
      </c>
      <c r="DY54" s="848">
        <v>0</v>
      </c>
      <c r="DZ54" s="848">
        <v>0</v>
      </c>
      <c r="EA54" s="848">
        <v>0</v>
      </c>
      <c r="EB54" s="848">
        <v>0</v>
      </c>
      <c r="EC54" s="848">
        <v>0</v>
      </c>
      <c r="ED54" s="848">
        <v>0</v>
      </c>
      <c r="EE54" s="848">
        <v>0</v>
      </c>
      <c r="EF54" s="848">
        <v>0</v>
      </c>
      <c r="EG54" s="848">
        <v>0</v>
      </c>
      <c r="EH54" s="848">
        <v>0</v>
      </c>
      <c r="EI54" s="848">
        <v>0</v>
      </c>
      <c r="EJ54" s="848">
        <v>0</v>
      </c>
      <c r="EK54" s="848">
        <v>0</v>
      </c>
      <c r="EL54" s="848">
        <v>0</v>
      </c>
    </row>
    <row r="55" spans="2:142" s="833" customFormat="1" ht="13.5">
      <c r="B55" s="1000"/>
      <c r="C55" s="1001"/>
      <c r="D55" s="881" t="s">
        <v>797</v>
      </c>
      <c r="E55" s="1001"/>
      <c r="F55" s="1008"/>
      <c r="G55" s="1001"/>
      <c r="H55" s="214">
        <f t="shared" si="4"/>
        <v>0</v>
      </c>
      <c r="I55" s="520"/>
      <c r="J55" s="2280"/>
      <c r="K55" s="848">
        <v>0</v>
      </c>
      <c r="L55" s="848">
        <v>0</v>
      </c>
      <c r="M55" s="848">
        <v>0</v>
      </c>
      <c r="N55" s="848">
        <v>0</v>
      </c>
      <c r="O55" s="848">
        <v>0</v>
      </c>
      <c r="P55" s="848">
        <v>0</v>
      </c>
      <c r="Q55" s="848">
        <v>0</v>
      </c>
      <c r="R55" s="848">
        <v>0</v>
      </c>
      <c r="S55" s="848">
        <v>0</v>
      </c>
      <c r="T55" s="848">
        <v>0</v>
      </c>
      <c r="U55" s="848">
        <v>0</v>
      </c>
      <c r="V55" s="848">
        <v>0</v>
      </c>
      <c r="W55" s="848">
        <v>0</v>
      </c>
      <c r="X55" s="848">
        <v>0</v>
      </c>
      <c r="Y55" s="848">
        <v>0</v>
      </c>
      <c r="Z55" s="848">
        <v>0</v>
      </c>
      <c r="AA55" s="848">
        <v>0</v>
      </c>
      <c r="AB55" s="848">
        <v>0</v>
      </c>
      <c r="AC55" s="848">
        <v>0</v>
      </c>
      <c r="AD55" s="848">
        <v>0</v>
      </c>
      <c r="AE55" s="848">
        <v>0</v>
      </c>
      <c r="AF55" s="848">
        <v>0</v>
      </c>
      <c r="AG55" s="848">
        <v>0</v>
      </c>
      <c r="AH55" s="848">
        <v>0</v>
      </c>
      <c r="AI55" s="848">
        <v>0</v>
      </c>
      <c r="AJ55" s="848">
        <v>0</v>
      </c>
      <c r="AK55" s="848">
        <v>0</v>
      </c>
      <c r="AL55" s="848">
        <v>0</v>
      </c>
      <c r="AM55" s="848">
        <v>0</v>
      </c>
      <c r="AN55" s="848">
        <v>0</v>
      </c>
      <c r="AO55" s="848">
        <v>0</v>
      </c>
      <c r="AP55" s="848">
        <v>0</v>
      </c>
      <c r="AQ55" s="848">
        <v>0</v>
      </c>
      <c r="AR55" s="848">
        <v>0</v>
      </c>
      <c r="AS55" s="848">
        <v>0</v>
      </c>
      <c r="AT55" s="848">
        <v>0</v>
      </c>
      <c r="AU55" s="848">
        <v>0</v>
      </c>
      <c r="AV55" s="848">
        <v>0</v>
      </c>
      <c r="AW55" s="848">
        <v>0</v>
      </c>
      <c r="AX55" s="848">
        <v>0</v>
      </c>
      <c r="AY55" s="848">
        <v>0</v>
      </c>
      <c r="AZ55" s="848">
        <v>0</v>
      </c>
      <c r="BA55" s="848">
        <v>0</v>
      </c>
      <c r="BB55" s="848">
        <v>0</v>
      </c>
      <c r="BC55" s="848">
        <v>0</v>
      </c>
      <c r="BD55" s="848">
        <v>0</v>
      </c>
      <c r="BE55" s="848">
        <v>0</v>
      </c>
      <c r="BF55" s="848">
        <v>0</v>
      </c>
      <c r="BG55" s="848">
        <v>0</v>
      </c>
      <c r="BH55" s="848">
        <v>0</v>
      </c>
      <c r="BI55" s="848">
        <v>0</v>
      </c>
      <c r="BJ55" s="848">
        <v>0</v>
      </c>
      <c r="BK55" s="848">
        <v>0</v>
      </c>
      <c r="BL55" s="848">
        <v>0</v>
      </c>
      <c r="BM55" s="848">
        <v>0</v>
      </c>
      <c r="BN55" s="848">
        <v>0</v>
      </c>
      <c r="BO55" s="848">
        <v>0</v>
      </c>
      <c r="BP55" s="848">
        <v>0</v>
      </c>
      <c r="BQ55" s="848">
        <v>0</v>
      </c>
      <c r="BR55" s="848">
        <v>0</v>
      </c>
      <c r="BS55" s="848">
        <v>0</v>
      </c>
      <c r="BT55" s="848">
        <v>0</v>
      </c>
      <c r="BU55" s="848">
        <v>0</v>
      </c>
      <c r="BV55" s="848">
        <v>0</v>
      </c>
      <c r="BW55" s="848">
        <v>0</v>
      </c>
      <c r="BX55" s="848">
        <v>0</v>
      </c>
      <c r="BY55" s="848">
        <v>0</v>
      </c>
      <c r="BZ55" s="848">
        <v>0</v>
      </c>
      <c r="CA55" s="848">
        <v>0</v>
      </c>
      <c r="CB55" s="848">
        <v>0</v>
      </c>
      <c r="CC55" s="848">
        <v>0</v>
      </c>
      <c r="CD55" s="848">
        <v>0</v>
      </c>
      <c r="CE55" s="848">
        <v>0</v>
      </c>
      <c r="CF55" s="848">
        <v>0</v>
      </c>
      <c r="CG55" s="848">
        <v>0</v>
      </c>
      <c r="CH55" s="848">
        <v>0</v>
      </c>
      <c r="CI55" s="848">
        <v>0</v>
      </c>
      <c r="CJ55" s="848">
        <v>0</v>
      </c>
      <c r="CK55" s="848">
        <v>0</v>
      </c>
      <c r="CL55" s="848">
        <v>0</v>
      </c>
      <c r="CM55" s="848">
        <v>0</v>
      </c>
      <c r="CN55" s="848">
        <v>0</v>
      </c>
      <c r="CO55" s="848">
        <v>0</v>
      </c>
      <c r="CP55" s="848">
        <v>0</v>
      </c>
      <c r="CQ55" s="848">
        <v>0</v>
      </c>
      <c r="CR55" s="848">
        <v>0</v>
      </c>
      <c r="CS55" s="848">
        <v>0</v>
      </c>
      <c r="CT55" s="848">
        <v>0</v>
      </c>
      <c r="CU55" s="848">
        <v>0</v>
      </c>
      <c r="CV55" s="848">
        <v>0</v>
      </c>
      <c r="CW55" s="848">
        <v>0</v>
      </c>
      <c r="CX55" s="848">
        <v>0</v>
      </c>
      <c r="CY55" s="848">
        <v>0</v>
      </c>
      <c r="CZ55" s="848">
        <v>0</v>
      </c>
      <c r="DA55" s="848">
        <v>0</v>
      </c>
      <c r="DB55" s="848">
        <v>0</v>
      </c>
      <c r="DC55" s="848">
        <v>0</v>
      </c>
      <c r="DD55" s="848">
        <v>0</v>
      </c>
      <c r="DE55" s="848">
        <v>0</v>
      </c>
      <c r="DF55" s="848">
        <v>0</v>
      </c>
      <c r="DG55" s="848">
        <v>0</v>
      </c>
      <c r="DH55" s="848">
        <v>0</v>
      </c>
      <c r="DI55" s="848">
        <v>0</v>
      </c>
      <c r="DJ55" s="848">
        <v>0</v>
      </c>
      <c r="DK55" s="848">
        <v>0</v>
      </c>
      <c r="DL55" s="848">
        <v>0</v>
      </c>
      <c r="DM55" s="848">
        <v>0</v>
      </c>
      <c r="DN55" s="848">
        <v>0</v>
      </c>
      <c r="DO55" s="848">
        <v>0</v>
      </c>
      <c r="DP55" s="848">
        <v>0</v>
      </c>
      <c r="DQ55" s="848">
        <v>0</v>
      </c>
      <c r="DR55" s="848">
        <v>0</v>
      </c>
      <c r="DS55" s="848">
        <v>0</v>
      </c>
      <c r="DT55" s="848">
        <v>0</v>
      </c>
      <c r="DU55" s="848">
        <v>0</v>
      </c>
      <c r="DV55" s="848">
        <v>0</v>
      </c>
      <c r="DW55" s="848">
        <v>0</v>
      </c>
      <c r="DX55" s="848">
        <v>0</v>
      </c>
      <c r="DY55" s="848">
        <v>0</v>
      </c>
      <c r="DZ55" s="848">
        <v>0</v>
      </c>
      <c r="EA55" s="960">
        <v>0</v>
      </c>
      <c r="EB55" s="960">
        <v>0</v>
      </c>
      <c r="EC55" s="960">
        <v>0</v>
      </c>
      <c r="ED55" s="960">
        <v>0</v>
      </c>
      <c r="EE55" s="960">
        <v>0</v>
      </c>
      <c r="EF55" s="960">
        <v>0</v>
      </c>
      <c r="EG55" s="960">
        <v>0</v>
      </c>
      <c r="EH55" s="960">
        <v>0</v>
      </c>
      <c r="EI55" s="960">
        <v>0</v>
      </c>
      <c r="EJ55" s="960">
        <v>0</v>
      </c>
      <c r="EK55" s="960">
        <v>0</v>
      </c>
      <c r="EL55" s="960">
        <v>0</v>
      </c>
    </row>
    <row r="56" spans="2:142" ht="13.5">
      <c r="B56" s="1000"/>
      <c r="C56" s="986"/>
      <c r="D56" s="881" t="s">
        <v>798</v>
      </c>
      <c r="E56" s="1001"/>
      <c r="F56" s="1008"/>
      <c r="G56" s="986"/>
      <c r="H56" s="214">
        <f t="shared" si="4"/>
        <v>0</v>
      </c>
      <c r="I56" s="520"/>
      <c r="J56" s="2280"/>
      <c r="K56" s="848">
        <v>0</v>
      </c>
      <c r="L56" s="848">
        <v>0</v>
      </c>
      <c r="M56" s="848">
        <v>0</v>
      </c>
      <c r="N56" s="848">
        <v>0</v>
      </c>
      <c r="O56" s="848">
        <v>0</v>
      </c>
      <c r="P56" s="848">
        <v>0</v>
      </c>
      <c r="Q56" s="848">
        <v>0</v>
      </c>
      <c r="R56" s="848">
        <v>0</v>
      </c>
      <c r="S56" s="848">
        <v>0</v>
      </c>
      <c r="T56" s="848">
        <v>0</v>
      </c>
      <c r="U56" s="848">
        <v>0</v>
      </c>
      <c r="V56" s="848">
        <v>0</v>
      </c>
      <c r="W56" s="848">
        <v>0</v>
      </c>
      <c r="X56" s="848">
        <v>0</v>
      </c>
      <c r="Y56" s="848">
        <v>0</v>
      </c>
      <c r="Z56" s="848">
        <v>0</v>
      </c>
      <c r="AA56" s="848">
        <v>0</v>
      </c>
      <c r="AB56" s="848">
        <v>0</v>
      </c>
      <c r="AC56" s="848">
        <v>0</v>
      </c>
      <c r="AD56" s="848">
        <v>0</v>
      </c>
      <c r="AE56" s="848">
        <v>0</v>
      </c>
      <c r="AF56" s="848">
        <v>0</v>
      </c>
      <c r="AG56" s="848">
        <v>0</v>
      </c>
      <c r="AH56" s="848">
        <v>0</v>
      </c>
      <c r="AI56" s="848">
        <v>0</v>
      </c>
      <c r="AJ56" s="848">
        <v>0</v>
      </c>
      <c r="AK56" s="848">
        <v>0</v>
      </c>
      <c r="AL56" s="848">
        <v>0</v>
      </c>
      <c r="AM56" s="848">
        <v>0</v>
      </c>
      <c r="AN56" s="848">
        <v>0</v>
      </c>
      <c r="AO56" s="848">
        <v>0</v>
      </c>
      <c r="AP56" s="848">
        <v>0</v>
      </c>
      <c r="AQ56" s="848">
        <v>0</v>
      </c>
      <c r="AR56" s="848">
        <v>0</v>
      </c>
      <c r="AS56" s="848">
        <v>0</v>
      </c>
      <c r="AT56" s="848">
        <v>0</v>
      </c>
      <c r="AU56" s="848">
        <v>0</v>
      </c>
      <c r="AV56" s="848">
        <v>0</v>
      </c>
      <c r="AW56" s="848">
        <v>0</v>
      </c>
      <c r="AX56" s="848">
        <v>0</v>
      </c>
      <c r="AY56" s="848">
        <v>0</v>
      </c>
      <c r="AZ56" s="848">
        <v>0</v>
      </c>
      <c r="BA56" s="848">
        <v>0</v>
      </c>
      <c r="BB56" s="848">
        <v>0</v>
      </c>
      <c r="BC56" s="848">
        <v>0</v>
      </c>
      <c r="BD56" s="848">
        <v>0</v>
      </c>
      <c r="BE56" s="848">
        <v>0</v>
      </c>
      <c r="BF56" s="848">
        <v>0</v>
      </c>
      <c r="BG56" s="848">
        <v>0</v>
      </c>
      <c r="BH56" s="848">
        <v>0</v>
      </c>
      <c r="BI56" s="848">
        <v>0</v>
      </c>
      <c r="BJ56" s="848">
        <v>0</v>
      </c>
      <c r="BK56" s="848">
        <v>0</v>
      </c>
      <c r="BL56" s="848">
        <v>0</v>
      </c>
      <c r="BM56" s="848">
        <v>0</v>
      </c>
      <c r="BN56" s="848">
        <v>0</v>
      </c>
      <c r="BO56" s="848">
        <v>0</v>
      </c>
      <c r="BP56" s="848">
        <v>0</v>
      </c>
      <c r="BQ56" s="848">
        <v>0</v>
      </c>
      <c r="BR56" s="848">
        <v>0</v>
      </c>
      <c r="BS56" s="848">
        <v>0</v>
      </c>
      <c r="BT56" s="848">
        <v>0</v>
      </c>
      <c r="BU56" s="848">
        <v>0</v>
      </c>
      <c r="BV56" s="848">
        <v>0</v>
      </c>
      <c r="BW56" s="848">
        <v>0</v>
      </c>
      <c r="BX56" s="848">
        <v>0</v>
      </c>
      <c r="BY56" s="848">
        <v>0</v>
      </c>
      <c r="BZ56" s="848">
        <v>0</v>
      </c>
      <c r="CA56" s="848">
        <v>0</v>
      </c>
      <c r="CB56" s="848">
        <v>0</v>
      </c>
      <c r="CC56" s="848">
        <v>0</v>
      </c>
      <c r="CD56" s="848">
        <v>0</v>
      </c>
      <c r="CE56" s="848">
        <v>0</v>
      </c>
      <c r="CF56" s="848">
        <v>0</v>
      </c>
      <c r="CG56" s="848">
        <v>0</v>
      </c>
      <c r="CH56" s="848">
        <v>0</v>
      </c>
      <c r="CI56" s="848">
        <v>0</v>
      </c>
      <c r="CJ56" s="848">
        <v>0</v>
      </c>
      <c r="CK56" s="848">
        <v>0</v>
      </c>
      <c r="CL56" s="848">
        <v>0</v>
      </c>
      <c r="CM56" s="848">
        <v>0</v>
      </c>
      <c r="CN56" s="848">
        <v>0</v>
      </c>
      <c r="CO56" s="848">
        <v>0</v>
      </c>
      <c r="CP56" s="848">
        <v>0</v>
      </c>
      <c r="CQ56" s="848">
        <v>0</v>
      </c>
      <c r="CR56" s="848">
        <v>0</v>
      </c>
      <c r="CS56" s="848">
        <v>0</v>
      </c>
      <c r="CT56" s="848">
        <v>0</v>
      </c>
      <c r="CU56" s="848">
        <v>0</v>
      </c>
      <c r="CV56" s="848">
        <v>0</v>
      </c>
      <c r="CW56" s="848">
        <v>0</v>
      </c>
      <c r="CX56" s="848">
        <v>0</v>
      </c>
      <c r="CY56" s="848">
        <v>0</v>
      </c>
      <c r="CZ56" s="848">
        <v>0</v>
      </c>
      <c r="DA56" s="848">
        <v>0</v>
      </c>
      <c r="DB56" s="848">
        <v>0</v>
      </c>
      <c r="DC56" s="848">
        <v>0</v>
      </c>
      <c r="DD56" s="848">
        <v>0</v>
      </c>
      <c r="DE56" s="848">
        <v>0</v>
      </c>
      <c r="DF56" s="848">
        <v>0</v>
      </c>
      <c r="DG56" s="848">
        <v>0</v>
      </c>
      <c r="DH56" s="848">
        <v>0</v>
      </c>
      <c r="DI56" s="848">
        <v>0</v>
      </c>
      <c r="DJ56" s="848">
        <v>0</v>
      </c>
      <c r="DK56" s="848">
        <v>0</v>
      </c>
      <c r="DL56" s="848">
        <v>0</v>
      </c>
      <c r="DM56" s="848">
        <v>0</v>
      </c>
      <c r="DN56" s="848">
        <v>0</v>
      </c>
      <c r="DO56" s="848">
        <v>0</v>
      </c>
      <c r="DP56" s="848">
        <v>0</v>
      </c>
      <c r="DQ56" s="848">
        <v>0</v>
      </c>
      <c r="DR56" s="848">
        <v>0</v>
      </c>
      <c r="DS56" s="848">
        <v>0</v>
      </c>
      <c r="DT56" s="848">
        <v>0</v>
      </c>
      <c r="DU56" s="848">
        <v>0</v>
      </c>
      <c r="DV56" s="848">
        <v>0</v>
      </c>
      <c r="DW56" s="848">
        <v>0</v>
      </c>
      <c r="DX56" s="848">
        <v>0</v>
      </c>
      <c r="DY56" s="848">
        <v>0</v>
      </c>
      <c r="DZ56" s="848">
        <v>0</v>
      </c>
      <c r="EA56" s="960">
        <v>0</v>
      </c>
      <c r="EB56" s="960">
        <v>0</v>
      </c>
      <c r="EC56" s="960">
        <v>0</v>
      </c>
      <c r="ED56" s="960">
        <v>0</v>
      </c>
      <c r="EE56" s="960">
        <v>0</v>
      </c>
      <c r="EF56" s="960">
        <v>0</v>
      </c>
      <c r="EG56" s="960">
        <v>0</v>
      </c>
      <c r="EH56" s="960">
        <v>0</v>
      </c>
      <c r="EI56" s="960">
        <v>0</v>
      </c>
      <c r="EJ56" s="960">
        <v>0</v>
      </c>
      <c r="EK56" s="960">
        <v>0</v>
      </c>
      <c r="EL56" s="960">
        <v>0</v>
      </c>
    </row>
    <row r="57" spans="2:142" ht="13.5">
      <c r="B57" s="1000"/>
      <c r="C57" s="986"/>
      <c r="D57" s="881" t="s">
        <v>2010</v>
      </c>
      <c r="E57" s="1001"/>
      <c r="F57" s="1008"/>
      <c r="G57" s="986"/>
      <c r="H57" s="214">
        <f t="shared" si="4"/>
        <v>0</v>
      </c>
      <c r="I57" s="520"/>
      <c r="J57" s="2280"/>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0</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86"/>
      <c r="D58" s="881" t="s">
        <v>2011</v>
      </c>
      <c r="E58" s="1001"/>
      <c r="F58" s="1008"/>
      <c r="G58" s="986"/>
      <c r="H58" s="214">
        <f>SUM(J58:EL58)</f>
        <v>24108</v>
      </c>
      <c r="I58" s="520"/>
      <c r="J58" s="2280"/>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8748</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7290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8070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0</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86"/>
      <c r="D59" s="881" t="s">
        <v>2012</v>
      </c>
      <c r="E59" s="1001"/>
      <c r="F59" s="1008"/>
      <c r="G59" s="986"/>
      <c r="H59" s="214">
        <f>SUM(J59:EL59)</f>
        <v>1040</v>
      </c>
      <c r="I59" s="520"/>
      <c r="J59" s="2280"/>
      <c r="K59" s="848">
        <v>0</v>
      </c>
      <c r="L59" s="848">
        <v>0</v>
      </c>
      <c r="M59" s="848">
        <v>0</v>
      </c>
      <c r="N59" s="848">
        <v>0</v>
      </c>
      <c r="O59" s="848">
        <v>0</v>
      </c>
      <c r="P59" s="848">
        <v>0</v>
      </c>
      <c r="Q59" s="848">
        <v>0</v>
      </c>
      <c r="R59" s="848">
        <v>0</v>
      </c>
      <c r="S59" s="848">
        <v>0</v>
      </c>
      <c r="T59" s="848">
        <v>0</v>
      </c>
      <c r="U59" s="848">
        <v>0</v>
      </c>
      <c r="V59" s="848">
        <v>0</v>
      </c>
      <c r="W59" s="848">
        <v>0</v>
      </c>
      <c r="X59" s="848">
        <v>0</v>
      </c>
      <c r="Y59" s="848">
        <v>0</v>
      </c>
      <c r="Z59" s="848">
        <v>0</v>
      </c>
      <c r="AA59" s="848">
        <v>0</v>
      </c>
      <c r="AB59" s="848">
        <v>0</v>
      </c>
      <c r="AC59" s="848">
        <v>0</v>
      </c>
      <c r="AD59" s="848">
        <v>0</v>
      </c>
      <c r="AE59" s="848">
        <v>0</v>
      </c>
      <c r="AF59" s="848">
        <v>0</v>
      </c>
      <c r="AG59" s="848">
        <v>0</v>
      </c>
      <c r="AH59" s="848">
        <v>0</v>
      </c>
      <c r="AI59" s="848">
        <v>0</v>
      </c>
      <c r="AJ59" s="848">
        <v>0</v>
      </c>
      <c r="AK59" s="848">
        <v>0</v>
      </c>
      <c r="AL59" s="848">
        <v>0</v>
      </c>
      <c r="AM59" s="848">
        <v>0</v>
      </c>
      <c r="AN59" s="848">
        <v>0</v>
      </c>
      <c r="AO59" s="848">
        <v>0</v>
      </c>
      <c r="AP59" s="848">
        <v>0</v>
      </c>
      <c r="AQ59" s="848">
        <v>0</v>
      </c>
      <c r="AR59" s="848">
        <v>0</v>
      </c>
      <c r="AS59" s="848">
        <v>0</v>
      </c>
      <c r="AT59" s="848">
        <v>0</v>
      </c>
      <c r="AU59" s="848">
        <v>520</v>
      </c>
      <c r="AV59" s="848">
        <v>0</v>
      </c>
      <c r="AW59" s="848">
        <v>0</v>
      </c>
      <c r="AX59" s="848">
        <v>0</v>
      </c>
      <c r="AY59" s="848">
        <v>0</v>
      </c>
      <c r="AZ59" s="848">
        <v>0</v>
      </c>
      <c r="BA59" s="848">
        <v>0</v>
      </c>
      <c r="BB59" s="848">
        <v>0</v>
      </c>
      <c r="BC59" s="848">
        <v>0</v>
      </c>
      <c r="BD59" s="848">
        <v>0</v>
      </c>
      <c r="BE59" s="848">
        <v>0</v>
      </c>
      <c r="BF59" s="848">
        <v>0</v>
      </c>
      <c r="BG59" s="848">
        <v>0</v>
      </c>
      <c r="BH59" s="848">
        <v>0</v>
      </c>
      <c r="BI59" s="848">
        <v>0</v>
      </c>
      <c r="BJ59" s="848">
        <v>0</v>
      </c>
      <c r="BK59" s="848">
        <v>0</v>
      </c>
      <c r="BL59" s="848">
        <v>0</v>
      </c>
      <c r="BM59" s="848">
        <v>0</v>
      </c>
      <c r="BN59" s="848">
        <v>0</v>
      </c>
      <c r="BO59" s="848">
        <v>0</v>
      </c>
      <c r="BP59" s="848">
        <v>0</v>
      </c>
      <c r="BQ59" s="848">
        <v>0</v>
      </c>
      <c r="BR59" s="848">
        <v>0</v>
      </c>
      <c r="BS59" s="848">
        <v>520</v>
      </c>
      <c r="BT59" s="848">
        <v>0</v>
      </c>
      <c r="BU59" s="848">
        <v>0</v>
      </c>
      <c r="BV59" s="848">
        <v>0</v>
      </c>
      <c r="BW59" s="848">
        <v>0</v>
      </c>
      <c r="BX59" s="848">
        <v>0</v>
      </c>
      <c r="BY59" s="848">
        <v>0</v>
      </c>
      <c r="BZ59" s="848">
        <v>0</v>
      </c>
      <c r="CA59" s="848">
        <v>0</v>
      </c>
      <c r="CB59" s="848">
        <v>0</v>
      </c>
      <c r="CC59" s="848">
        <v>0</v>
      </c>
      <c r="CD59" s="848">
        <v>0</v>
      </c>
      <c r="CE59" s="848">
        <v>0</v>
      </c>
      <c r="CF59" s="848">
        <v>0</v>
      </c>
      <c r="CG59" s="848">
        <v>0</v>
      </c>
      <c r="CH59" s="848">
        <v>0</v>
      </c>
      <c r="CI59" s="848">
        <v>0</v>
      </c>
      <c r="CJ59" s="848">
        <v>0</v>
      </c>
      <c r="CK59" s="848">
        <v>0</v>
      </c>
      <c r="CL59" s="848">
        <v>0</v>
      </c>
      <c r="CM59" s="848">
        <v>0</v>
      </c>
      <c r="CN59" s="848">
        <v>0</v>
      </c>
      <c r="CO59" s="848">
        <v>0</v>
      </c>
      <c r="CP59" s="848">
        <v>0</v>
      </c>
      <c r="CQ59" s="848">
        <v>0</v>
      </c>
      <c r="CR59" s="848">
        <v>0</v>
      </c>
      <c r="CS59" s="848">
        <v>0</v>
      </c>
      <c r="CT59" s="848">
        <v>0</v>
      </c>
      <c r="CU59" s="848">
        <v>0</v>
      </c>
      <c r="CV59" s="848">
        <v>0</v>
      </c>
      <c r="CW59" s="848">
        <v>0</v>
      </c>
      <c r="CX59" s="848">
        <v>0</v>
      </c>
      <c r="CY59" s="848">
        <v>0</v>
      </c>
      <c r="CZ59" s="848">
        <v>0</v>
      </c>
      <c r="DA59" s="848">
        <v>0</v>
      </c>
      <c r="DB59" s="848">
        <v>0</v>
      </c>
      <c r="DC59" s="848">
        <v>0</v>
      </c>
      <c r="DD59" s="848">
        <v>0</v>
      </c>
      <c r="DE59" s="848">
        <v>0</v>
      </c>
      <c r="DF59" s="848">
        <v>0</v>
      </c>
      <c r="DG59" s="848">
        <v>0</v>
      </c>
      <c r="DH59" s="848">
        <v>0</v>
      </c>
      <c r="DI59" s="848">
        <v>0</v>
      </c>
      <c r="DJ59" s="848">
        <v>0</v>
      </c>
      <c r="DK59" s="848">
        <v>0</v>
      </c>
      <c r="DL59" s="848">
        <v>0</v>
      </c>
      <c r="DM59" s="848">
        <v>0</v>
      </c>
      <c r="DN59" s="848">
        <v>0</v>
      </c>
      <c r="DO59" s="848">
        <v>0</v>
      </c>
      <c r="DP59" s="848">
        <v>0</v>
      </c>
      <c r="DQ59" s="848">
        <v>0</v>
      </c>
      <c r="DR59" s="848">
        <v>0</v>
      </c>
      <c r="DS59" s="848">
        <v>0</v>
      </c>
      <c r="DT59" s="848">
        <v>0</v>
      </c>
      <c r="DU59" s="848">
        <v>0</v>
      </c>
      <c r="DV59" s="848">
        <v>0</v>
      </c>
      <c r="DW59" s="848">
        <v>0</v>
      </c>
      <c r="DX59" s="848">
        <v>0</v>
      </c>
      <c r="DY59" s="848">
        <v>0</v>
      </c>
      <c r="DZ59" s="848">
        <v>0</v>
      </c>
      <c r="EA59" s="848">
        <v>0</v>
      </c>
      <c r="EB59" s="848">
        <v>0</v>
      </c>
      <c r="EC59" s="848">
        <v>0</v>
      </c>
      <c r="ED59" s="848">
        <v>0</v>
      </c>
      <c r="EE59" s="848">
        <v>0</v>
      </c>
      <c r="EF59" s="848">
        <v>0</v>
      </c>
      <c r="EG59" s="848">
        <v>0</v>
      </c>
      <c r="EH59" s="848">
        <v>0</v>
      </c>
      <c r="EI59" s="848">
        <v>0</v>
      </c>
      <c r="EJ59" s="848">
        <v>0</v>
      </c>
      <c r="EK59" s="848">
        <v>0</v>
      </c>
      <c r="EL59" s="848">
        <v>0</v>
      </c>
    </row>
    <row r="60" spans="2:142">
      <c r="B60" s="1000"/>
      <c r="C60" s="986"/>
      <c r="D60" s="1001"/>
      <c r="E60" s="1001"/>
      <c r="F60" s="1008"/>
      <c r="G60" s="986"/>
      <c r="H60" s="214"/>
      <c r="I60" s="520"/>
      <c r="J60" s="2280"/>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960"/>
      <c r="EB60" s="960"/>
      <c r="EC60" s="960"/>
      <c r="ED60" s="960"/>
      <c r="EE60" s="960"/>
      <c r="EF60" s="960"/>
      <c r="EG60" s="960"/>
      <c r="EH60" s="960"/>
      <c r="EI60" s="960"/>
      <c r="EJ60" s="960"/>
      <c r="EK60" s="960"/>
      <c r="EL60" s="960"/>
    </row>
    <row r="61" spans="2:142" s="1007" customFormat="1" ht="13.5">
      <c r="B61" s="1004"/>
      <c r="C61" s="1005" t="s">
        <v>2013</v>
      </c>
      <c r="D61" s="994"/>
      <c r="E61" s="994"/>
      <c r="F61" s="1006"/>
      <c r="G61" s="1005"/>
      <c r="H61" s="842">
        <f>SUM(J61:EL61)</f>
        <v>432669.91143779911</v>
      </c>
      <c r="I61" s="521"/>
      <c r="J61" s="2278"/>
      <c r="K61" s="842">
        <f t="shared" ref="K61:BV61" si="13">K45+K47-K51</f>
        <v>0</v>
      </c>
      <c r="L61" s="842">
        <f t="shared" si="13"/>
        <v>0</v>
      </c>
      <c r="M61" s="842">
        <f t="shared" si="13"/>
        <v>0</v>
      </c>
      <c r="N61" s="842">
        <f t="shared" si="13"/>
        <v>0</v>
      </c>
      <c r="O61" s="842">
        <f t="shared" si="13"/>
        <v>0</v>
      </c>
      <c r="P61" s="842">
        <f t="shared" si="13"/>
        <v>0</v>
      </c>
      <c r="Q61" s="842">
        <f t="shared" si="13"/>
        <v>0</v>
      </c>
      <c r="R61" s="842">
        <f t="shared" si="13"/>
        <v>0</v>
      </c>
      <c r="S61" s="842">
        <f t="shared" si="13"/>
        <v>0</v>
      </c>
      <c r="T61" s="842">
        <f t="shared" si="13"/>
        <v>0</v>
      </c>
      <c r="U61" s="842">
        <f t="shared" si="13"/>
        <v>0</v>
      </c>
      <c r="V61" s="842">
        <f t="shared" si="13"/>
        <v>0</v>
      </c>
      <c r="W61" s="842">
        <f t="shared" si="13"/>
        <v>0</v>
      </c>
      <c r="X61" s="842">
        <f t="shared" si="13"/>
        <v>0</v>
      </c>
      <c r="Y61" s="842">
        <f t="shared" si="13"/>
        <v>0</v>
      </c>
      <c r="Z61" s="842">
        <f t="shared" si="13"/>
        <v>0</v>
      </c>
      <c r="AA61" s="842">
        <f t="shared" si="13"/>
        <v>0</v>
      </c>
      <c r="AB61" s="842">
        <f t="shared" si="13"/>
        <v>0</v>
      </c>
      <c r="AC61" s="842">
        <f t="shared" si="13"/>
        <v>0</v>
      </c>
      <c r="AD61" s="842">
        <f t="shared" si="13"/>
        <v>0</v>
      </c>
      <c r="AE61" s="842">
        <f t="shared" si="13"/>
        <v>0</v>
      </c>
      <c r="AF61" s="842">
        <f t="shared" si="13"/>
        <v>0</v>
      </c>
      <c r="AG61" s="842">
        <f t="shared" si="13"/>
        <v>0</v>
      </c>
      <c r="AH61" s="842">
        <f t="shared" si="13"/>
        <v>0</v>
      </c>
      <c r="AI61" s="842">
        <f t="shared" si="13"/>
        <v>0</v>
      </c>
      <c r="AJ61" s="842">
        <f t="shared" si="13"/>
        <v>0</v>
      </c>
      <c r="AK61" s="842">
        <f t="shared" si="13"/>
        <v>0</v>
      </c>
      <c r="AL61" s="842">
        <f t="shared" si="13"/>
        <v>0</v>
      </c>
      <c r="AM61" s="842">
        <f t="shared" si="13"/>
        <v>221.81782715216946</v>
      </c>
      <c r="AN61" s="842">
        <f t="shared" si="13"/>
        <v>-1032.2307194506857</v>
      </c>
      <c r="AO61" s="842">
        <f t="shared" si="13"/>
        <v>269.80081278746775</v>
      </c>
      <c r="AP61" s="842">
        <f t="shared" si="13"/>
        <v>286.02662765385912</v>
      </c>
      <c r="AQ61" s="842">
        <f t="shared" si="13"/>
        <v>-355.89070049140935</v>
      </c>
      <c r="AR61" s="842">
        <f t="shared" si="13"/>
        <v>-42.143106590159505</v>
      </c>
      <c r="AS61" s="842">
        <f t="shared" si="13"/>
        <v>291.57648129701693</v>
      </c>
      <c r="AT61" s="842">
        <f t="shared" si="13"/>
        <v>-2397.1475956368413</v>
      </c>
      <c r="AU61" s="842">
        <f t="shared" si="13"/>
        <v>-9715.3491492890844</v>
      </c>
      <c r="AV61" s="842">
        <f t="shared" si="13"/>
        <v>-453.52761627616064</v>
      </c>
      <c r="AW61" s="842">
        <f t="shared" si="13"/>
        <v>-448.12033200907354</v>
      </c>
      <c r="AX61" s="842">
        <f t="shared" si="13"/>
        <v>-552.7047111313384</v>
      </c>
      <c r="AY61" s="842">
        <f t="shared" si="13"/>
        <v>-457.81843358854053</v>
      </c>
      <c r="AZ61" s="842">
        <f t="shared" si="13"/>
        <v>-1746.7454609069687</v>
      </c>
      <c r="BA61" s="842">
        <f t="shared" si="13"/>
        <v>-408.28745109814326</v>
      </c>
      <c r="BB61" s="842">
        <f t="shared" si="13"/>
        <v>-388.45675702807239</v>
      </c>
      <c r="BC61" s="842">
        <f t="shared" si="13"/>
        <v>-1048.3609649914288</v>
      </c>
      <c r="BD61" s="842">
        <f t="shared" si="13"/>
        <v>-491.16191199399395</v>
      </c>
      <c r="BE61" s="842">
        <f t="shared" si="13"/>
        <v>-386.76893799848949</v>
      </c>
      <c r="BF61" s="842">
        <f t="shared" si="13"/>
        <v>-1711.5316809733802</v>
      </c>
      <c r="BG61" s="842">
        <f t="shared" si="13"/>
        <v>-390.60084479338252</v>
      </c>
      <c r="BH61" s="842">
        <f t="shared" si="13"/>
        <v>-396.65577812212018</v>
      </c>
      <c r="BI61" s="842">
        <f t="shared" si="13"/>
        <v>-391.12869982650545</v>
      </c>
      <c r="BJ61" s="842">
        <f t="shared" si="13"/>
        <v>-495.52452680620604</v>
      </c>
      <c r="BK61" s="842">
        <f t="shared" si="13"/>
        <v>-400.73354039273045</v>
      </c>
      <c r="BL61" s="842">
        <f t="shared" si="13"/>
        <v>-1725.775491606176</v>
      </c>
      <c r="BM61" s="842">
        <f t="shared" si="13"/>
        <v>-349.53422639360406</v>
      </c>
      <c r="BN61" s="842">
        <f t="shared" si="13"/>
        <v>-328.83790973433111</v>
      </c>
      <c r="BO61" s="842">
        <f t="shared" si="13"/>
        <v>-1007.2409088470712</v>
      </c>
      <c r="BP61" s="842">
        <f t="shared" si="13"/>
        <v>-431.34096264459276</v>
      </c>
      <c r="BQ61" s="842">
        <f t="shared" si="13"/>
        <v>-326.82201288856618</v>
      </c>
      <c r="BR61" s="842">
        <f t="shared" si="13"/>
        <v>-2188.7072093813481</v>
      </c>
      <c r="BS61" s="842">
        <f t="shared" si="13"/>
        <v>-7767.3746150415736</v>
      </c>
      <c r="BT61" s="842">
        <f t="shared" si="13"/>
        <v>36.665676737304011</v>
      </c>
      <c r="BU61" s="842">
        <f t="shared" si="13"/>
        <v>42.283488791031459</v>
      </c>
      <c r="BV61" s="842">
        <f t="shared" si="13"/>
        <v>-59.510675909490146</v>
      </c>
      <c r="BW61" s="842">
        <f t="shared" ref="BW61:EH61" si="14">BW45+BW47-BW51</f>
        <v>35.155885005739265</v>
      </c>
      <c r="BX61" s="842">
        <f t="shared" si="14"/>
        <v>-1327.0397103636667</v>
      </c>
      <c r="BY61" s="842">
        <f t="shared" si="14"/>
        <v>89.816422260952322</v>
      </c>
      <c r="BZ61" s="842">
        <f t="shared" si="14"/>
        <v>109.12502359207906</v>
      </c>
      <c r="CA61" s="842">
        <f t="shared" si="14"/>
        <v>114.60335299473718</v>
      </c>
      <c r="CB61" s="842">
        <f t="shared" si="14"/>
        <v>10.678859017227069</v>
      </c>
      <c r="CC61" s="842">
        <f t="shared" si="14"/>
        <v>115.30803384834599</v>
      </c>
      <c r="CD61" s="842">
        <f t="shared" si="14"/>
        <v>121.0924026482403</v>
      </c>
      <c r="CE61" s="842">
        <f t="shared" si="14"/>
        <v>117.1615902110284</v>
      </c>
      <c r="CF61" s="842">
        <f t="shared" si="14"/>
        <v>109.09313204792579</v>
      </c>
      <c r="CG61" s="842">
        <f t="shared" si="14"/>
        <v>114.8645531357356</v>
      </c>
      <c r="CH61" s="842">
        <f t="shared" si="14"/>
        <v>113.297144830452</v>
      </c>
      <c r="CI61" s="842">
        <f t="shared" si="14"/>
        <v>108.10051175879062</v>
      </c>
      <c r="CJ61" s="842">
        <f t="shared" si="14"/>
        <v>-1292.2330987183539</v>
      </c>
      <c r="CK61" s="842">
        <f t="shared" si="14"/>
        <v>165.21768495071296</v>
      </c>
      <c r="CL61" s="842">
        <f t="shared" si="14"/>
        <v>223.69035903055283</v>
      </c>
      <c r="CM61" s="842">
        <f t="shared" si="14"/>
        <v>236.67636403053689</v>
      </c>
      <c r="CN61" s="842">
        <f t="shared" si="14"/>
        <v>233.02623511906268</v>
      </c>
      <c r="CO61" s="842">
        <f t="shared" si="14"/>
        <v>238.07126068240973</v>
      </c>
      <c r="CP61" s="842">
        <f t="shared" si="14"/>
        <v>-255.85590094951749</v>
      </c>
      <c r="CQ61" s="842">
        <f t="shared" si="14"/>
        <v>-7435.3459116212216</v>
      </c>
      <c r="CR61" s="842">
        <f t="shared" si="14"/>
        <v>626.79826394405472</v>
      </c>
      <c r="CS61" s="842">
        <f t="shared" si="14"/>
        <v>632.82244329114451</v>
      </c>
      <c r="CT61" s="842">
        <f t="shared" si="14"/>
        <v>631.7101370717121</v>
      </c>
      <c r="CU61" s="842">
        <f t="shared" si="14"/>
        <v>627.25113944799705</v>
      </c>
      <c r="CV61" s="842">
        <f t="shared" si="14"/>
        <v>-812.273609302061</v>
      </c>
      <c r="CW61" s="842">
        <f t="shared" si="14"/>
        <v>688.87878574893875</v>
      </c>
      <c r="CX61" s="842">
        <f t="shared" si="14"/>
        <v>711.67011884505268</v>
      </c>
      <c r="CY61" s="842">
        <f t="shared" si="14"/>
        <v>717.41215609537994</v>
      </c>
      <c r="CZ61" s="842">
        <f t="shared" si="14"/>
        <v>716.47125968103433</v>
      </c>
      <c r="DA61" s="842">
        <f t="shared" si="14"/>
        <v>721.65651890914228</v>
      </c>
      <c r="DB61" s="842">
        <f t="shared" si="14"/>
        <v>727.88293853666596</v>
      </c>
      <c r="DC61" s="842">
        <f t="shared" si="14"/>
        <v>726.8854533848214</v>
      </c>
      <c r="DD61" s="842">
        <f t="shared" si="14"/>
        <v>714.81961694136066</v>
      </c>
      <c r="DE61" s="842">
        <f t="shared" si="14"/>
        <v>721.0317930231181</v>
      </c>
      <c r="DF61" s="842">
        <f t="shared" si="14"/>
        <v>722.46374111914201</v>
      </c>
      <c r="DG61" s="842">
        <f t="shared" si="14"/>
        <v>717.23904572666152</v>
      </c>
      <c r="DH61" s="842">
        <f t="shared" si="14"/>
        <v>-762.56382098534732</v>
      </c>
      <c r="DI61" s="842">
        <f t="shared" si="14"/>
        <v>780.82981528186542</v>
      </c>
      <c r="DJ61" s="842">
        <f t="shared" si="14"/>
        <v>796.7791539592863</v>
      </c>
      <c r="DK61" s="842">
        <f t="shared" si="14"/>
        <v>802.70004699417154</v>
      </c>
      <c r="DL61" s="842">
        <f t="shared" si="14"/>
        <v>801.923052452001</v>
      </c>
      <c r="DM61" s="842">
        <f t="shared" si="14"/>
        <v>807.28788154311906</v>
      </c>
      <c r="DN61" s="842">
        <f t="shared" si="14"/>
        <v>813.69424513753347</v>
      </c>
      <c r="DO61" s="842">
        <f t="shared" si="14"/>
        <v>812.87707883584426</v>
      </c>
      <c r="DP61" s="842">
        <f t="shared" si="14"/>
        <v>799.98432204618302</v>
      </c>
      <c r="DQ61" s="842">
        <f t="shared" si="14"/>
        <v>806.37546989164548</v>
      </c>
      <c r="DR61" s="842">
        <f t="shared" si="14"/>
        <v>808.06402234390566</v>
      </c>
      <c r="DS61" s="842">
        <f t="shared" si="14"/>
        <v>802.77705034227415</v>
      </c>
      <c r="DT61" s="842">
        <f t="shared" si="14"/>
        <v>-718.44620176990156</v>
      </c>
      <c r="DU61" s="842">
        <f t="shared" si="14"/>
        <v>865.63056621242367</v>
      </c>
      <c r="DV61" s="842">
        <f t="shared" si="14"/>
        <v>881.60613181555073</v>
      </c>
      <c r="DW61" s="842">
        <f t="shared" si="14"/>
        <v>887.71103670444404</v>
      </c>
      <c r="DX61" s="842">
        <f t="shared" si="14"/>
        <v>887.10157819284996</v>
      </c>
      <c r="DY61" s="842">
        <f t="shared" si="14"/>
        <v>892.65115152940211</v>
      </c>
      <c r="DZ61" s="842">
        <f t="shared" si="14"/>
        <v>456113.5668787185</v>
      </c>
      <c r="EA61" s="1009">
        <f t="shared" si="14"/>
        <v>0</v>
      </c>
      <c r="EB61" s="1009">
        <f t="shared" si="14"/>
        <v>0</v>
      </c>
      <c r="EC61" s="1009">
        <f t="shared" si="14"/>
        <v>0</v>
      </c>
      <c r="ED61" s="1009">
        <f t="shared" si="14"/>
        <v>0</v>
      </c>
      <c r="EE61" s="1009">
        <f t="shared" si="14"/>
        <v>0</v>
      </c>
      <c r="EF61" s="1009">
        <f t="shared" si="14"/>
        <v>0</v>
      </c>
      <c r="EG61" s="1009">
        <f t="shared" si="14"/>
        <v>0</v>
      </c>
      <c r="EH61" s="1009">
        <f t="shared" si="14"/>
        <v>0</v>
      </c>
      <c r="EI61" s="1009">
        <f t="shared" ref="EI61:EL61" si="15">EI45+EI47-EI51</f>
        <v>0</v>
      </c>
      <c r="EJ61" s="1009">
        <f t="shared" si="15"/>
        <v>0</v>
      </c>
      <c r="EK61" s="1009">
        <f t="shared" si="15"/>
        <v>0</v>
      </c>
      <c r="EL61" s="1009">
        <f t="shared" si="15"/>
        <v>0</v>
      </c>
    </row>
    <row r="62" spans="2:142">
      <c r="B62" s="1000"/>
      <c r="C62" s="986"/>
      <c r="D62" s="1001"/>
      <c r="E62" s="1001"/>
      <c r="F62" s="1008"/>
      <c r="G62" s="986"/>
      <c r="H62" s="214"/>
      <c r="I62" s="520"/>
      <c r="J62" s="2280"/>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960"/>
      <c r="EB62" s="960"/>
      <c r="EC62" s="960"/>
      <c r="ED62" s="960"/>
      <c r="EE62" s="960"/>
      <c r="EF62" s="960"/>
      <c r="EG62" s="960"/>
      <c r="EH62" s="960"/>
      <c r="EI62" s="960"/>
      <c r="EJ62" s="960"/>
      <c r="EK62" s="960"/>
      <c r="EL62" s="960"/>
    </row>
    <row r="63" spans="2:142" s="843" customFormat="1" ht="13.5">
      <c r="B63" s="1004"/>
      <c r="C63" s="822" t="s">
        <v>2014</v>
      </c>
      <c r="D63" s="994"/>
      <c r="E63" s="994"/>
      <c r="F63" s="1006"/>
      <c r="G63" s="994"/>
      <c r="H63" s="848">
        <f>SUM(J63:EL63)</f>
        <v>0</v>
      </c>
      <c r="I63" s="521"/>
      <c r="J63" s="2278"/>
      <c r="K63" s="842">
        <v>0</v>
      </c>
      <c r="L63" s="842">
        <v>0</v>
      </c>
      <c r="M63" s="842">
        <v>0</v>
      </c>
      <c r="N63" s="842">
        <v>0</v>
      </c>
      <c r="O63" s="842">
        <v>0</v>
      </c>
      <c r="P63" s="842">
        <v>0</v>
      </c>
      <c r="Q63" s="842">
        <v>0</v>
      </c>
      <c r="R63" s="842">
        <v>0</v>
      </c>
      <c r="S63" s="842">
        <v>0</v>
      </c>
      <c r="T63" s="842">
        <v>0</v>
      </c>
      <c r="U63" s="842">
        <v>0</v>
      </c>
      <c r="V63" s="842">
        <v>0</v>
      </c>
      <c r="W63" s="842">
        <v>0</v>
      </c>
      <c r="X63" s="842">
        <v>0</v>
      </c>
      <c r="Y63" s="842">
        <v>0</v>
      </c>
      <c r="Z63" s="842">
        <v>0</v>
      </c>
      <c r="AA63" s="842">
        <v>0</v>
      </c>
      <c r="AB63" s="842">
        <v>0</v>
      </c>
      <c r="AC63" s="842">
        <v>0</v>
      </c>
      <c r="AD63" s="842">
        <v>0</v>
      </c>
      <c r="AE63" s="842">
        <v>0</v>
      </c>
      <c r="AF63" s="842">
        <v>0</v>
      </c>
      <c r="AG63" s="842">
        <v>0</v>
      </c>
      <c r="AH63" s="842">
        <v>0</v>
      </c>
      <c r="AI63" s="842">
        <v>0</v>
      </c>
      <c r="AJ63" s="842">
        <v>0</v>
      </c>
      <c r="AK63" s="842">
        <v>0</v>
      </c>
      <c r="AL63" s="842">
        <v>0</v>
      </c>
      <c r="AM63" s="842">
        <v>0</v>
      </c>
      <c r="AN63" s="842">
        <v>0</v>
      </c>
      <c r="AO63" s="842">
        <v>0</v>
      </c>
      <c r="AP63" s="842">
        <v>0</v>
      </c>
      <c r="AQ63" s="842">
        <v>0</v>
      </c>
      <c r="AR63" s="842">
        <v>0</v>
      </c>
      <c r="AS63" s="842">
        <v>0</v>
      </c>
      <c r="AT63" s="842">
        <v>0</v>
      </c>
      <c r="AU63" s="842">
        <v>0</v>
      </c>
      <c r="AV63" s="842">
        <v>0</v>
      </c>
      <c r="AW63" s="842">
        <v>0</v>
      </c>
      <c r="AX63" s="842">
        <v>0</v>
      </c>
      <c r="AY63" s="842">
        <v>0</v>
      </c>
      <c r="AZ63" s="842">
        <v>0</v>
      </c>
      <c r="BA63" s="842">
        <v>0</v>
      </c>
      <c r="BB63" s="842">
        <v>0</v>
      </c>
      <c r="BC63" s="842">
        <v>0</v>
      </c>
      <c r="BD63" s="842">
        <v>0</v>
      </c>
      <c r="BE63" s="842">
        <v>0</v>
      </c>
      <c r="BF63" s="842">
        <v>0</v>
      </c>
      <c r="BG63" s="842">
        <v>0</v>
      </c>
      <c r="BH63" s="842">
        <v>0</v>
      </c>
      <c r="BI63" s="842">
        <v>0</v>
      </c>
      <c r="BJ63" s="842">
        <v>0</v>
      </c>
      <c r="BK63" s="842">
        <v>0</v>
      </c>
      <c r="BL63" s="842">
        <v>0</v>
      </c>
      <c r="BM63" s="842">
        <v>0</v>
      </c>
      <c r="BN63" s="842">
        <v>0</v>
      </c>
      <c r="BO63" s="842">
        <v>0</v>
      </c>
      <c r="BP63" s="842">
        <v>0</v>
      </c>
      <c r="BQ63" s="842">
        <v>0</v>
      </c>
      <c r="BR63" s="842">
        <v>0</v>
      </c>
      <c r="BS63" s="842">
        <v>0</v>
      </c>
      <c r="BT63" s="842">
        <v>0</v>
      </c>
      <c r="BU63" s="842">
        <v>0</v>
      </c>
      <c r="BV63" s="842">
        <v>0</v>
      </c>
      <c r="BW63" s="842">
        <v>0</v>
      </c>
      <c r="BX63" s="842">
        <v>0</v>
      </c>
      <c r="BY63" s="842">
        <v>0</v>
      </c>
      <c r="BZ63" s="842">
        <v>0</v>
      </c>
      <c r="CA63" s="842">
        <v>0</v>
      </c>
      <c r="CB63" s="842">
        <v>0</v>
      </c>
      <c r="CC63" s="842">
        <v>0</v>
      </c>
      <c r="CD63" s="842">
        <v>0</v>
      </c>
      <c r="CE63" s="842">
        <v>0</v>
      </c>
      <c r="CF63" s="842">
        <v>0</v>
      </c>
      <c r="CG63" s="842">
        <v>0</v>
      </c>
      <c r="CH63" s="842">
        <v>0</v>
      </c>
      <c r="CI63" s="842">
        <v>0</v>
      </c>
      <c r="CJ63" s="842">
        <v>0</v>
      </c>
      <c r="CK63" s="842">
        <v>0</v>
      </c>
      <c r="CL63" s="842">
        <v>0</v>
      </c>
      <c r="CM63" s="842">
        <v>0</v>
      </c>
      <c r="CN63" s="842">
        <v>0</v>
      </c>
      <c r="CO63" s="842">
        <v>0</v>
      </c>
      <c r="CP63" s="842">
        <v>0</v>
      </c>
      <c r="CQ63" s="842">
        <v>0</v>
      </c>
      <c r="CR63" s="842">
        <v>0</v>
      </c>
      <c r="CS63" s="842">
        <v>0</v>
      </c>
      <c r="CT63" s="842">
        <v>0</v>
      </c>
      <c r="CU63" s="842">
        <v>0</v>
      </c>
      <c r="CV63" s="842">
        <v>0</v>
      </c>
      <c r="CW63" s="842">
        <v>0</v>
      </c>
      <c r="CX63" s="842">
        <v>0</v>
      </c>
      <c r="CY63" s="842">
        <v>0</v>
      </c>
      <c r="CZ63" s="842">
        <v>0</v>
      </c>
      <c r="DA63" s="842">
        <v>0</v>
      </c>
      <c r="DB63" s="842">
        <v>0</v>
      </c>
      <c r="DC63" s="842">
        <v>0</v>
      </c>
      <c r="DD63" s="842">
        <v>0</v>
      </c>
      <c r="DE63" s="842">
        <v>0</v>
      </c>
      <c r="DF63" s="842">
        <v>0</v>
      </c>
      <c r="DG63" s="842">
        <v>0</v>
      </c>
      <c r="DH63" s="842">
        <v>0</v>
      </c>
      <c r="DI63" s="842">
        <v>0</v>
      </c>
      <c r="DJ63" s="842">
        <v>0</v>
      </c>
      <c r="DK63" s="842">
        <v>0</v>
      </c>
      <c r="DL63" s="842">
        <v>0</v>
      </c>
      <c r="DM63" s="842">
        <v>0</v>
      </c>
      <c r="DN63" s="842">
        <v>0</v>
      </c>
      <c r="DO63" s="842">
        <v>0</v>
      </c>
      <c r="DP63" s="842">
        <v>0</v>
      </c>
      <c r="DQ63" s="842">
        <v>0</v>
      </c>
      <c r="DR63" s="842">
        <v>0</v>
      </c>
      <c r="DS63" s="842">
        <v>0</v>
      </c>
      <c r="DT63" s="842">
        <v>0</v>
      </c>
      <c r="DU63" s="842">
        <v>0</v>
      </c>
      <c r="DV63" s="842">
        <v>0</v>
      </c>
      <c r="DW63" s="842">
        <v>0</v>
      </c>
      <c r="DX63" s="842">
        <v>0</v>
      </c>
      <c r="DY63" s="842">
        <v>0</v>
      </c>
      <c r="DZ63" s="842">
        <v>0</v>
      </c>
      <c r="EA63" s="1009">
        <v>0</v>
      </c>
      <c r="EB63" s="1009">
        <v>0</v>
      </c>
      <c r="EC63" s="1009">
        <v>0</v>
      </c>
      <c r="ED63" s="1009">
        <v>0</v>
      </c>
      <c r="EE63" s="1009">
        <v>0</v>
      </c>
      <c r="EF63" s="1009">
        <v>0</v>
      </c>
      <c r="EG63" s="1009">
        <v>0</v>
      </c>
      <c r="EH63" s="1009">
        <v>0</v>
      </c>
      <c r="EI63" s="1009">
        <v>0</v>
      </c>
      <c r="EJ63" s="1009">
        <v>0</v>
      </c>
      <c r="EK63" s="1009">
        <v>0</v>
      </c>
      <c r="EL63" s="1009">
        <v>0</v>
      </c>
    </row>
    <row r="64" spans="2:142">
      <c r="B64" s="1000"/>
      <c r="C64" s="986"/>
      <c r="D64" s="1001"/>
      <c r="E64" s="1001"/>
      <c r="F64" s="1008"/>
      <c r="G64" s="986"/>
      <c r="H64" s="214"/>
      <c r="I64" s="520"/>
      <c r="J64" s="2280"/>
      <c r="K64" s="848"/>
      <c r="L64" s="848"/>
      <c r="M64" s="848"/>
      <c r="N64" s="848"/>
      <c r="O64" s="848"/>
      <c r="P64" s="848"/>
      <c r="Q64" s="848"/>
      <c r="R64" s="848"/>
      <c r="S64" s="848"/>
      <c r="T64" s="848"/>
      <c r="U64" s="848"/>
      <c r="V64" s="848"/>
      <c r="W64" s="848"/>
      <c r="X64" s="848"/>
      <c r="Y64" s="848"/>
      <c r="Z64" s="848"/>
      <c r="AA64" s="848"/>
      <c r="AB64" s="848"/>
      <c r="AC64" s="848"/>
      <c r="AD64" s="848"/>
      <c r="AE64" s="848"/>
      <c r="AF64" s="848"/>
      <c r="AG64" s="848"/>
      <c r="AH64" s="848"/>
      <c r="AI64" s="848"/>
      <c r="AJ64" s="848"/>
      <c r="AK64" s="848"/>
      <c r="AL64" s="848"/>
      <c r="AM64" s="848"/>
      <c r="AN64" s="848"/>
      <c r="AO64" s="848"/>
      <c r="AP64" s="848"/>
      <c r="AQ64" s="848"/>
      <c r="AR64" s="848"/>
      <c r="AS64" s="848"/>
      <c r="AT64" s="848"/>
      <c r="AU64" s="848"/>
      <c r="AV64" s="848"/>
      <c r="AW64" s="848"/>
      <c r="AX64" s="848"/>
      <c r="AY64" s="848"/>
      <c r="AZ64" s="848"/>
      <c r="BA64" s="848"/>
      <c r="BB64" s="848"/>
      <c r="BC64" s="848"/>
      <c r="BD64" s="848"/>
      <c r="BE64" s="848"/>
      <c r="BF64" s="848"/>
      <c r="BG64" s="848"/>
      <c r="BH64" s="848"/>
      <c r="BI64" s="848"/>
      <c r="BJ64" s="848"/>
      <c r="BK64" s="848"/>
      <c r="BL64" s="848"/>
      <c r="BM64" s="848"/>
      <c r="BN64" s="848"/>
      <c r="BO64" s="848"/>
      <c r="BP64" s="848"/>
      <c r="BQ64" s="848"/>
      <c r="BR64" s="848"/>
      <c r="BS64" s="848"/>
      <c r="BT64" s="848"/>
      <c r="BU64" s="848"/>
      <c r="BV64" s="848"/>
      <c r="BW64" s="848"/>
      <c r="BX64" s="848"/>
      <c r="BY64" s="848"/>
      <c r="BZ64" s="848"/>
      <c r="CA64" s="848"/>
      <c r="CB64" s="848"/>
      <c r="CC64" s="848"/>
      <c r="CD64" s="848"/>
      <c r="CE64" s="848"/>
      <c r="CF64" s="848"/>
      <c r="CG64" s="848"/>
      <c r="CH64" s="848"/>
      <c r="CI64" s="848"/>
      <c r="CJ64" s="848"/>
      <c r="CK64" s="848"/>
      <c r="CL64" s="848"/>
      <c r="CM64" s="848"/>
      <c r="CN64" s="848"/>
      <c r="CO64" s="848"/>
      <c r="CP64" s="848"/>
      <c r="CQ64" s="848"/>
      <c r="CR64" s="848"/>
      <c r="CS64" s="848"/>
      <c r="CT64" s="848"/>
      <c r="CU64" s="848"/>
      <c r="CV64" s="848"/>
      <c r="CW64" s="848"/>
      <c r="CX64" s="848"/>
      <c r="CY64" s="848"/>
      <c r="CZ64" s="848"/>
      <c r="DA64" s="848"/>
      <c r="DB64" s="848"/>
      <c r="DC64" s="848"/>
      <c r="DD64" s="848"/>
      <c r="DE64" s="848"/>
      <c r="DF64" s="848"/>
      <c r="DG64" s="848"/>
      <c r="DH64" s="848"/>
      <c r="DI64" s="848"/>
      <c r="DJ64" s="848"/>
      <c r="DK64" s="848"/>
      <c r="DL64" s="848"/>
      <c r="DM64" s="848"/>
      <c r="DN64" s="848"/>
      <c r="DO64" s="848"/>
      <c r="DP64" s="848"/>
      <c r="DQ64" s="848"/>
      <c r="DR64" s="848"/>
      <c r="DS64" s="848"/>
      <c r="DT64" s="848"/>
      <c r="DU64" s="848"/>
      <c r="DV64" s="848"/>
      <c r="DW64" s="848"/>
      <c r="DX64" s="848"/>
      <c r="DY64" s="848"/>
      <c r="DZ64" s="848"/>
      <c r="EA64" s="960"/>
      <c r="EB64" s="960"/>
      <c r="EC64" s="960"/>
      <c r="ED64" s="960"/>
      <c r="EE64" s="960"/>
      <c r="EF64" s="960"/>
      <c r="EG64" s="960"/>
      <c r="EH64" s="960"/>
      <c r="EI64" s="960"/>
      <c r="EJ64" s="960"/>
      <c r="EK64" s="960"/>
      <c r="EL64" s="960"/>
    </row>
    <row r="65" spans="2:142" s="1007" customFormat="1" ht="13.5">
      <c r="B65" s="1004"/>
      <c r="C65" s="1005" t="s">
        <v>2015</v>
      </c>
      <c r="D65" s="994"/>
      <c r="E65" s="994"/>
      <c r="F65" s="1006"/>
      <c r="G65" s="1005"/>
      <c r="H65" s="842">
        <f>SUM(J65:EL65)</f>
        <v>432669.91143779911</v>
      </c>
      <c r="I65" s="520"/>
      <c r="J65" s="2278"/>
      <c r="K65" s="842">
        <f>K61-K63</f>
        <v>0</v>
      </c>
      <c r="L65" s="842">
        <f t="shared" ref="L65:BW65" si="16">L61-L63</f>
        <v>0</v>
      </c>
      <c r="M65" s="842">
        <f t="shared" si="16"/>
        <v>0</v>
      </c>
      <c r="N65" s="842">
        <f t="shared" si="16"/>
        <v>0</v>
      </c>
      <c r="O65" s="842">
        <f t="shared" si="16"/>
        <v>0</v>
      </c>
      <c r="P65" s="842">
        <f t="shared" si="16"/>
        <v>0</v>
      </c>
      <c r="Q65" s="842">
        <f t="shared" si="16"/>
        <v>0</v>
      </c>
      <c r="R65" s="842">
        <f t="shared" si="16"/>
        <v>0</v>
      </c>
      <c r="S65" s="842">
        <f t="shared" si="16"/>
        <v>0</v>
      </c>
      <c r="T65" s="842">
        <f t="shared" si="16"/>
        <v>0</v>
      </c>
      <c r="U65" s="842">
        <f t="shared" si="16"/>
        <v>0</v>
      </c>
      <c r="V65" s="842">
        <f t="shared" si="16"/>
        <v>0</v>
      </c>
      <c r="W65" s="842">
        <f t="shared" si="16"/>
        <v>0</v>
      </c>
      <c r="X65" s="842">
        <f t="shared" si="16"/>
        <v>0</v>
      </c>
      <c r="Y65" s="842">
        <f t="shared" si="16"/>
        <v>0</v>
      </c>
      <c r="Z65" s="842">
        <f t="shared" si="16"/>
        <v>0</v>
      </c>
      <c r="AA65" s="842">
        <f t="shared" si="16"/>
        <v>0</v>
      </c>
      <c r="AB65" s="842">
        <f t="shared" si="16"/>
        <v>0</v>
      </c>
      <c r="AC65" s="842">
        <f t="shared" si="16"/>
        <v>0</v>
      </c>
      <c r="AD65" s="842">
        <f t="shared" si="16"/>
        <v>0</v>
      </c>
      <c r="AE65" s="842">
        <f t="shared" si="16"/>
        <v>0</v>
      </c>
      <c r="AF65" s="842">
        <f t="shared" si="16"/>
        <v>0</v>
      </c>
      <c r="AG65" s="842">
        <f t="shared" si="16"/>
        <v>0</v>
      </c>
      <c r="AH65" s="842">
        <f t="shared" si="16"/>
        <v>0</v>
      </c>
      <c r="AI65" s="842">
        <f t="shared" si="16"/>
        <v>0</v>
      </c>
      <c r="AJ65" s="842">
        <f t="shared" si="16"/>
        <v>0</v>
      </c>
      <c r="AK65" s="842">
        <f t="shared" si="16"/>
        <v>0</v>
      </c>
      <c r="AL65" s="842">
        <f t="shared" si="16"/>
        <v>0</v>
      </c>
      <c r="AM65" s="842">
        <f t="shared" si="16"/>
        <v>221.81782715216946</v>
      </c>
      <c r="AN65" s="842">
        <f t="shared" si="16"/>
        <v>-1032.2307194506857</v>
      </c>
      <c r="AO65" s="842">
        <f t="shared" si="16"/>
        <v>269.80081278746775</v>
      </c>
      <c r="AP65" s="842">
        <f t="shared" si="16"/>
        <v>286.02662765385912</v>
      </c>
      <c r="AQ65" s="842">
        <f t="shared" si="16"/>
        <v>-355.89070049140935</v>
      </c>
      <c r="AR65" s="842">
        <f t="shared" si="16"/>
        <v>-42.143106590159505</v>
      </c>
      <c r="AS65" s="842">
        <f t="shared" si="16"/>
        <v>291.57648129701693</v>
      </c>
      <c r="AT65" s="842">
        <f t="shared" si="16"/>
        <v>-2397.1475956368413</v>
      </c>
      <c r="AU65" s="842">
        <f t="shared" si="16"/>
        <v>-9715.3491492890844</v>
      </c>
      <c r="AV65" s="842">
        <f t="shared" si="16"/>
        <v>-453.52761627616064</v>
      </c>
      <c r="AW65" s="842">
        <f t="shared" si="16"/>
        <v>-448.12033200907354</v>
      </c>
      <c r="AX65" s="842">
        <f t="shared" si="16"/>
        <v>-552.7047111313384</v>
      </c>
      <c r="AY65" s="842">
        <f t="shared" si="16"/>
        <v>-457.81843358854053</v>
      </c>
      <c r="AZ65" s="842">
        <f t="shared" si="16"/>
        <v>-1746.7454609069687</v>
      </c>
      <c r="BA65" s="842">
        <f t="shared" si="16"/>
        <v>-408.28745109814326</v>
      </c>
      <c r="BB65" s="842">
        <f t="shared" si="16"/>
        <v>-388.45675702807239</v>
      </c>
      <c r="BC65" s="842">
        <f t="shared" si="16"/>
        <v>-1048.3609649914288</v>
      </c>
      <c r="BD65" s="842">
        <f t="shared" si="16"/>
        <v>-491.16191199399395</v>
      </c>
      <c r="BE65" s="842">
        <f t="shared" si="16"/>
        <v>-386.76893799848949</v>
      </c>
      <c r="BF65" s="842">
        <f t="shared" si="16"/>
        <v>-1711.5316809733802</v>
      </c>
      <c r="BG65" s="842">
        <f t="shared" si="16"/>
        <v>-390.60084479338252</v>
      </c>
      <c r="BH65" s="842">
        <f t="shared" si="16"/>
        <v>-396.65577812212018</v>
      </c>
      <c r="BI65" s="842">
        <f t="shared" si="16"/>
        <v>-391.12869982650545</v>
      </c>
      <c r="BJ65" s="842">
        <f t="shared" si="16"/>
        <v>-495.52452680620604</v>
      </c>
      <c r="BK65" s="842">
        <f t="shared" si="16"/>
        <v>-400.73354039273045</v>
      </c>
      <c r="BL65" s="842">
        <f t="shared" si="16"/>
        <v>-1725.775491606176</v>
      </c>
      <c r="BM65" s="842">
        <f t="shared" si="16"/>
        <v>-349.53422639360406</v>
      </c>
      <c r="BN65" s="842">
        <f t="shared" si="16"/>
        <v>-328.83790973433111</v>
      </c>
      <c r="BO65" s="842">
        <f t="shared" si="16"/>
        <v>-1007.2409088470712</v>
      </c>
      <c r="BP65" s="842">
        <f t="shared" si="16"/>
        <v>-431.34096264459276</v>
      </c>
      <c r="BQ65" s="842">
        <f t="shared" si="16"/>
        <v>-326.82201288856618</v>
      </c>
      <c r="BR65" s="842">
        <f t="shared" si="16"/>
        <v>-2188.7072093813481</v>
      </c>
      <c r="BS65" s="842">
        <f t="shared" si="16"/>
        <v>-7767.3746150415736</v>
      </c>
      <c r="BT65" s="842">
        <f t="shared" si="16"/>
        <v>36.665676737304011</v>
      </c>
      <c r="BU65" s="842">
        <f t="shared" si="16"/>
        <v>42.283488791031459</v>
      </c>
      <c r="BV65" s="842">
        <f t="shared" si="16"/>
        <v>-59.510675909490146</v>
      </c>
      <c r="BW65" s="842">
        <f t="shared" si="16"/>
        <v>35.155885005739265</v>
      </c>
      <c r="BX65" s="842">
        <f t="shared" ref="BX65:EI65" si="17">BX61-BX63</f>
        <v>-1327.0397103636667</v>
      </c>
      <c r="BY65" s="842">
        <f t="shared" si="17"/>
        <v>89.816422260952322</v>
      </c>
      <c r="BZ65" s="842">
        <f t="shared" si="17"/>
        <v>109.12502359207906</v>
      </c>
      <c r="CA65" s="842">
        <f t="shared" si="17"/>
        <v>114.60335299473718</v>
      </c>
      <c r="CB65" s="842">
        <f t="shared" si="17"/>
        <v>10.678859017227069</v>
      </c>
      <c r="CC65" s="842">
        <f t="shared" si="17"/>
        <v>115.30803384834599</v>
      </c>
      <c r="CD65" s="842">
        <f t="shared" si="17"/>
        <v>121.0924026482403</v>
      </c>
      <c r="CE65" s="842">
        <f t="shared" si="17"/>
        <v>117.1615902110284</v>
      </c>
      <c r="CF65" s="842">
        <f t="shared" si="17"/>
        <v>109.09313204792579</v>
      </c>
      <c r="CG65" s="842">
        <f t="shared" si="17"/>
        <v>114.8645531357356</v>
      </c>
      <c r="CH65" s="842">
        <f t="shared" si="17"/>
        <v>113.297144830452</v>
      </c>
      <c r="CI65" s="842">
        <f t="shared" si="17"/>
        <v>108.10051175879062</v>
      </c>
      <c r="CJ65" s="842">
        <f t="shared" si="17"/>
        <v>-1292.2330987183539</v>
      </c>
      <c r="CK65" s="842">
        <f t="shared" si="17"/>
        <v>165.21768495071296</v>
      </c>
      <c r="CL65" s="842">
        <f t="shared" si="17"/>
        <v>223.69035903055283</v>
      </c>
      <c r="CM65" s="842">
        <f t="shared" si="17"/>
        <v>236.67636403053689</v>
      </c>
      <c r="CN65" s="842">
        <f t="shared" si="17"/>
        <v>233.02623511906268</v>
      </c>
      <c r="CO65" s="842">
        <f t="shared" si="17"/>
        <v>238.07126068240973</v>
      </c>
      <c r="CP65" s="842">
        <f t="shared" si="17"/>
        <v>-255.85590094951749</v>
      </c>
      <c r="CQ65" s="842">
        <f t="shared" si="17"/>
        <v>-7435.3459116212216</v>
      </c>
      <c r="CR65" s="842">
        <f t="shared" si="17"/>
        <v>626.79826394405472</v>
      </c>
      <c r="CS65" s="842">
        <f t="shared" si="17"/>
        <v>632.82244329114451</v>
      </c>
      <c r="CT65" s="842">
        <f t="shared" si="17"/>
        <v>631.7101370717121</v>
      </c>
      <c r="CU65" s="842">
        <f t="shared" si="17"/>
        <v>627.25113944799705</v>
      </c>
      <c r="CV65" s="842">
        <f t="shared" si="17"/>
        <v>-812.273609302061</v>
      </c>
      <c r="CW65" s="842">
        <f t="shared" si="17"/>
        <v>688.87878574893875</v>
      </c>
      <c r="CX65" s="842">
        <f t="shared" si="17"/>
        <v>711.67011884505268</v>
      </c>
      <c r="CY65" s="842">
        <f t="shared" si="17"/>
        <v>717.41215609537994</v>
      </c>
      <c r="CZ65" s="842">
        <f t="shared" si="17"/>
        <v>716.47125968103433</v>
      </c>
      <c r="DA65" s="842">
        <f t="shared" si="17"/>
        <v>721.65651890914228</v>
      </c>
      <c r="DB65" s="842">
        <f t="shared" si="17"/>
        <v>727.88293853666596</v>
      </c>
      <c r="DC65" s="842">
        <f t="shared" si="17"/>
        <v>726.8854533848214</v>
      </c>
      <c r="DD65" s="842">
        <f t="shared" si="17"/>
        <v>714.81961694136066</v>
      </c>
      <c r="DE65" s="842">
        <f t="shared" si="17"/>
        <v>721.0317930231181</v>
      </c>
      <c r="DF65" s="842">
        <f t="shared" si="17"/>
        <v>722.46374111914201</v>
      </c>
      <c r="DG65" s="842">
        <f t="shared" si="17"/>
        <v>717.23904572666152</v>
      </c>
      <c r="DH65" s="842">
        <f t="shared" si="17"/>
        <v>-762.56382098534732</v>
      </c>
      <c r="DI65" s="842">
        <f t="shared" si="17"/>
        <v>780.82981528186542</v>
      </c>
      <c r="DJ65" s="842">
        <f t="shared" si="17"/>
        <v>796.7791539592863</v>
      </c>
      <c r="DK65" s="842">
        <f t="shared" si="17"/>
        <v>802.70004699417154</v>
      </c>
      <c r="DL65" s="842">
        <f t="shared" si="17"/>
        <v>801.923052452001</v>
      </c>
      <c r="DM65" s="842">
        <f t="shared" si="17"/>
        <v>807.28788154311906</v>
      </c>
      <c r="DN65" s="842">
        <f t="shared" si="17"/>
        <v>813.69424513753347</v>
      </c>
      <c r="DO65" s="842">
        <f t="shared" si="17"/>
        <v>812.87707883584426</v>
      </c>
      <c r="DP65" s="842">
        <f t="shared" si="17"/>
        <v>799.98432204618302</v>
      </c>
      <c r="DQ65" s="842">
        <f t="shared" si="17"/>
        <v>806.37546989164548</v>
      </c>
      <c r="DR65" s="842">
        <f t="shared" si="17"/>
        <v>808.06402234390566</v>
      </c>
      <c r="DS65" s="842">
        <f t="shared" si="17"/>
        <v>802.77705034227415</v>
      </c>
      <c r="DT65" s="842">
        <f t="shared" si="17"/>
        <v>-718.44620176990156</v>
      </c>
      <c r="DU65" s="842">
        <f t="shared" si="17"/>
        <v>865.63056621242367</v>
      </c>
      <c r="DV65" s="842">
        <f t="shared" si="17"/>
        <v>881.60613181555073</v>
      </c>
      <c r="DW65" s="842">
        <f t="shared" si="17"/>
        <v>887.71103670444404</v>
      </c>
      <c r="DX65" s="842">
        <f t="shared" si="17"/>
        <v>887.10157819284996</v>
      </c>
      <c r="DY65" s="842">
        <f t="shared" si="17"/>
        <v>892.65115152940211</v>
      </c>
      <c r="DZ65" s="842">
        <f t="shared" si="17"/>
        <v>456113.5668787185</v>
      </c>
      <c r="EA65" s="1009">
        <f t="shared" si="17"/>
        <v>0</v>
      </c>
      <c r="EB65" s="1009">
        <f t="shared" si="17"/>
        <v>0</v>
      </c>
      <c r="EC65" s="1009">
        <f t="shared" si="17"/>
        <v>0</v>
      </c>
      <c r="ED65" s="1009">
        <f t="shared" si="17"/>
        <v>0</v>
      </c>
      <c r="EE65" s="1009">
        <f t="shared" si="17"/>
        <v>0</v>
      </c>
      <c r="EF65" s="1009">
        <f t="shared" si="17"/>
        <v>0</v>
      </c>
      <c r="EG65" s="1009">
        <f t="shared" si="17"/>
        <v>0</v>
      </c>
      <c r="EH65" s="1009">
        <f t="shared" si="17"/>
        <v>0</v>
      </c>
      <c r="EI65" s="1009">
        <f t="shared" si="17"/>
        <v>0</v>
      </c>
      <c r="EJ65" s="1009">
        <f>EJ61-EJ63</f>
        <v>0</v>
      </c>
      <c r="EK65" s="1009">
        <f>EK61-EK63</f>
        <v>0</v>
      </c>
      <c r="EL65" s="1009">
        <f>EL61-EL63</f>
        <v>0</v>
      </c>
    </row>
    <row r="66" spans="2:142" s="833" customFormat="1">
      <c r="B66" s="1013"/>
      <c r="C66" s="1014"/>
      <c r="D66" s="1014"/>
      <c r="E66" s="1014"/>
      <c r="F66" s="1014"/>
      <c r="G66" s="1014"/>
      <c r="H66" s="217"/>
      <c r="I66" s="520"/>
      <c r="J66" s="2282"/>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c r="AK66" s="1015"/>
      <c r="AL66" s="1015"/>
      <c r="AM66" s="1015"/>
      <c r="AN66" s="1015"/>
      <c r="AO66" s="1015"/>
      <c r="AP66" s="1015"/>
      <c r="AQ66" s="1015"/>
      <c r="AR66" s="1015"/>
      <c r="AS66" s="1015"/>
      <c r="AT66" s="1015"/>
      <c r="AU66" s="1015"/>
      <c r="AV66" s="1015"/>
      <c r="AW66" s="1015"/>
      <c r="AX66" s="1015"/>
      <c r="AY66" s="1015"/>
      <c r="AZ66" s="1015"/>
      <c r="BA66" s="1015"/>
      <c r="BB66" s="1015"/>
      <c r="BC66" s="1015"/>
      <c r="BD66" s="1015"/>
      <c r="BE66" s="1015"/>
      <c r="BF66" s="1015"/>
      <c r="BG66" s="1015"/>
      <c r="BH66" s="1015"/>
      <c r="BI66" s="1015"/>
      <c r="BJ66" s="1015"/>
      <c r="BK66" s="1015"/>
      <c r="BL66" s="1015"/>
      <c r="BM66" s="1015"/>
      <c r="BN66" s="1015"/>
      <c r="BO66" s="1015"/>
      <c r="BP66" s="1015"/>
      <c r="BQ66" s="1015"/>
      <c r="BR66" s="1015"/>
      <c r="BS66" s="1015"/>
      <c r="BT66" s="1015"/>
      <c r="BU66" s="1015"/>
      <c r="BV66" s="1015"/>
      <c r="BW66" s="1015"/>
      <c r="BX66" s="1015"/>
      <c r="BY66" s="1015"/>
      <c r="BZ66" s="1015"/>
      <c r="CA66" s="1015"/>
      <c r="CB66" s="1015"/>
      <c r="CC66" s="1015"/>
      <c r="CD66" s="1015"/>
      <c r="CE66" s="1015"/>
      <c r="CF66" s="1015"/>
      <c r="CG66" s="1015"/>
      <c r="CH66" s="1015"/>
      <c r="CI66" s="1015"/>
      <c r="CJ66" s="1015"/>
      <c r="CK66" s="1015"/>
      <c r="CL66" s="1015"/>
      <c r="CM66" s="1015"/>
      <c r="CN66" s="1015"/>
      <c r="CO66" s="1015"/>
      <c r="CP66" s="1015"/>
      <c r="CQ66" s="1015"/>
      <c r="CR66" s="1015"/>
      <c r="CS66" s="1015"/>
      <c r="CT66" s="1015"/>
      <c r="CU66" s="1015"/>
      <c r="CV66" s="1015"/>
      <c r="CW66" s="1015"/>
      <c r="CX66" s="1015"/>
      <c r="CY66" s="1015"/>
      <c r="CZ66" s="1015"/>
      <c r="DA66" s="1015"/>
      <c r="DB66" s="1015"/>
      <c r="DC66" s="1015"/>
      <c r="DD66" s="1015"/>
      <c r="DE66" s="1015"/>
      <c r="DF66" s="1015"/>
      <c r="DG66" s="1015"/>
      <c r="DH66" s="1015"/>
      <c r="DI66" s="1015"/>
      <c r="DJ66" s="1015"/>
      <c r="DK66" s="1015"/>
      <c r="DL66" s="1015"/>
      <c r="DM66" s="1015"/>
      <c r="DN66" s="1015"/>
      <c r="DO66" s="1015"/>
      <c r="DP66" s="1015"/>
      <c r="DQ66" s="1015"/>
      <c r="DR66" s="1015"/>
      <c r="DS66" s="1015"/>
      <c r="DT66" s="1015"/>
      <c r="DU66" s="1015"/>
      <c r="DV66" s="1015"/>
      <c r="DW66" s="1015"/>
      <c r="DX66" s="1015"/>
      <c r="DY66" s="1015"/>
      <c r="DZ66" s="1015"/>
      <c r="EA66" s="1016"/>
      <c r="EB66" s="1016"/>
      <c r="EC66" s="1016"/>
      <c r="ED66" s="1016"/>
      <c r="EE66" s="1016"/>
      <c r="EF66" s="1016"/>
      <c r="EG66" s="1016"/>
      <c r="EH66" s="1016"/>
      <c r="EI66" s="1016"/>
      <c r="EJ66" s="1016"/>
      <c r="EK66" s="1016"/>
      <c r="EL66" s="1016"/>
    </row>
    <row r="67" spans="2:142">
      <c r="H67" s="833"/>
      <c r="I67" s="520"/>
    </row>
    <row r="68" spans="2:142" s="987" customFormat="1" ht="13.5">
      <c r="C68" s="1017" t="s">
        <v>1988</v>
      </c>
      <c r="H68" s="815">
        <f t="shared" ref="H68:H69" si="18">SUM(J68:EL68)</f>
        <v>279602.50005266274</v>
      </c>
      <c r="K68" s="1018">
        <f t="shared" ref="K68:BV68" si="19">SUM(K11:K14)</f>
        <v>0</v>
      </c>
      <c r="L68" s="1018">
        <f t="shared" si="19"/>
        <v>0</v>
      </c>
      <c r="M68" s="1018">
        <f t="shared" si="19"/>
        <v>0</v>
      </c>
      <c r="N68" s="1018">
        <f t="shared" si="19"/>
        <v>0</v>
      </c>
      <c r="O68" s="1018">
        <f t="shared" si="19"/>
        <v>0</v>
      </c>
      <c r="P68" s="1018">
        <f t="shared" si="19"/>
        <v>0</v>
      </c>
      <c r="Q68" s="1018">
        <f t="shared" si="19"/>
        <v>0</v>
      </c>
      <c r="R68" s="1018">
        <f t="shared" si="19"/>
        <v>0</v>
      </c>
      <c r="S68" s="1018">
        <f t="shared" si="19"/>
        <v>0</v>
      </c>
      <c r="T68" s="1018">
        <f t="shared" si="19"/>
        <v>0</v>
      </c>
      <c r="U68" s="1018">
        <f t="shared" si="19"/>
        <v>0</v>
      </c>
      <c r="V68" s="1018">
        <f t="shared" si="19"/>
        <v>0</v>
      </c>
      <c r="W68" s="1018">
        <f t="shared" si="19"/>
        <v>0</v>
      </c>
      <c r="X68" s="1018">
        <f t="shared" si="19"/>
        <v>0</v>
      </c>
      <c r="Y68" s="1018">
        <f t="shared" si="19"/>
        <v>0</v>
      </c>
      <c r="Z68" s="1018">
        <f t="shared" si="19"/>
        <v>0</v>
      </c>
      <c r="AA68" s="1018">
        <f t="shared" si="19"/>
        <v>0</v>
      </c>
      <c r="AB68" s="1018">
        <f t="shared" si="19"/>
        <v>0</v>
      </c>
      <c r="AC68" s="1018">
        <f t="shared" si="19"/>
        <v>0</v>
      </c>
      <c r="AD68" s="1018">
        <f t="shared" si="19"/>
        <v>0</v>
      </c>
      <c r="AE68" s="1018">
        <f t="shared" si="19"/>
        <v>0</v>
      </c>
      <c r="AF68" s="1018">
        <f t="shared" si="19"/>
        <v>0</v>
      </c>
      <c r="AG68" s="1018">
        <f t="shared" si="19"/>
        <v>0</v>
      </c>
      <c r="AH68" s="1018">
        <f t="shared" si="19"/>
        <v>0</v>
      </c>
      <c r="AI68" s="1018">
        <f t="shared" si="19"/>
        <v>0</v>
      </c>
      <c r="AJ68" s="1018">
        <f t="shared" si="19"/>
        <v>0</v>
      </c>
      <c r="AK68" s="1018">
        <f t="shared" si="19"/>
        <v>0</v>
      </c>
      <c r="AL68" s="1018">
        <f t="shared" si="19"/>
        <v>0</v>
      </c>
      <c r="AM68" s="1018">
        <f t="shared" si="19"/>
        <v>2857.6170789999996</v>
      </c>
      <c r="AN68" s="1018">
        <f t="shared" si="19"/>
        <v>1598.7880099999998</v>
      </c>
      <c r="AO68" s="1018">
        <f t="shared" si="19"/>
        <v>2910.4878999120001</v>
      </c>
      <c r="AP68" s="1018">
        <f t="shared" si="19"/>
        <v>2937.6106194995</v>
      </c>
      <c r="AQ68" s="1018">
        <f t="shared" si="19"/>
        <v>2290.5724780334999</v>
      </c>
      <c r="AR68" s="1018">
        <f t="shared" si="19"/>
        <v>2937.6106194995</v>
      </c>
      <c r="AS68" s="1018">
        <f t="shared" si="19"/>
        <v>2937.6106194995</v>
      </c>
      <c r="AT68" s="1018">
        <f t="shared" si="19"/>
        <v>1643.5343365674998</v>
      </c>
      <c r="AU68" s="1018">
        <f t="shared" si="19"/>
        <v>2937.6106194995</v>
      </c>
      <c r="AV68" s="1018">
        <f t="shared" si="19"/>
        <v>2937.6106194995</v>
      </c>
      <c r="AW68" s="1018">
        <f t="shared" si="19"/>
        <v>2937.6106194995</v>
      </c>
      <c r="AX68" s="1018">
        <f t="shared" si="19"/>
        <v>2940.1326585995002</v>
      </c>
      <c r="AY68" s="1018">
        <f t="shared" si="19"/>
        <v>2940.1326585995002</v>
      </c>
      <c r="AZ68" s="1018">
        <f t="shared" si="19"/>
        <v>1646.0563756675001</v>
      </c>
      <c r="BA68" s="1018">
        <f t="shared" si="19"/>
        <v>2994.4838624970357</v>
      </c>
      <c r="BB68" s="1018">
        <f t="shared" si="19"/>
        <v>3019.5188791121609</v>
      </c>
      <c r="BC68" s="1018">
        <f t="shared" si="19"/>
        <v>2354.3636696851131</v>
      </c>
      <c r="BD68" s="1018">
        <f t="shared" si="19"/>
        <v>3019.5188791121609</v>
      </c>
      <c r="BE68" s="1018">
        <f t="shared" si="19"/>
        <v>3019.5188791121609</v>
      </c>
      <c r="BF68" s="1018">
        <f t="shared" si="19"/>
        <v>1689.2084602580651</v>
      </c>
      <c r="BG68" s="1018">
        <f t="shared" si="19"/>
        <v>3019.5188791121609</v>
      </c>
      <c r="BH68" s="1018">
        <f t="shared" si="19"/>
        <v>3019.5188791121609</v>
      </c>
      <c r="BI68" s="1018">
        <f t="shared" si="19"/>
        <v>3019.5188791121609</v>
      </c>
      <c r="BJ68" s="1018">
        <f t="shared" si="19"/>
        <v>3022.116579385161</v>
      </c>
      <c r="BK68" s="1018">
        <f t="shared" si="19"/>
        <v>3022.116579385161</v>
      </c>
      <c r="BL68" s="1018">
        <f t="shared" si="19"/>
        <v>1691.8061605310654</v>
      </c>
      <c r="BM68" s="1018">
        <f t="shared" si="19"/>
        <v>3077.9896169918284</v>
      </c>
      <c r="BN68" s="1018">
        <f t="shared" si="19"/>
        <v>3103.7665048619765</v>
      </c>
      <c r="BO68" s="1018">
        <f t="shared" si="19"/>
        <v>2419.9869495709718</v>
      </c>
      <c r="BP68" s="1018">
        <f t="shared" si="19"/>
        <v>3103.7665048619765</v>
      </c>
      <c r="BQ68" s="1018">
        <f t="shared" si="19"/>
        <v>3103.7665048619765</v>
      </c>
      <c r="BR68" s="1018">
        <f t="shared" si="19"/>
        <v>1736.2073942799661</v>
      </c>
      <c r="BS68" s="1018">
        <f t="shared" si="19"/>
        <v>3103.7665048619765</v>
      </c>
      <c r="BT68" s="1018">
        <f t="shared" si="19"/>
        <v>3103.7665048619765</v>
      </c>
      <c r="BU68" s="1018">
        <f t="shared" si="19"/>
        <v>3103.7665048619765</v>
      </c>
      <c r="BV68" s="1018">
        <f t="shared" si="19"/>
        <v>3106.4421361431669</v>
      </c>
      <c r="BW68" s="1018">
        <f t="shared" ref="BW68:EH68" si="20">SUM(BW11:BW14)</f>
        <v>3106.4421361431669</v>
      </c>
      <c r="BX68" s="1018">
        <f t="shared" si="20"/>
        <v>1738.8830255611565</v>
      </c>
      <c r="BY68" s="1018">
        <f t="shared" si="20"/>
        <v>3163.87961880282</v>
      </c>
      <c r="BZ68" s="1018">
        <f t="shared" si="20"/>
        <v>3190.420377046828</v>
      </c>
      <c r="CA68" s="1018">
        <f t="shared" si="20"/>
        <v>3190.420377046828</v>
      </c>
      <c r="CB68" s="1018">
        <f t="shared" si="20"/>
        <v>3190.420377046828</v>
      </c>
      <c r="CC68" s="1018">
        <f t="shared" si="20"/>
        <v>3190.420377046828</v>
      </c>
      <c r="CD68" s="1018">
        <f t="shared" si="20"/>
        <v>3190.420377046828</v>
      </c>
      <c r="CE68" s="1018">
        <f t="shared" si="20"/>
        <v>3190.420377046828</v>
      </c>
      <c r="CF68" s="1018">
        <f t="shared" si="20"/>
        <v>3190.420377046828</v>
      </c>
      <c r="CG68" s="1018">
        <f t="shared" si="20"/>
        <v>3190.420377046828</v>
      </c>
      <c r="CH68" s="1018">
        <f t="shared" si="20"/>
        <v>3193.1762772664542</v>
      </c>
      <c r="CI68" s="1018">
        <f t="shared" si="20"/>
        <v>3193.1762772664542</v>
      </c>
      <c r="CJ68" s="1018">
        <f t="shared" si="20"/>
        <v>1787.3255115881466</v>
      </c>
      <c r="CK68" s="1018">
        <f t="shared" si="20"/>
        <v>3252.2220094405779</v>
      </c>
      <c r="CL68" s="1018">
        <f t="shared" si="20"/>
        <v>3313.4226468102747</v>
      </c>
      <c r="CM68" s="1018">
        <f t="shared" si="20"/>
        <v>3313.4226468102747</v>
      </c>
      <c r="CN68" s="1018">
        <f t="shared" si="20"/>
        <v>3313.4226468102747</v>
      </c>
      <c r="CO68" s="1018">
        <f t="shared" si="20"/>
        <v>3313.4226468102747</v>
      </c>
      <c r="CP68" s="1018">
        <f t="shared" si="20"/>
        <v>3313.4226468102747</v>
      </c>
      <c r="CQ68" s="1018">
        <f t="shared" si="20"/>
        <v>3313.4226468102747</v>
      </c>
      <c r="CR68" s="1018">
        <f t="shared" si="20"/>
        <v>3313.4226468102747</v>
      </c>
      <c r="CS68" s="1018">
        <f t="shared" si="20"/>
        <v>3313.4226468102747</v>
      </c>
      <c r="CT68" s="1018">
        <f t="shared" si="20"/>
        <v>3313.4220903868568</v>
      </c>
      <c r="CU68" s="1018">
        <f t="shared" si="20"/>
        <v>3313.4220903868568</v>
      </c>
      <c r="CV68" s="1018">
        <f t="shared" si="20"/>
        <v>1868.2075032695573</v>
      </c>
      <c r="CW68" s="1018">
        <f t="shared" si="20"/>
        <v>3374.121103061856</v>
      </c>
      <c r="CX68" s="1018">
        <f t="shared" si="20"/>
        <v>3403.6405488024511</v>
      </c>
      <c r="CY68" s="1018">
        <f t="shared" si="20"/>
        <v>3403.6405488024511</v>
      </c>
      <c r="CZ68" s="1018">
        <f t="shared" si="20"/>
        <v>3403.6405488024511</v>
      </c>
      <c r="DA68" s="1018">
        <f t="shared" si="20"/>
        <v>3403.6405488024511</v>
      </c>
      <c r="DB68" s="1018">
        <f t="shared" si="20"/>
        <v>3403.6405488024511</v>
      </c>
      <c r="DC68" s="1018">
        <f t="shared" si="20"/>
        <v>3403.6405488024511</v>
      </c>
      <c r="DD68" s="1018">
        <f t="shared" si="20"/>
        <v>3403.6405488024511</v>
      </c>
      <c r="DE68" s="1018">
        <f t="shared" si="20"/>
        <v>3403.6405488024511</v>
      </c>
      <c r="DF68" s="1018">
        <f t="shared" si="20"/>
        <v>3406.4791093359627</v>
      </c>
      <c r="DG68" s="1018">
        <f t="shared" si="20"/>
        <v>3406.4791093359627</v>
      </c>
      <c r="DH68" s="1018">
        <f t="shared" si="20"/>
        <v>1920.7985137793787</v>
      </c>
      <c r="DI68" s="1018">
        <f t="shared" si="20"/>
        <v>3468.8776943658622</v>
      </c>
      <c r="DJ68" s="1018">
        <f t="shared" si="20"/>
        <v>3499.2827234786741</v>
      </c>
      <c r="DK68" s="1018">
        <f t="shared" si="20"/>
        <v>3499.2827234786741</v>
      </c>
      <c r="DL68" s="1018">
        <f t="shared" si="20"/>
        <v>3499.2827234786741</v>
      </c>
      <c r="DM68" s="1018">
        <f t="shared" si="20"/>
        <v>3499.2827234786741</v>
      </c>
      <c r="DN68" s="1018">
        <f t="shared" si="20"/>
        <v>3499.2827234786741</v>
      </c>
      <c r="DO68" s="1018">
        <f t="shared" si="20"/>
        <v>3499.2827234786741</v>
      </c>
      <c r="DP68" s="1018">
        <f t="shared" si="20"/>
        <v>3499.2827234786741</v>
      </c>
      <c r="DQ68" s="1018">
        <f t="shared" si="20"/>
        <v>3499.2827234786741</v>
      </c>
      <c r="DR68" s="1018">
        <f t="shared" si="20"/>
        <v>3502.2064408281917</v>
      </c>
      <c r="DS68" s="1018">
        <f t="shared" si="20"/>
        <v>3502.2064408281917</v>
      </c>
      <c r="DT68" s="1018">
        <f t="shared" si="20"/>
        <v>1974.9267885960235</v>
      </c>
      <c r="DU68" s="1018">
        <f t="shared" si="20"/>
        <v>3566.3521862389289</v>
      </c>
      <c r="DV68" s="1018">
        <f t="shared" si="20"/>
        <v>3597.6693662251255</v>
      </c>
      <c r="DW68" s="1018">
        <f t="shared" si="20"/>
        <v>3597.6693662251255</v>
      </c>
      <c r="DX68" s="1018">
        <f t="shared" si="20"/>
        <v>3597.6693662251255</v>
      </c>
      <c r="DY68" s="1018">
        <f t="shared" si="20"/>
        <v>3597.6693662251255</v>
      </c>
      <c r="DZ68" s="1018">
        <f t="shared" si="20"/>
        <v>3597.6693662251255</v>
      </c>
      <c r="EA68" s="1018">
        <f t="shared" si="20"/>
        <v>0</v>
      </c>
      <c r="EB68" s="1018">
        <f t="shared" si="20"/>
        <v>0</v>
      </c>
      <c r="EC68" s="1018">
        <f t="shared" si="20"/>
        <v>0</v>
      </c>
      <c r="ED68" s="1018">
        <f t="shared" si="20"/>
        <v>0</v>
      </c>
      <c r="EE68" s="1018">
        <f t="shared" si="20"/>
        <v>0</v>
      </c>
      <c r="EF68" s="1018">
        <f t="shared" si="20"/>
        <v>0</v>
      </c>
      <c r="EG68" s="1018">
        <f t="shared" si="20"/>
        <v>0</v>
      </c>
      <c r="EH68" s="1018">
        <f t="shared" si="20"/>
        <v>0</v>
      </c>
      <c r="EI68" s="1018">
        <f t="shared" ref="EI68:EL68" si="21">SUM(EI11:EI14)</f>
        <v>0</v>
      </c>
      <c r="EJ68" s="1018">
        <f t="shared" si="21"/>
        <v>0</v>
      </c>
      <c r="EK68" s="1018">
        <f t="shared" si="21"/>
        <v>0</v>
      </c>
      <c r="EL68" s="1018">
        <f t="shared" si="21"/>
        <v>0</v>
      </c>
    </row>
    <row r="69" spans="2:142" s="987" customFormat="1" ht="13.5">
      <c r="C69" s="1017" t="s">
        <v>2016</v>
      </c>
      <c r="H69" s="815">
        <f t="shared" si="18"/>
        <v>50020.289829401721</v>
      </c>
      <c r="K69" s="1018">
        <f t="shared" ref="K69:BV69" si="22">SUM(K25:K35)</f>
        <v>0</v>
      </c>
      <c r="L69" s="1018">
        <f t="shared" si="22"/>
        <v>0</v>
      </c>
      <c r="M69" s="1018">
        <f t="shared" si="22"/>
        <v>0</v>
      </c>
      <c r="N69" s="1018">
        <f t="shared" si="22"/>
        <v>0</v>
      </c>
      <c r="O69" s="1018">
        <f t="shared" si="22"/>
        <v>0</v>
      </c>
      <c r="P69" s="1018">
        <f t="shared" si="22"/>
        <v>0</v>
      </c>
      <c r="Q69" s="1018">
        <f t="shared" si="22"/>
        <v>0</v>
      </c>
      <c r="R69" s="1018">
        <f t="shared" si="22"/>
        <v>0</v>
      </c>
      <c r="S69" s="1018">
        <f t="shared" si="22"/>
        <v>0</v>
      </c>
      <c r="T69" s="1018">
        <f t="shared" si="22"/>
        <v>0</v>
      </c>
      <c r="U69" s="1018">
        <f t="shared" si="22"/>
        <v>0</v>
      </c>
      <c r="V69" s="1018">
        <f t="shared" si="22"/>
        <v>0</v>
      </c>
      <c r="W69" s="1018">
        <f t="shared" si="22"/>
        <v>0</v>
      </c>
      <c r="X69" s="1018">
        <f t="shared" si="22"/>
        <v>0</v>
      </c>
      <c r="Y69" s="1018">
        <f t="shared" si="22"/>
        <v>0</v>
      </c>
      <c r="Z69" s="1018">
        <f t="shared" si="22"/>
        <v>0</v>
      </c>
      <c r="AA69" s="1018">
        <f t="shared" si="22"/>
        <v>0</v>
      </c>
      <c r="AB69" s="1018">
        <f t="shared" si="22"/>
        <v>0</v>
      </c>
      <c r="AC69" s="1018">
        <f t="shared" si="22"/>
        <v>0</v>
      </c>
      <c r="AD69" s="1018">
        <f t="shared" si="22"/>
        <v>0</v>
      </c>
      <c r="AE69" s="1018">
        <f t="shared" si="22"/>
        <v>0</v>
      </c>
      <c r="AF69" s="1018">
        <f t="shared" si="22"/>
        <v>0</v>
      </c>
      <c r="AG69" s="1018">
        <f t="shared" si="22"/>
        <v>0</v>
      </c>
      <c r="AH69" s="1018">
        <f t="shared" si="22"/>
        <v>0</v>
      </c>
      <c r="AI69" s="1018">
        <f t="shared" si="22"/>
        <v>0</v>
      </c>
      <c r="AJ69" s="1018">
        <f t="shared" si="22"/>
        <v>0</v>
      </c>
      <c r="AK69" s="1018">
        <f t="shared" si="22"/>
        <v>0</v>
      </c>
      <c r="AL69" s="1018">
        <f t="shared" si="22"/>
        <v>0</v>
      </c>
      <c r="AM69" s="1018">
        <f t="shared" si="22"/>
        <v>500.41813884051697</v>
      </c>
      <c r="AN69" s="1018">
        <f t="shared" si="22"/>
        <v>500.47876971656029</v>
      </c>
      <c r="AO69" s="1018">
        <f t="shared" si="22"/>
        <v>507.85373007989904</v>
      </c>
      <c r="AP69" s="1018">
        <f t="shared" si="22"/>
        <v>507.70737968944968</v>
      </c>
      <c r="AQ69" s="1018">
        <f t="shared" si="22"/>
        <v>507.85373007989904</v>
      </c>
      <c r="AR69" s="1018">
        <f t="shared" si="22"/>
        <v>507.78055488467436</v>
      </c>
      <c r="AS69" s="1018">
        <f t="shared" si="22"/>
        <v>507.85373007989904</v>
      </c>
      <c r="AT69" s="1018">
        <f t="shared" si="22"/>
        <v>507.78055488467436</v>
      </c>
      <c r="AU69" s="1018">
        <f t="shared" si="22"/>
        <v>507.85373007989904</v>
      </c>
      <c r="AV69" s="1018">
        <f t="shared" si="22"/>
        <v>507.85373007989904</v>
      </c>
      <c r="AW69" s="1018">
        <f t="shared" si="22"/>
        <v>507.78055488467436</v>
      </c>
      <c r="AX69" s="1018">
        <f t="shared" si="22"/>
        <v>507.85373007989904</v>
      </c>
      <c r="AY69" s="1018">
        <f t="shared" si="22"/>
        <v>517.20174238018035</v>
      </c>
      <c r="AZ69" s="1018">
        <f t="shared" si="22"/>
        <v>517.27491757540497</v>
      </c>
      <c r="BA69" s="1018">
        <f t="shared" si="22"/>
        <v>517.86355120397741</v>
      </c>
      <c r="BB69" s="1018">
        <f t="shared" si="22"/>
        <v>517.64402561830343</v>
      </c>
      <c r="BC69" s="1018">
        <f t="shared" si="22"/>
        <v>517.86355120397741</v>
      </c>
      <c r="BD69" s="1018">
        <f t="shared" si="22"/>
        <v>517.79037600875279</v>
      </c>
      <c r="BE69" s="1018">
        <f t="shared" si="22"/>
        <v>517.86355120397741</v>
      </c>
      <c r="BF69" s="1018">
        <f t="shared" si="22"/>
        <v>517.79037600875279</v>
      </c>
      <c r="BG69" s="1018">
        <f t="shared" si="22"/>
        <v>517.86355120397741</v>
      </c>
      <c r="BH69" s="1018">
        <f t="shared" si="22"/>
        <v>517.86355120397741</v>
      </c>
      <c r="BI69" s="1018">
        <f t="shared" si="22"/>
        <v>517.79037600875279</v>
      </c>
      <c r="BJ69" s="1018">
        <f t="shared" si="22"/>
        <v>517.86355120397741</v>
      </c>
      <c r="BK69" s="1018">
        <f t="shared" si="22"/>
        <v>527.42524741592342</v>
      </c>
      <c r="BL69" s="1018">
        <f t="shared" si="22"/>
        <v>527.49842261114804</v>
      </c>
      <c r="BM69" s="1018">
        <f t="shared" si="22"/>
        <v>528.10476978274073</v>
      </c>
      <c r="BN69" s="1018">
        <f t="shared" si="22"/>
        <v>527.88524419706675</v>
      </c>
      <c r="BO69" s="1018">
        <f t="shared" si="22"/>
        <v>528.10476978274073</v>
      </c>
      <c r="BP69" s="1018">
        <f t="shared" si="22"/>
        <v>528.03159458751611</v>
      </c>
      <c r="BQ69" s="1018">
        <f t="shared" si="22"/>
        <v>528.10476978274073</v>
      </c>
      <c r="BR69" s="1018">
        <f t="shared" si="22"/>
        <v>528.03159458751611</v>
      </c>
      <c r="BS69" s="1018">
        <f t="shared" si="22"/>
        <v>528.10476978274073</v>
      </c>
      <c r="BT69" s="1018">
        <f t="shared" si="22"/>
        <v>528.10476978274073</v>
      </c>
      <c r="BU69" s="1018">
        <f t="shared" si="22"/>
        <v>528.03159458751611</v>
      </c>
      <c r="BV69" s="1018">
        <f t="shared" si="22"/>
        <v>528.10476978274073</v>
      </c>
      <c r="BW69" s="1018">
        <f t="shared" ref="BW69:EH69" si="23">SUM(BW25:BW35)</f>
        <v>537.88514990273404</v>
      </c>
      <c r="BX69" s="1018">
        <f t="shared" si="23"/>
        <v>537.95832509795866</v>
      </c>
      <c r="BY69" s="1018">
        <f t="shared" si="23"/>
        <v>539.22172693207688</v>
      </c>
      <c r="BZ69" s="1018">
        <f t="shared" si="23"/>
        <v>539.0022013464029</v>
      </c>
      <c r="CA69" s="1018">
        <f t="shared" si="23"/>
        <v>539.22172693207688</v>
      </c>
      <c r="CB69" s="1018">
        <f t="shared" si="23"/>
        <v>539.14855173685226</v>
      </c>
      <c r="CC69" s="1018">
        <f t="shared" si="23"/>
        <v>539.22172693207688</v>
      </c>
      <c r="CD69" s="1018">
        <f t="shared" si="23"/>
        <v>539.14855173685226</v>
      </c>
      <c r="CE69" s="1018">
        <f t="shared" si="23"/>
        <v>539.22172693207688</v>
      </c>
      <c r="CF69" s="1018">
        <f t="shared" si="23"/>
        <v>539.22172693207688</v>
      </c>
      <c r="CG69" s="1018">
        <f t="shared" si="23"/>
        <v>539.14855173685226</v>
      </c>
      <c r="CH69" s="1018">
        <f t="shared" si="23"/>
        <v>539.22172693207688</v>
      </c>
      <c r="CI69" s="1018">
        <f t="shared" si="23"/>
        <v>549.22590963749792</v>
      </c>
      <c r="CJ69" s="1018">
        <f t="shared" si="23"/>
        <v>549.29908483272254</v>
      </c>
      <c r="CK69" s="1018">
        <f t="shared" si="23"/>
        <v>549.94297337375792</v>
      </c>
      <c r="CL69" s="1018">
        <f t="shared" si="23"/>
        <v>549.79662298330857</v>
      </c>
      <c r="CM69" s="1018">
        <f t="shared" si="23"/>
        <v>551.14197385277862</v>
      </c>
      <c r="CN69" s="1018">
        <f t="shared" si="23"/>
        <v>551.03012122274686</v>
      </c>
      <c r="CO69" s="1018">
        <f t="shared" si="23"/>
        <v>551.14197385277862</v>
      </c>
      <c r="CP69" s="1018">
        <f t="shared" si="23"/>
        <v>551.03012122274686</v>
      </c>
      <c r="CQ69" s="1018">
        <f t="shared" si="23"/>
        <v>551.14197385277862</v>
      </c>
      <c r="CR69" s="1018">
        <f t="shared" si="23"/>
        <v>551.14197385277862</v>
      </c>
      <c r="CS69" s="1018">
        <f t="shared" si="23"/>
        <v>551.03012122274686</v>
      </c>
      <c r="CT69" s="1018">
        <f t="shared" si="23"/>
        <v>551.14197385277862</v>
      </c>
      <c r="CU69" s="1018">
        <f t="shared" si="23"/>
        <v>561.45234926569185</v>
      </c>
      <c r="CV69" s="1018">
        <f t="shared" si="23"/>
        <v>561.56806280754836</v>
      </c>
      <c r="CW69" s="1018">
        <f t="shared" si="23"/>
        <v>562.23768249306272</v>
      </c>
      <c r="CX69" s="1018">
        <f t="shared" si="23"/>
        <v>561.89054186749331</v>
      </c>
      <c r="CY69" s="1018">
        <f t="shared" si="23"/>
        <v>562.23768249306272</v>
      </c>
      <c r="CZ69" s="1018">
        <f t="shared" si="23"/>
        <v>562.12196895120621</v>
      </c>
      <c r="DA69" s="1018">
        <f t="shared" si="23"/>
        <v>562.23768249306272</v>
      </c>
      <c r="DB69" s="1018">
        <f t="shared" si="23"/>
        <v>562.12196895120621</v>
      </c>
      <c r="DC69" s="1018">
        <f t="shared" si="23"/>
        <v>562.23768249306272</v>
      </c>
      <c r="DD69" s="1018">
        <f t="shared" si="23"/>
        <v>562.23768249306272</v>
      </c>
      <c r="DE69" s="1018">
        <f t="shared" si="23"/>
        <v>562.12196895120621</v>
      </c>
      <c r="DF69" s="1018">
        <f t="shared" si="23"/>
        <v>562.23768249306272</v>
      </c>
      <c r="DG69" s="1018">
        <f t="shared" si="23"/>
        <v>572.66277706624999</v>
      </c>
      <c r="DH69" s="1018">
        <f t="shared" si="23"/>
        <v>572.77849060810649</v>
      </c>
      <c r="DI69" s="1018">
        <f t="shared" si="23"/>
        <v>573.47749600509087</v>
      </c>
      <c r="DJ69" s="1018">
        <f t="shared" si="23"/>
        <v>573.13035537952146</v>
      </c>
      <c r="DK69" s="1018">
        <f t="shared" si="23"/>
        <v>573.47749600509087</v>
      </c>
      <c r="DL69" s="1018">
        <f t="shared" si="23"/>
        <v>573.36178246323436</v>
      </c>
      <c r="DM69" s="1018">
        <f t="shared" si="23"/>
        <v>573.47749600509087</v>
      </c>
      <c r="DN69" s="1018">
        <f t="shared" si="23"/>
        <v>573.36178246323436</v>
      </c>
      <c r="DO69" s="1018">
        <f t="shared" si="23"/>
        <v>573.47749600509087</v>
      </c>
      <c r="DP69" s="1018">
        <f t="shared" si="23"/>
        <v>573.47749600509087</v>
      </c>
      <c r="DQ69" s="1018">
        <f t="shared" si="23"/>
        <v>573.36178246323436</v>
      </c>
      <c r="DR69" s="1018">
        <f t="shared" si="23"/>
        <v>573.47749600509087</v>
      </c>
      <c r="DS69" s="1018">
        <f t="shared" si="23"/>
        <v>584.14249006426974</v>
      </c>
      <c r="DT69" s="1018">
        <f t="shared" si="23"/>
        <v>584.25820360612624</v>
      </c>
      <c r="DU69" s="1018">
        <f t="shared" si="23"/>
        <v>587.71375223619009</v>
      </c>
      <c r="DV69" s="1018">
        <f t="shared" si="23"/>
        <v>587.36661161062068</v>
      </c>
      <c r="DW69" s="1018">
        <f t="shared" si="23"/>
        <v>587.71375223619009</v>
      </c>
      <c r="DX69" s="1018">
        <f t="shared" si="23"/>
        <v>587.59803869433358</v>
      </c>
      <c r="DY69" s="1018">
        <f t="shared" si="23"/>
        <v>587.71375223619009</v>
      </c>
      <c r="DZ69" s="1018">
        <f t="shared" si="23"/>
        <v>587.59803869433358</v>
      </c>
      <c r="EA69" s="1018">
        <f t="shared" si="23"/>
        <v>0</v>
      </c>
      <c r="EB69" s="1018">
        <f t="shared" si="23"/>
        <v>0</v>
      </c>
      <c r="EC69" s="1018">
        <f t="shared" si="23"/>
        <v>0</v>
      </c>
      <c r="ED69" s="1018">
        <f t="shared" si="23"/>
        <v>0</v>
      </c>
      <c r="EE69" s="1018">
        <f t="shared" si="23"/>
        <v>0</v>
      </c>
      <c r="EF69" s="1018">
        <f t="shared" si="23"/>
        <v>0</v>
      </c>
      <c r="EG69" s="1018">
        <f t="shared" si="23"/>
        <v>0</v>
      </c>
      <c r="EH69" s="1018">
        <f t="shared" si="23"/>
        <v>0</v>
      </c>
      <c r="EI69" s="1018">
        <f t="shared" ref="EI69:EL69" si="24">SUM(EI25:EI35)</f>
        <v>0</v>
      </c>
      <c r="EJ69" s="1018">
        <f t="shared" si="24"/>
        <v>0</v>
      </c>
      <c r="EK69" s="1018">
        <f t="shared" si="24"/>
        <v>0</v>
      </c>
      <c r="EL69" s="1018">
        <f t="shared" si="24"/>
        <v>0</v>
      </c>
    </row>
    <row r="70" spans="2:142" s="987" customFormat="1" ht="13.5">
      <c r="C70" s="1017" t="s">
        <v>1994</v>
      </c>
      <c r="H70" s="2283">
        <f>SUM(J70:EL70)</f>
        <v>229582.21022326106</v>
      </c>
      <c r="K70" s="1019">
        <f>K68-K69</f>
        <v>0</v>
      </c>
      <c r="L70" s="1019">
        <f t="shared" ref="L70:BW70" si="25">L68-L69</f>
        <v>0</v>
      </c>
      <c r="M70" s="1019">
        <f t="shared" si="25"/>
        <v>0</v>
      </c>
      <c r="N70" s="1019">
        <f t="shared" si="25"/>
        <v>0</v>
      </c>
      <c r="O70" s="1019">
        <f t="shared" si="25"/>
        <v>0</v>
      </c>
      <c r="P70" s="1019">
        <f t="shared" si="25"/>
        <v>0</v>
      </c>
      <c r="Q70" s="1019">
        <f t="shared" si="25"/>
        <v>0</v>
      </c>
      <c r="R70" s="1019">
        <f t="shared" si="25"/>
        <v>0</v>
      </c>
      <c r="S70" s="1019">
        <f t="shared" si="25"/>
        <v>0</v>
      </c>
      <c r="T70" s="1019">
        <f t="shared" si="25"/>
        <v>0</v>
      </c>
      <c r="U70" s="1019">
        <f t="shared" si="25"/>
        <v>0</v>
      </c>
      <c r="V70" s="1019">
        <f t="shared" si="25"/>
        <v>0</v>
      </c>
      <c r="W70" s="1019">
        <f t="shared" si="25"/>
        <v>0</v>
      </c>
      <c r="X70" s="1019">
        <f t="shared" si="25"/>
        <v>0</v>
      </c>
      <c r="Y70" s="1019">
        <f t="shared" si="25"/>
        <v>0</v>
      </c>
      <c r="Z70" s="1019">
        <f t="shared" si="25"/>
        <v>0</v>
      </c>
      <c r="AA70" s="1019">
        <f t="shared" si="25"/>
        <v>0</v>
      </c>
      <c r="AB70" s="1019">
        <f t="shared" si="25"/>
        <v>0</v>
      </c>
      <c r="AC70" s="1019">
        <f t="shared" si="25"/>
        <v>0</v>
      </c>
      <c r="AD70" s="1019">
        <f t="shared" si="25"/>
        <v>0</v>
      </c>
      <c r="AE70" s="1019">
        <f t="shared" si="25"/>
        <v>0</v>
      </c>
      <c r="AF70" s="1019">
        <f t="shared" si="25"/>
        <v>0</v>
      </c>
      <c r="AG70" s="1019">
        <f t="shared" si="25"/>
        <v>0</v>
      </c>
      <c r="AH70" s="1019">
        <f t="shared" si="25"/>
        <v>0</v>
      </c>
      <c r="AI70" s="1019">
        <f t="shared" si="25"/>
        <v>0</v>
      </c>
      <c r="AJ70" s="1019">
        <f t="shared" si="25"/>
        <v>0</v>
      </c>
      <c r="AK70" s="1019">
        <f t="shared" si="25"/>
        <v>0</v>
      </c>
      <c r="AL70" s="1019">
        <f t="shared" si="25"/>
        <v>0</v>
      </c>
      <c r="AM70" s="1019">
        <f t="shared" si="25"/>
        <v>2357.1989401594828</v>
      </c>
      <c r="AN70" s="1019">
        <f t="shared" si="25"/>
        <v>1098.3092402834395</v>
      </c>
      <c r="AO70" s="1019">
        <f t="shared" si="25"/>
        <v>2402.6341698321012</v>
      </c>
      <c r="AP70" s="1019">
        <f t="shared" si="25"/>
        <v>2429.9032398100503</v>
      </c>
      <c r="AQ70" s="1019">
        <f t="shared" si="25"/>
        <v>1782.718747953601</v>
      </c>
      <c r="AR70" s="1019">
        <f t="shared" si="25"/>
        <v>2429.8300646148255</v>
      </c>
      <c r="AS70" s="1019">
        <f t="shared" si="25"/>
        <v>2429.7568894196011</v>
      </c>
      <c r="AT70" s="1019">
        <f t="shared" si="25"/>
        <v>1135.7537816828255</v>
      </c>
      <c r="AU70" s="1019">
        <f t="shared" si="25"/>
        <v>2429.7568894196011</v>
      </c>
      <c r="AV70" s="1019">
        <f t="shared" si="25"/>
        <v>2429.7568894196011</v>
      </c>
      <c r="AW70" s="1019">
        <f t="shared" si="25"/>
        <v>2429.8300646148255</v>
      </c>
      <c r="AX70" s="1019">
        <f t="shared" si="25"/>
        <v>2432.2789285196013</v>
      </c>
      <c r="AY70" s="1019">
        <f t="shared" si="25"/>
        <v>2422.9309162193199</v>
      </c>
      <c r="AZ70" s="1019">
        <f t="shared" si="25"/>
        <v>1128.7814580920951</v>
      </c>
      <c r="BA70" s="1019">
        <f t="shared" si="25"/>
        <v>2476.6203112930584</v>
      </c>
      <c r="BB70" s="1019">
        <f t="shared" si="25"/>
        <v>2501.8748534938577</v>
      </c>
      <c r="BC70" s="1019">
        <f t="shared" si="25"/>
        <v>1836.5001184811358</v>
      </c>
      <c r="BD70" s="1019">
        <f t="shared" si="25"/>
        <v>2501.728503103408</v>
      </c>
      <c r="BE70" s="1019">
        <f t="shared" si="25"/>
        <v>2501.6553279081836</v>
      </c>
      <c r="BF70" s="1019">
        <f t="shared" si="25"/>
        <v>1171.4180842493124</v>
      </c>
      <c r="BG70" s="1019">
        <f t="shared" si="25"/>
        <v>2501.6553279081836</v>
      </c>
      <c r="BH70" s="1019">
        <f t="shared" si="25"/>
        <v>2501.6553279081836</v>
      </c>
      <c r="BI70" s="1019">
        <f t="shared" si="25"/>
        <v>2501.728503103408</v>
      </c>
      <c r="BJ70" s="1019">
        <f t="shared" si="25"/>
        <v>2504.2530281811837</v>
      </c>
      <c r="BK70" s="1019">
        <f t="shared" si="25"/>
        <v>2494.6913319692376</v>
      </c>
      <c r="BL70" s="1019">
        <f t="shared" si="25"/>
        <v>1164.3077379199174</v>
      </c>
      <c r="BM70" s="1019">
        <f t="shared" si="25"/>
        <v>2549.8848472090876</v>
      </c>
      <c r="BN70" s="1019">
        <f t="shared" si="25"/>
        <v>2575.8812606649099</v>
      </c>
      <c r="BO70" s="1019">
        <f t="shared" si="25"/>
        <v>1891.882179788231</v>
      </c>
      <c r="BP70" s="1019">
        <f t="shared" si="25"/>
        <v>2575.7349102744602</v>
      </c>
      <c r="BQ70" s="1019">
        <f t="shared" si="25"/>
        <v>2575.6617350792358</v>
      </c>
      <c r="BR70" s="1019">
        <f t="shared" si="25"/>
        <v>1208.17579969245</v>
      </c>
      <c r="BS70" s="1019">
        <f t="shared" si="25"/>
        <v>2575.6617350792358</v>
      </c>
      <c r="BT70" s="1019">
        <f t="shared" si="25"/>
        <v>2575.6617350792358</v>
      </c>
      <c r="BU70" s="1019">
        <f t="shared" si="25"/>
        <v>2575.7349102744602</v>
      </c>
      <c r="BV70" s="1019">
        <f t="shared" si="25"/>
        <v>2578.3373663604261</v>
      </c>
      <c r="BW70" s="1019">
        <f t="shared" si="25"/>
        <v>2568.5569862404327</v>
      </c>
      <c r="BX70" s="1019">
        <f t="shared" ref="BX70:EI70" si="26">BX68-BX69</f>
        <v>1200.924700463198</v>
      </c>
      <c r="BY70" s="1019">
        <f t="shared" si="26"/>
        <v>2624.6578918707432</v>
      </c>
      <c r="BZ70" s="1019">
        <f t="shared" si="26"/>
        <v>2651.4181757004253</v>
      </c>
      <c r="CA70" s="1019">
        <f t="shared" si="26"/>
        <v>2651.1986501147512</v>
      </c>
      <c r="CB70" s="1019">
        <f t="shared" si="26"/>
        <v>2651.2718253099756</v>
      </c>
      <c r="CC70" s="1019">
        <f t="shared" si="26"/>
        <v>2651.1986501147512</v>
      </c>
      <c r="CD70" s="1019">
        <f t="shared" si="26"/>
        <v>2651.2718253099756</v>
      </c>
      <c r="CE70" s="1019">
        <f t="shared" si="26"/>
        <v>2651.1986501147512</v>
      </c>
      <c r="CF70" s="1019">
        <f t="shared" si="26"/>
        <v>2651.1986501147512</v>
      </c>
      <c r="CG70" s="1019">
        <f t="shared" si="26"/>
        <v>2651.2718253099756</v>
      </c>
      <c r="CH70" s="1019">
        <f t="shared" si="26"/>
        <v>2653.9545503343775</v>
      </c>
      <c r="CI70" s="1019">
        <f t="shared" si="26"/>
        <v>2643.9503676289564</v>
      </c>
      <c r="CJ70" s="1019">
        <f t="shared" si="26"/>
        <v>1238.0264267554239</v>
      </c>
      <c r="CK70" s="1019">
        <f t="shared" si="26"/>
        <v>2702.27903606682</v>
      </c>
      <c r="CL70" s="1019">
        <f t="shared" si="26"/>
        <v>2763.626023826966</v>
      </c>
      <c r="CM70" s="1019">
        <f t="shared" si="26"/>
        <v>2762.2806729574959</v>
      </c>
      <c r="CN70" s="1019">
        <f t="shared" si="26"/>
        <v>2762.3925255875279</v>
      </c>
      <c r="CO70" s="1019">
        <f t="shared" si="26"/>
        <v>2762.2806729574959</v>
      </c>
      <c r="CP70" s="1019">
        <f t="shared" si="26"/>
        <v>2762.3925255875279</v>
      </c>
      <c r="CQ70" s="1019">
        <f t="shared" si="26"/>
        <v>2762.2806729574959</v>
      </c>
      <c r="CR70" s="1019">
        <f t="shared" si="26"/>
        <v>2762.2806729574959</v>
      </c>
      <c r="CS70" s="1019">
        <f t="shared" si="26"/>
        <v>2762.3925255875279</v>
      </c>
      <c r="CT70" s="1019">
        <f t="shared" si="26"/>
        <v>2762.2801165340779</v>
      </c>
      <c r="CU70" s="1019">
        <f t="shared" si="26"/>
        <v>2751.969741121165</v>
      </c>
      <c r="CV70" s="1019">
        <f t="shared" si="26"/>
        <v>1306.6394404620089</v>
      </c>
      <c r="CW70" s="1019">
        <f t="shared" si="26"/>
        <v>2811.8834205687936</v>
      </c>
      <c r="CX70" s="1019">
        <f t="shared" si="26"/>
        <v>2841.750006934958</v>
      </c>
      <c r="CY70" s="1019">
        <f t="shared" si="26"/>
        <v>2841.4028663093886</v>
      </c>
      <c r="CZ70" s="1019">
        <f t="shared" si="26"/>
        <v>2841.5185798512448</v>
      </c>
      <c r="DA70" s="1019">
        <f t="shared" si="26"/>
        <v>2841.4028663093886</v>
      </c>
      <c r="DB70" s="1019">
        <f t="shared" si="26"/>
        <v>2841.5185798512448</v>
      </c>
      <c r="DC70" s="1019">
        <f t="shared" si="26"/>
        <v>2841.4028663093886</v>
      </c>
      <c r="DD70" s="1019">
        <f t="shared" si="26"/>
        <v>2841.4028663093886</v>
      </c>
      <c r="DE70" s="1019">
        <f t="shared" si="26"/>
        <v>2841.5185798512448</v>
      </c>
      <c r="DF70" s="1019">
        <f t="shared" si="26"/>
        <v>2844.2414268429002</v>
      </c>
      <c r="DG70" s="1019">
        <f t="shared" si="26"/>
        <v>2833.8163322697128</v>
      </c>
      <c r="DH70" s="1019">
        <f t="shared" si="26"/>
        <v>1348.0200231712722</v>
      </c>
      <c r="DI70" s="1019">
        <f t="shared" si="26"/>
        <v>2895.4001983607714</v>
      </c>
      <c r="DJ70" s="1019">
        <f t="shared" si="26"/>
        <v>2926.1523680991527</v>
      </c>
      <c r="DK70" s="1019">
        <f t="shared" si="26"/>
        <v>2925.8052274735833</v>
      </c>
      <c r="DL70" s="1019">
        <f t="shared" si="26"/>
        <v>2925.9209410154399</v>
      </c>
      <c r="DM70" s="1019">
        <f t="shared" si="26"/>
        <v>2925.8052274735833</v>
      </c>
      <c r="DN70" s="1019">
        <f t="shared" si="26"/>
        <v>2925.9209410154399</v>
      </c>
      <c r="DO70" s="1019">
        <f t="shared" si="26"/>
        <v>2925.8052274735833</v>
      </c>
      <c r="DP70" s="1019">
        <f t="shared" si="26"/>
        <v>2925.8052274735833</v>
      </c>
      <c r="DQ70" s="1019">
        <f t="shared" si="26"/>
        <v>2925.9209410154399</v>
      </c>
      <c r="DR70" s="1019">
        <f t="shared" si="26"/>
        <v>2928.7289448231008</v>
      </c>
      <c r="DS70" s="1019">
        <f t="shared" si="26"/>
        <v>2918.0639507639221</v>
      </c>
      <c r="DT70" s="1019">
        <f t="shared" si="26"/>
        <v>1390.6685849898972</v>
      </c>
      <c r="DU70" s="1019">
        <f t="shared" si="26"/>
        <v>2978.6384340027389</v>
      </c>
      <c r="DV70" s="1019">
        <f t="shared" si="26"/>
        <v>3010.3027546145049</v>
      </c>
      <c r="DW70" s="1019">
        <f t="shared" si="26"/>
        <v>3009.9556139889355</v>
      </c>
      <c r="DX70" s="1019">
        <f t="shared" si="26"/>
        <v>3010.0713275307917</v>
      </c>
      <c r="DY70" s="1019">
        <f t="shared" si="26"/>
        <v>3009.9556139889355</v>
      </c>
      <c r="DZ70" s="1019">
        <f t="shared" si="26"/>
        <v>3010.0713275307917</v>
      </c>
      <c r="EA70" s="1019">
        <f t="shared" si="26"/>
        <v>0</v>
      </c>
      <c r="EB70" s="1019">
        <f t="shared" si="26"/>
        <v>0</v>
      </c>
      <c r="EC70" s="1019">
        <f t="shared" si="26"/>
        <v>0</v>
      </c>
      <c r="ED70" s="1019">
        <f t="shared" si="26"/>
        <v>0</v>
      </c>
      <c r="EE70" s="1019">
        <f t="shared" si="26"/>
        <v>0</v>
      </c>
      <c r="EF70" s="1019">
        <f t="shared" si="26"/>
        <v>0</v>
      </c>
      <c r="EG70" s="1019">
        <f t="shared" si="26"/>
        <v>0</v>
      </c>
      <c r="EH70" s="1019">
        <f t="shared" si="26"/>
        <v>0</v>
      </c>
      <c r="EI70" s="1019">
        <f t="shared" si="26"/>
        <v>0</v>
      </c>
      <c r="EJ70" s="1019">
        <f>EJ68-EJ69</f>
        <v>0</v>
      </c>
      <c r="EK70" s="1019">
        <f>EK68-EK69</f>
        <v>0</v>
      </c>
      <c r="EL70" s="1019">
        <f>EL68-EL69</f>
        <v>0</v>
      </c>
    </row>
    <row r="71" spans="2:142" s="987" customFormat="1" ht="13.5" outlineLevel="1">
      <c r="C71" s="2284"/>
      <c r="D71" s="2285"/>
      <c r="E71" s="2285"/>
      <c r="F71" s="2286" t="s">
        <v>2017</v>
      </c>
      <c r="G71" s="2287">
        <v>45473</v>
      </c>
      <c r="H71" s="2288"/>
      <c r="K71" s="2289"/>
      <c r="L71" s="2289"/>
      <c r="M71" s="2289"/>
      <c r="N71" s="2289"/>
      <c r="O71" s="2289"/>
      <c r="P71" s="2289"/>
      <c r="Q71" s="2289"/>
      <c r="R71" s="2289"/>
      <c r="S71" s="2289"/>
      <c r="T71" s="2289"/>
      <c r="U71" s="2289"/>
      <c r="V71" s="2289"/>
      <c r="W71" s="2289"/>
      <c r="X71" s="2289"/>
      <c r="Y71" s="2289"/>
      <c r="Z71" s="2289"/>
      <c r="AA71" s="2289"/>
      <c r="AB71" s="2289"/>
      <c r="AC71" s="2289"/>
      <c r="AD71" s="2289"/>
      <c r="AE71" s="2289"/>
      <c r="AF71" s="2289"/>
      <c r="AG71" s="2289"/>
      <c r="AH71" s="2289"/>
      <c r="AI71" s="2289"/>
      <c r="AJ71" s="2289"/>
      <c r="AK71" s="2289"/>
      <c r="AL71" s="2289"/>
      <c r="AM71" s="2289"/>
      <c r="AN71" s="2289"/>
      <c r="AO71" s="2289"/>
      <c r="AP71" s="2289"/>
      <c r="AQ71" s="2289"/>
      <c r="AR71" s="2289"/>
      <c r="AS71" s="2289"/>
      <c r="AT71" s="2289"/>
      <c r="AU71" s="2289"/>
      <c r="AV71" s="2289"/>
      <c r="AW71" s="2289"/>
      <c r="AX71" s="2289"/>
      <c r="AY71" s="2289"/>
      <c r="AZ71" s="2289"/>
      <c r="BA71" s="2289"/>
      <c r="BB71" s="2289"/>
      <c r="BC71" s="2289"/>
      <c r="BD71" s="2289"/>
      <c r="BE71" s="2289"/>
      <c r="BF71" s="2289"/>
      <c r="BG71" s="2289"/>
      <c r="BH71" s="2289"/>
      <c r="BI71" s="2289"/>
      <c r="BJ71" s="2289"/>
      <c r="BK71" s="2289"/>
      <c r="BL71" s="2289"/>
      <c r="BM71" s="2289"/>
      <c r="BN71" s="2289"/>
      <c r="BO71" s="2289"/>
      <c r="BP71" s="2289"/>
      <c r="BQ71" s="2289"/>
      <c r="BR71" s="2289"/>
      <c r="BS71" s="2289"/>
      <c r="BT71" s="2289"/>
      <c r="BU71" s="2289"/>
      <c r="BV71" s="2289"/>
      <c r="BW71" s="2289"/>
      <c r="BX71" s="2289"/>
      <c r="BY71" s="2289"/>
      <c r="BZ71" s="2289"/>
      <c r="CA71" s="2289"/>
      <c r="CB71" s="2289"/>
      <c r="CC71" s="2289"/>
      <c r="CD71" s="2289"/>
      <c r="CE71" s="2289"/>
      <c r="CF71" s="2289"/>
      <c r="CG71" s="2289"/>
      <c r="CH71" s="2289"/>
      <c r="CI71" s="2289"/>
      <c r="CJ71" s="2289"/>
      <c r="CK71" s="2289"/>
      <c r="CL71" s="2289"/>
      <c r="CM71" s="2289"/>
      <c r="CN71" s="2289"/>
      <c r="CO71" s="2289"/>
      <c r="CP71" s="2289"/>
      <c r="CQ71" s="2289"/>
      <c r="CR71" s="2289"/>
      <c r="CS71" s="2289"/>
      <c r="CT71" s="2289"/>
      <c r="CU71" s="2289"/>
      <c r="CV71" s="2289"/>
      <c r="CW71" s="2289"/>
      <c r="CX71" s="2289"/>
      <c r="CY71" s="2289"/>
      <c r="CZ71" s="2289"/>
      <c r="DA71" s="2289"/>
      <c r="DB71" s="2289"/>
      <c r="DC71" s="2289"/>
      <c r="DD71" s="2289"/>
      <c r="DE71" s="2289"/>
      <c r="DF71" s="2289"/>
      <c r="DG71" s="2289"/>
      <c r="DH71" s="2289"/>
      <c r="DI71" s="2289"/>
      <c r="DJ71" s="2289"/>
      <c r="DK71" s="2289"/>
      <c r="DL71" s="2289"/>
      <c r="DM71" s="2289"/>
      <c r="DN71" s="2289"/>
      <c r="DO71" s="2289"/>
      <c r="DP71" s="2289"/>
      <c r="DQ71" s="2289"/>
      <c r="DR71" s="2289"/>
      <c r="DS71" s="2289"/>
      <c r="DT71" s="2289"/>
      <c r="DU71" s="2289"/>
      <c r="DV71" s="2289"/>
      <c r="DW71" s="2289"/>
      <c r="DX71" s="2289"/>
      <c r="DY71" s="2289"/>
      <c r="DZ71" s="2289"/>
      <c r="EA71" s="2289"/>
      <c r="EB71" s="2289"/>
      <c r="EC71" s="2289"/>
      <c r="ED71" s="2289"/>
      <c r="EE71" s="2289"/>
      <c r="EF71" s="2289"/>
      <c r="EG71" s="2289"/>
      <c r="EH71" s="2289"/>
      <c r="EI71" s="2289"/>
      <c r="EJ71" s="2289"/>
      <c r="EK71" s="2289"/>
      <c r="EL71" s="2289"/>
    </row>
    <row r="72" spans="2:142" ht="13.5" outlineLevel="1">
      <c r="C72" s="943"/>
      <c r="D72" s="943"/>
      <c r="E72" s="943"/>
      <c r="F72" s="2286" t="s">
        <v>2018</v>
      </c>
      <c r="G72" s="2287">
        <v>46203</v>
      </c>
      <c r="H72" s="943"/>
      <c r="AT72" s="2382">
        <f>SUM(AI70:AT70)</f>
        <v>16066.105073755927</v>
      </c>
      <c r="BF72" s="2382">
        <f>SUM(AU70:BF70)</f>
        <v>26263.132344813999</v>
      </c>
      <c r="BR72" s="2382">
        <f>SUM(BG70:BR70)</f>
        <v>27045.511989698483</v>
      </c>
      <c r="CD72" s="2382">
        <f>SUM(BS70:CD70)</f>
        <v>29955.894451917615</v>
      </c>
      <c r="CP72" s="2382">
        <f>SUM(CE70:CP70)</f>
        <v>31004.851927242067</v>
      </c>
      <c r="DB72" s="2382">
        <f>SUM(CQ70:DB70)</f>
        <v>32127.319489444788</v>
      </c>
      <c r="DN72" s="2382">
        <f>SUM(DC70:DN70)</f>
        <v>33075.406998191873</v>
      </c>
      <c r="DZ72" s="2382">
        <f>SUM(DO70:DZ70)</f>
        <v>34043.987948196227</v>
      </c>
    </row>
    <row r="73" spans="2:142" ht="13.5" outlineLevel="1">
      <c r="C73" s="2290" t="s">
        <v>2019</v>
      </c>
      <c r="D73" s="1020"/>
      <c r="E73" s="943"/>
      <c r="F73" s="943"/>
      <c r="G73" s="2291" t="s">
        <v>2020</v>
      </c>
      <c r="H73" s="1021"/>
      <c r="I73" s="833"/>
      <c r="J73" s="833"/>
      <c r="K73" s="833"/>
      <c r="L73" s="833"/>
      <c r="M73" s="833"/>
      <c r="N73" s="833"/>
      <c r="O73" s="833"/>
      <c r="P73" s="833"/>
      <c r="Q73" s="833"/>
      <c r="R73" s="833"/>
      <c r="S73" s="833"/>
      <c r="T73" s="833"/>
      <c r="U73" s="833"/>
      <c r="V73" s="833"/>
      <c r="W73" s="833"/>
      <c r="X73" s="833"/>
      <c r="Y73" s="833"/>
      <c r="Z73" s="833"/>
      <c r="AA73" s="833"/>
      <c r="AB73" s="833"/>
      <c r="AC73" s="833"/>
      <c r="AD73" s="833"/>
      <c r="AE73" s="833"/>
      <c r="AF73" s="833"/>
      <c r="AG73" s="833"/>
      <c r="AH73" s="833"/>
      <c r="AI73" s="833"/>
      <c r="AJ73" s="833"/>
      <c r="AK73" s="833"/>
      <c r="AL73" s="833"/>
      <c r="AM73" s="856"/>
      <c r="AN73" s="856"/>
      <c r="AO73" s="856"/>
      <c r="AP73" s="856"/>
      <c r="AQ73" s="856"/>
      <c r="AR73" s="856"/>
      <c r="AS73" s="856"/>
      <c r="AT73" s="856"/>
      <c r="AU73" s="2292">
        <f>(AT73+1)*(AU$7&gt;$G$71)*(AU$7&lt;=$G$72)</f>
        <v>1</v>
      </c>
      <c r="AV73" s="2292">
        <f t="shared" ref="AV73:BR73" si="27">(AU73+1)*(AV$7&gt;$G$71)*(AV$7&lt;=$G$72)</f>
        <v>2</v>
      </c>
      <c r="AW73" s="2292">
        <f t="shared" si="27"/>
        <v>3</v>
      </c>
      <c r="AX73" s="2292">
        <f t="shared" si="27"/>
        <v>4</v>
      </c>
      <c r="AY73" s="2292">
        <f t="shared" si="27"/>
        <v>5</v>
      </c>
      <c r="AZ73" s="2292">
        <f t="shared" si="27"/>
        <v>6</v>
      </c>
      <c r="BA73" s="2292">
        <f t="shared" si="27"/>
        <v>7</v>
      </c>
      <c r="BB73" s="2292">
        <f t="shared" si="27"/>
        <v>8</v>
      </c>
      <c r="BC73" s="2292">
        <f t="shared" si="27"/>
        <v>9</v>
      </c>
      <c r="BD73" s="2292">
        <f t="shared" si="27"/>
        <v>10</v>
      </c>
      <c r="BE73" s="2292">
        <f t="shared" si="27"/>
        <v>11</v>
      </c>
      <c r="BF73" s="2292">
        <f t="shared" si="27"/>
        <v>12</v>
      </c>
      <c r="BG73" s="2292">
        <f t="shared" si="27"/>
        <v>13</v>
      </c>
      <c r="BH73" s="2292">
        <f t="shared" si="27"/>
        <v>14</v>
      </c>
      <c r="BI73" s="2292">
        <f t="shared" si="27"/>
        <v>15</v>
      </c>
      <c r="BJ73" s="2292">
        <f t="shared" si="27"/>
        <v>16</v>
      </c>
      <c r="BK73" s="2292">
        <f t="shared" si="27"/>
        <v>17</v>
      </c>
      <c r="BL73" s="2292">
        <f t="shared" si="27"/>
        <v>18</v>
      </c>
      <c r="BM73" s="2292">
        <f t="shared" si="27"/>
        <v>19</v>
      </c>
      <c r="BN73" s="2292">
        <f t="shared" si="27"/>
        <v>20</v>
      </c>
      <c r="BO73" s="2292">
        <f t="shared" si="27"/>
        <v>21</v>
      </c>
      <c r="BP73" s="2292">
        <f t="shared" si="27"/>
        <v>22</v>
      </c>
      <c r="BQ73" s="2292">
        <f t="shared" si="27"/>
        <v>23</v>
      </c>
      <c r="BR73" s="2292">
        <f t="shared" si="27"/>
        <v>24</v>
      </c>
      <c r="EA73" s="835"/>
      <c r="EB73" s="835"/>
      <c r="EC73" s="835"/>
      <c r="ED73" s="835"/>
      <c r="EE73" s="835"/>
      <c r="EF73" s="835"/>
      <c r="EG73" s="835"/>
      <c r="EH73" s="835"/>
      <c r="EI73" s="835"/>
      <c r="EJ73" s="835"/>
      <c r="EK73" s="835"/>
      <c r="EL73" s="835"/>
    </row>
    <row r="74" spans="2:142" ht="13.5" outlineLevel="1">
      <c r="C74" s="943"/>
      <c r="D74" s="1020"/>
      <c r="E74" s="943"/>
      <c r="F74" s="943"/>
      <c r="G74" s="2291" t="s">
        <v>2021</v>
      </c>
      <c r="H74" s="1021"/>
      <c r="I74" s="833"/>
      <c r="J74" s="833"/>
      <c r="K74" s="833"/>
      <c r="L74" s="833"/>
      <c r="M74" s="833"/>
      <c r="N74" s="833"/>
      <c r="O74" s="833"/>
      <c r="P74" s="833"/>
      <c r="Q74" s="833"/>
      <c r="R74" s="833"/>
      <c r="S74" s="833"/>
      <c r="T74" s="833"/>
      <c r="U74" s="833"/>
      <c r="V74" s="833"/>
      <c r="W74" s="833"/>
      <c r="X74" s="833"/>
      <c r="Y74" s="833"/>
      <c r="Z74" s="833"/>
      <c r="AA74" s="833"/>
      <c r="AB74" s="833"/>
      <c r="AC74" s="833"/>
      <c r="AD74" s="833"/>
      <c r="AE74" s="833"/>
      <c r="AF74" s="833"/>
      <c r="AG74" s="833"/>
      <c r="AH74" s="833"/>
      <c r="AI74" s="833"/>
      <c r="AJ74" s="833"/>
      <c r="AK74" s="833"/>
      <c r="AL74" s="833"/>
      <c r="AM74" s="856"/>
      <c r="AN74" s="856"/>
      <c r="AO74" s="856"/>
      <c r="AP74" s="856"/>
      <c r="AQ74" s="856"/>
      <c r="AR74" s="856"/>
      <c r="AS74" s="856"/>
      <c r="AT74" s="856"/>
      <c r="AU74" s="2292">
        <f t="shared" ref="AU74:BR74" si="28">ROUNDUP(AU73/3,)</f>
        <v>1</v>
      </c>
      <c r="AV74" s="2292">
        <f t="shared" si="28"/>
        <v>1</v>
      </c>
      <c r="AW74" s="2292">
        <f t="shared" si="28"/>
        <v>1</v>
      </c>
      <c r="AX74" s="2292">
        <f t="shared" si="28"/>
        <v>2</v>
      </c>
      <c r="AY74" s="2292">
        <f t="shared" si="28"/>
        <v>2</v>
      </c>
      <c r="AZ74" s="2292">
        <f t="shared" si="28"/>
        <v>2</v>
      </c>
      <c r="BA74" s="2292">
        <f t="shared" si="28"/>
        <v>3</v>
      </c>
      <c r="BB74" s="2292">
        <f t="shared" si="28"/>
        <v>3</v>
      </c>
      <c r="BC74" s="2292">
        <f t="shared" si="28"/>
        <v>3</v>
      </c>
      <c r="BD74" s="2292">
        <f t="shared" si="28"/>
        <v>4</v>
      </c>
      <c r="BE74" s="2292">
        <f t="shared" si="28"/>
        <v>4</v>
      </c>
      <c r="BF74" s="2292">
        <f t="shared" si="28"/>
        <v>4</v>
      </c>
      <c r="BG74" s="2292">
        <f t="shared" si="28"/>
        <v>5</v>
      </c>
      <c r="BH74" s="2292">
        <f t="shared" si="28"/>
        <v>5</v>
      </c>
      <c r="BI74" s="2292">
        <f t="shared" si="28"/>
        <v>5</v>
      </c>
      <c r="BJ74" s="2292">
        <f t="shared" si="28"/>
        <v>6</v>
      </c>
      <c r="BK74" s="2292">
        <f t="shared" si="28"/>
        <v>6</v>
      </c>
      <c r="BL74" s="2292">
        <f t="shared" si="28"/>
        <v>6</v>
      </c>
      <c r="BM74" s="2292">
        <f t="shared" si="28"/>
        <v>7</v>
      </c>
      <c r="BN74" s="2292">
        <f t="shared" si="28"/>
        <v>7</v>
      </c>
      <c r="BO74" s="2292">
        <f t="shared" si="28"/>
        <v>7</v>
      </c>
      <c r="BP74" s="2292">
        <f t="shared" si="28"/>
        <v>8</v>
      </c>
      <c r="BQ74" s="2292">
        <f t="shared" si="28"/>
        <v>8</v>
      </c>
      <c r="BR74" s="2292">
        <f t="shared" si="28"/>
        <v>8</v>
      </c>
      <c r="EA74" s="835"/>
      <c r="EB74" s="835"/>
      <c r="EC74" s="835"/>
      <c r="ED74" s="835"/>
      <c r="EE74" s="835"/>
      <c r="EF74" s="835"/>
      <c r="EG74" s="835"/>
      <c r="EH74" s="835"/>
      <c r="EI74" s="835"/>
      <c r="EJ74" s="835"/>
      <c r="EK74" s="835"/>
      <c r="EL74" s="835"/>
    </row>
    <row r="75" spans="2:142" ht="13.5" outlineLevel="1">
      <c r="C75" s="943"/>
      <c r="D75" s="1020"/>
      <c r="E75" s="943"/>
      <c r="F75" s="943"/>
      <c r="G75" s="943"/>
      <c r="H75" s="1021"/>
      <c r="I75" s="833"/>
      <c r="J75" s="833"/>
      <c r="K75" s="833"/>
      <c r="L75" s="833"/>
      <c r="M75" s="833"/>
      <c r="N75" s="833"/>
      <c r="O75" s="833"/>
      <c r="P75" s="833"/>
      <c r="Q75" s="833"/>
      <c r="R75" s="833"/>
      <c r="S75" s="833"/>
      <c r="T75" s="833"/>
      <c r="U75" s="833"/>
      <c r="V75" s="833"/>
      <c r="W75" s="833"/>
      <c r="X75" s="833"/>
      <c r="Y75" s="833"/>
      <c r="Z75" s="833"/>
      <c r="AA75" s="833"/>
      <c r="AB75" s="833"/>
      <c r="AC75" s="833"/>
      <c r="AD75" s="833"/>
      <c r="AE75" s="833"/>
      <c r="AF75" s="833"/>
      <c r="AG75" s="833"/>
      <c r="AH75" s="833"/>
      <c r="AI75" s="833"/>
      <c r="AJ75" s="833"/>
      <c r="AK75" s="833"/>
      <c r="AL75" s="833"/>
      <c r="AM75" s="833"/>
      <c r="AN75" s="833"/>
      <c r="AO75" s="833"/>
      <c r="AP75" s="833"/>
      <c r="AQ75" s="833"/>
      <c r="AR75" s="833"/>
      <c r="AS75" s="833"/>
      <c r="AT75" s="833"/>
      <c r="AU75" s="943"/>
      <c r="AV75" s="943"/>
      <c r="AW75" s="943"/>
      <c r="AX75" s="943"/>
      <c r="AY75" s="943"/>
      <c r="AZ75" s="943"/>
      <c r="BA75" s="943"/>
      <c r="BB75" s="943"/>
      <c r="BC75" s="943"/>
      <c r="BD75" s="943"/>
      <c r="BE75" s="943"/>
      <c r="BF75" s="943"/>
      <c r="BG75" s="943"/>
      <c r="BH75" s="943"/>
      <c r="BI75" s="943"/>
      <c r="BJ75" s="943"/>
      <c r="BK75" s="943"/>
      <c r="BL75" s="943"/>
      <c r="BM75" s="943"/>
      <c r="BN75" s="943"/>
      <c r="BO75" s="943"/>
      <c r="BP75" s="943"/>
      <c r="BQ75" s="943"/>
      <c r="BR75" s="943"/>
      <c r="EA75" s="835"/>
      <c r="EB75" s="835"/>
      <c r="EC75" s="835"/>
      <c r="ED75" s="835"/>
      <c r="EE75" s="835"/>
      <c r="EF75" s="835"/>
      <c r="EG75" s="835"/>
      <c r="EH75" s="835"/>
      <c r="EI75" s="835"/>
      <c r="EJ75" s="835"/>
      <c r="EK75" s="835"/>
      <c r="EL75" s="835"/>
    </row>
    <row r="76" spans="2:142" ht="13.5" outlineLevel="1">
      <c r="C76" s="943"/>
      <c r="D76" s="943"/>
      <c r="E76" s="1022" t="s">
        <v>1988</v>
      </c>
      <c r="F76" s="1022"/>
      <c r="G76" s="1023"/>
      <c r="H76" s="1024">
        <f>SUM(J76:BR76)</f>
        <v>65775.845613208265</v>
      </c>
      <c r="I76" s="833"/>
      <c r="J76" s="833"/>
      <c r="K76" s="833"/>
      <c r="L76" s="833"/>
      <c r="M76" s="833"/>
      <c r="N76" s="833"/>
      <c r="O76" s="833"/>
      <c r="P76" s="833"/>
      <c r="Q76" s="833"/>
      <c r="R76" s="833"/>
      <c r="S76" s="833"/>
      <c r="T76" s="833"/>
      <c r="U76" s="833"/>
      <c r="V76" s="833"/>
      <c r="W76" s="833"/>
      <c r="X76" s="833"/>
      <c r="Y76" s="833"/>
      <c r="Z76" s="833"/>
      <c r="AA76" s="833"/>
      <c r="AB76" s="833"/>
      <c r="AC76" s="833"/>
      <c r="AD76" s="833"/>
      <c r="AE76" s="833"/>
      <c r="AF76" s="833"/>
      <c r="AG76" s="833"/>
      <c r="AH76" s="833"/>
      <c r="AI76" s="833"/>
      <c r="AJ76" s="833"/>
      <c r="AK76" s="833"/>
      <c r="AL76" s="833"/>
      <c r="AM76" s="858"/>
      <c r="AN76" s="858"/>
      <c r="AO76" s="858"/>
      <c r="AP76" s="858"/>
      <c r="AQ76" s="858"/>
      <c r="AR76" s="858"/>
      <c r="AS76" s="858"/>
      <c r="AT76" s="858"/>
      <c r="AU76" s="1024">
        <f>SUM(AU11:AU14)</f>
        <v>2937.6106194995</v>
      </c>
      <c r="AV76" s="1024">
        <f t="shared" ref="AV76:BR76" si="29">SUM(AV11:AV14)</f>
        <v>2937.6106194995</v>
      </c>
      <c r="AW76" s="1024">
        <f t="shared" si="29"/>
        <v>2937.6106194995</v>
      </c>
      <c r="AX76" s="1024">
        <f t="shared" si="29"/>
        <v>2940.1326585995002</v>
      </c>
      <c r="AY76" s="1024">
        <f t="shared" si="29"/>
        <v>2940.1326585995002</v>
      </c>
      <c r="AZ76" s="1024">
        <f t="shared" si="29"/>
        <v>1646.0563756675001</v>
      </c>
      <c r="BA76" s="1024">
        <f t="shared" si="29"/>
        <v>2994.4838624970357</v>
      </c>
      <c r="BB76" s="1024">
        <f t="shared" si="29"/>
        <v>3019.5188791121609</v>
      </c>
      <c r="BC76" s="1024">
        <f t="shared" si="29"/>
        <v>2354.3636696851131</v>
      </c>
      <c r="BD76" s="1024">
        <f t="shared" si="29"/>
        <v>3019.5188791121609</v>
      </c>
      <c r="BE76" s="1024">
        <f t="shared" si="29"/>
        <v>3019.5188791121609</v>
      </c>
      <c r="BF76" s="1024">
        <f t="shared" si="29"/>
        <v>1689.2084602580651</v>
      </c>
      <c r="BG76" s="1024">
        <f t="shared" si="29"/>
        <v>3019.5188791121609</v>
      </c>
      <c r="BH76" s="1024">
        <f t="shared" si="29"/>
        <v>3019.5188791121609</v>
      </c>
      <c r="BI76" s="1024">
        <f t="shared" si="29"/>
        <v>3019.5188791121609</v>
      </c>
      <c r="BJ76" s="1024">
        <f t="shared" si="29"/>
        <v>3022.116579385161</v>
      </c>
      <c r="BK76" s="1024">
        <f t="shared" si="29"/>
        <v>3022.116579385161</v>
      </c>
      <c r="BL76" s="1024">
        <f t="shared" si="29"/>
        <v>1691.8061605310654</v>
      </c>
      <c r="BM76" s="1024">
        <f t="shared" si="29"/>
        <v>3077.9896169918284</v>
      </c>
      <c r="BN76" s="1024">
        <f t="shared" si="29"/>
        <v>3103.7665048619765</v>
      </c>
      <c r="BO76" s="1024">
        <f t="shared" si="29"/>
        <v>2419.9869495709718</v>
      </c>
      <c r="BP76" s="1024">
        <f t="shared" si="29"/>
        <v>3103.7665048619765</v>
      </c>
      <c r="BQ76" s="1024">
        <f t="shared" si="29"/>
        <v>3103.7665048619765</v>
      </c>
      <c r="BR76" s="1024">
        <f t="shared" si="29"/>
        <v>1736.2073942799661</v>
      </c>
      <c r="EA76" s="835"/>
      <c r="EB76" s="835"/>
      <c r="EC76" s="835"/>
      <c r="ED76" s="835"/>
      <c r="EE76" s="835"/>
      <c r="EF76" s="835"/>
      <c r="EG76" s="835"/>
      <c r="EH76" s="835"/>
      <c r="EI76" s="835"/>
      <c r="EJ76" s="835"/>
      <c r="EK76" s="835"/>
      <c r="EL76" s="835"/>
    </row>
    <row r="77" spans="2:142" ht="13.5" outlineLevel="1">
      <c r="C77" s="943"/>
      <c r="D77" s="943"/>
      <c r="E77" s="1022"/>
      <c r="F77" s="1022"/>
      <c r="G77" s="1023"/>
      <c r="H77" s="1024"/>
      <c r="I77" s="833"/>
      <c r="J77" s="833"/>
      <c r="K77" s="833"/>
      <c r="L77" s="833"/>
      <c r="M77" s="833"/>
      <c r="N77" s="833"/>
      <c r="O77" s="833"/>
      <c r="P77" s="833"/>
      <c r="Q77" s="833"/>
      <c r="R77" s="833"/>
      <c r="S77" s="833"/>
      <c r="T77" s="833"/>
      <c r="U77" s="833"/>
      <c r="V77" s="833"/>
      <c r="W77" s="833"/>
      <c r="X77" s="833"/>
      <c r="Y77" s="833"/>
      <c r="Z77" s="833"/>
      <c r="AA77" s="833"/>
      <c r="AB77" s="833"/>
      <c r="AC77" s="833"/>
      <c r="AD77" s="833"/>
      <c r="AE77" s="833"/>
      <c r="AF77" s="833"/>
      <c r="AG77" s="833"/>
      <c r="AH77" s="833"/>
      <c r="AI77" s="833"/>
      <c r="AJ77" s="833"/>
      <c r="AK77" s="833"/>
      <c r="AL77" s="833"/>
      <c r="AM77" s="858"/>
      <c r="AN77" s="858"/>
      <c r="AO77" s="858"/>
      <c r="AP77" s="858"/>
      <c r="AQ77" s="858"/>
      <c r="AR77" s="858"/>
      <c r="AS77" s="858"/>
      <c r="AT77" s="858"/>
      <c r="AU77" s="1024"/>
      <c r="AV77" s="1024"/>
      <c r="AW77" s="1024"/>
      <c r="AX77" s="1024"/>
      <c r="AY77" s="1024"/>
      <c r="AZ77" s="1024"/>
      <c r="BA77" s="1024"/>
      <c r="BB77" s="1024"/>
      <c r="BC77" s="1024"/>
      <c r="BD77" s="1024"/>
      <c r="BE77" s="1024"/>
      <c r="BF77" s="1024"/>
      <c r="BG77" s="1024"/>
      <c r="BH77" s="1024"/>
      <c r="BI77" s="1024"/>
      <c r="BJ77" s="1024"/>
      <c r="BK77" s="1024"/>
      <c r="BL77" s="1024"/>
      <c r="BM77" s="1024"/>
      <c r="BN77" s="1024"/>
      <c r="BO77" s="1024"/>
      <c r="BP77" s="1024"/>
      <c r="BQ77" s="1024"/>
      <c r="BR77" s="1024"/>
      <c r="EA77" s="835"/>
      <c r="EB77" s="835"/>
      <c r="EC77" s="835"/>
      <c r="ED77" s="835"/>
      <c r="EE77" s="835"/>
      <c r="EF77" s="835"/>
      <c r="EG77" s="835"/>
      <c r="EH77" s="835"/>
      <c r="EI77" s="835"/>
      <c r="EJ77" s="835"/>
      <c r="EK77" s="835"/>
      <c r="EL77" s="835"/>
    </row>
    <row r="78" spans="2:142" ht="13.5" outlineLevel="1">
      <c r="C78" s="943"/>
      <c r="D78" s="943"/>
      <c r="E78" s="1022" t="s">
        <v>1990</v>
      </c>
      <c r="F78" s="2293" t="s">
        <v>2037</v>
      </c>
      <c r="G78" s="2294"/>
      <c r="H78" s="2295">
        <f>SUM(J78:BR78)</f>
        <v>0</v>
      </c>
      <c r="I78" s="833"/>
      <c r="J78" s="833"/>
      <c r="K78" s="833"/>
      <c r="L78" s="833"/>
      <c r="M78" s="833"/>
      <c r="N78" s="833"/>
      <c r="O78" s="833"/>
      <c r="P78" s="833"/>
      <c r="Q78" s="833"/>
      <c r="R78" s="833"/>
      <c r="S78" s="833"/>
      <c r="T78" s="833"/>
      <c r="U78" s="833"/>
      <c r="V78" s="833"/>
      <c r="W78" s="833"/>
      <c r="X78" s="833"/>
      <c r="Y78" s="833"/>
      <c r="Z78" s="833"/>
      <c r="AA78" s="833"/>
      <c r="AB78" s="833"/>
      <c r="AC78" s="833"/>
      <c r="AD78" s="833"/>
      <c r="AE78" s="833"/>
      <c r="AF78" s="833"/>
      <c r="AG78" s="833"/>
      <c r="AH78" s="833"/>
      <c r="AI78" s="833"/>
      <c r="AJ78" s="833"/>
      <c r="AK78" s="833"/>
      <c r="AL78" s="833"/>
      <c r="AM78" s="858"/>
      <c r="AN78" s="858"/>
      <c r="AO78" s="858"/>
      <c r="AP78" s="858"/>
      <c r="AQ78" s="858"/>
      <c r="AR78" s="858"/>
      <c r="AS78" s="858"/>
      <c r="AT78" s="858"/>
      <c r="AU78" s="2295"/>
      <c r="AV78" s="2295"/>
      <c r="AW78" s="2295"/>
      <c r="AX78" s="2295"/>
      <c r="AY78" s="2295"/>
      <c r="AZ78" s="2295"/>
      <c r="BA78" s="2295"/>
      <c r="BB78" s="2295"/>
      <c r="BC78" s="2295"/>
      <c r="BD78" s="2295"/>
      <c r="BE78" s="2295"/>
      <c r="BF78" s="2295"/>
      <c r="BG78" s="2295"/>
      <c r="BH78" s="2295"/>
      <c r="BI78" s="2295"/>
      <c r="BJ78" s="2295"/>
      <c r="BK78" s="2295"/>
      <c r="BL78" s="2295"/>
      <c r="BM78" s="2295"/>
      <c r="BN78" s="2295"/>
      <c r="BO78" s="2295"/>
      <c r="BP78" s="2295"/>
      <c r="BQ78" s="2295"/>
      <c r="BR78" s="2295"/>
      <c r="EA78" s="835"/>
      <c r="EB78" s="835"/>
      <c r="EC78" s="835"/>
      <c r="ED78" s="835"/>
      <c r="EE78" s="835"/>
      <c r="EF78" s="835"/>
      <c r="EG78" s="835"/>
      <c r="EH78" s="835"/>
      <c r="EI78" s="835"/>
      <c r="EJ78" s="835"/>
      <c r="EK78" s="835"/>
      <c r="EL78" s="835"/>
    </row>
    <row r="79" spans="2:142" ht="13.5" outlineLevel="1">
      <c r="C79" s="943"/>
      <c r="D79" s="943"/>
      <c r="E79" s="1022"/>
      <c r="F79" s="2293" t="s">
        <v>2038</v>
      </c>
      <c r="G79" s="2294"/>
      <c r="H79" s="2295">
        <f>SUM(J79:BR79)</f>
        <v>0</v>
      </c>
      <c r="I79" s="833"/>
      <c r="J79" s="833"/>
      <c r="K79" s="833"/>
      <c r="L79" s="833"/>
      <c r="M79" s="833"/>
      <c r="N79" s="833"/>
      <c r="O79" s="833"/>
      <c r="P79" s="833"/>
      <c r="Q79" s="833"/>
      <c r="R79" s="833"/>
      <c r="S79" s="833"/>
      <c r="T79" s="833"/>
      <c r="U79" s="833"/>
      <c r="V79" s="833"/>
      <c r="W79" s="833"/>
      <c r="X79" s="833"/>
      <c r="Y79" s="833"/>
      <c r="Z79" s="833"/>
      <c r="AA79" s="833"/>
      <c r="AB79" s="833"/>
      <c r="AC79" s="833"/>
      <c r="AD79" s="833"/>
      <c r="AE79" s="833"/>
      <c r="AF79" s="833"/>
      <c r="AG79" s="833"/>
      <c r="AH79" s="833"/>
      <c r="AI79" s="833"/>
      <c r="AJ79" s="833"/>
      <c r="AK79" s="833"/>
      <c r="AL79" s="833"/>
      <c r="AM79" s="858"/>
      <c r="AN79" s="858"/>
      <c r="AO79" s="858"/>
      <c r="AP79" s="858"/>
      <c r="AQ79" s="858"/>
      <c r="AR79" s="858"/>
      <c r="AS79" s="858"/>
      <c r="AT79" s="858"/>
      <c r="AU79" s="2295"/>
      <c r="AV79" s="2295"/>
      <c r="AW79" s="2295"/>
      <c r="AX79" s="2295"/>
      <c r="AY79" s="2295"/>
      <c r="AZ79" s="2295"/>
      <c r="BA79" s="2295"/>
      <c r="BB79" s="2295"/>
      <c r="BC79" s="2295"/>
      <c r="BD79" s="2295"/>
      <c r="BE79" s="2295"/>
      <c r="BF79" s="2295"/>
      <c r="BG79" s="2295"/>
      <c r="BH79" s="2295"/>
      <c r="BI79" s="2295"/>
      <c r="BJ79" s="2295"/>
      <c r="BK79" s="2295"/>
      <c r="BL79" s="2295"/>
      <c r="BM79" s="2295"/>
      <c r="BN79" s="2295"/>
      <c r="BO79" s="2295"/>
      <c r="BP79" s="2295"/>
      <c r="BQ79" s="2295"/>
      <c r="BR79" s="2295"/>
      <c r="EA79" s="835"/>
      <c r="EB79" s="835"/>
      <c r="EC79" s="835"/>
      <c r="ED79" s="835"/>
      <c r="EE79" s="835"/>
      <c r="EF79" s="835"/>
      <c r="EG79" s="835"/>
      <c r="EH79" s="835"/>
      <c r="EI79" s="835"/>
      <c r="EJ79" s="835"/>
      <c r="EK79" s="835"/>
      <c r="EL79" s="835"/>
    </row>
    <row r="80" spans="2:142" ht="13.5" outlineLevel="1">
      <c r="C80" s="943"/>
      <c r="D80" s="943"/>
      <c r="E80" s="1022"/>
      <c r="F80" s="1022" t="s">
        <v>2039</v>
      </c>
      <c r="G80" s="1023"/>
      <c r="H80" s="1024">
        <f>SUM(J80:BR80)</f>
        <v>12806.855615671297</v>
      </c>
      <c r="I80" s="833"/>
      <c r="J80" s="833"/>
      <c r="K80" s="833"/>
      <c r="L80" s="833"/>
      <c r="M80" s="833"/>
      <c r="N80" s="833"/>
      <c r="O80" s="833"/>
      <c r="P80" s="833"/>
      <c r="Q80" s="833"/>
      <c r="R80" s="833"/>
      <c r="S80" s="833"/>
      <c r="T80" s="833"/>
      <c r="U80" s="833"/>
      <c r="V80" s="833"/>
      <c r="W80" s="833"/>
      <c r="X80" s="833"/>
      <c r="Y80" s="833"/>
      <c r="Z80" s="833"/>
      <c r="AA80" s="833"/>
      <c r="AB80" s="833"/>
      <c r="AC80" s="833"/>
      <c r="AD80" s="833"/>
      <c r="AE80" s="833"/>
      <c r="AF80" s="833"/>
      <c r="AG80" s="833"/>
      <c r="AH80" s="833"/>
      <c r="AI80" s="833"/>
      <c r="AJ80" s="833"/>
      <c r="AK80" s="833"/>
      <c r="AL80" s="833"/>
      <c r="AM80" s="833"/>
      <c r="AN80" s="833"/>
      <c r="AO80" s="833"/>
      <c r="AP80" s="833"/>
      <c r="AQ80" s="833"/>
      <c r="AR80" s="833"/>
      <c r="AS80" s="833"/>
      <c r="AT80" s="833"/>
      <c r="AU80" s="1024">
        <f t="shared" ref="AU80:BR80" si="30">SUM(AU25:AU36)</f>
        <v>522.00599412054578</v>
      </c>
      <c r="AV80" s="1024">
        <f t="shared" si="30"/>
        <v>522.00599412054578</v>
      </c>
      <c r="AW80" s="1024">
        <f t="shared" si="30"/>
        <v>521.93281892532116</v>
      </c>
      <c r="AX80" s="1024">
        <f t="shared" si="30"/>
        <v>522.00599412054578</v>
      </c>
      <c r="AY80" s="1024">
        <f t="shared" si="30"/>
        <v>531.35400642082709</v>
      </c>
      <c r="AZ80" s="1024">
        <f t="shared" si="30"/>
        <v>531.42718161605171</v>
      </c>
      <c r="BA80" s="1024">
        <f t="shared" si="30"/>
        <v>532.01581524462415</v>
      </c>
      <c r="BB80" s="1024">
        <f t="shared" si="30"/>
        <v>531.79628965895017</v>
      </c>
      <c r="BC80" s="1024">
        <f t="shared" si="30"/>
        <v>532.01581524462415</v>
      </c>
      <c r="BD80" s="1024">
        <f t="shared" si="30"/>
        <v>531.94264004939953</v>
      </c>
      <c r="BE80" s="1024">
        <f t="shared" si="30"/>
        <v>532.01581524462415</v>
      </c>
      <c r="BF80" s="1024">
        <f t="shared" si="30"/>
        <v>531.94264004939953</v>
      </c>
      <c r="BG80" s="1024">
        <f t="shared" si="30"/>
        <v>532.01581524462415</v>
      </c>
      <c r="BH80" s="1024">
        <f t="shared" si="30"/>
        <v>532.01581524462415</v>
      </c>
      <c r="BI80" s="1024">
        <f t="shared" si="30"/>
        <v>531.94264004939953</v>
      </c>
      <c r="BJ80" s="1024">
        <f t="shared" si="30"/>
        <v>532.01581524462415</v>
      </c>
      <c r="BK80" s="1024">
        <f t="shared" si="30"/>
        <v>541.57751145657016</v>
      </c>
      <c r="BL80" s="1024">
        <f t="shared" si="30"/>
        <v>541.65068665179479</v>
      </c>
      <c r="BM80" s="1024">
        <f t="shared" si="30"/>
        <v>542.25703382338747</v>
      </c>
      <c r="BN80" s="1024">
        <f t="shared" si="30"/>
        <v>542.0375082377135</v>
      </c>
      <c r="BO80" s="1024">
        <f t="shared" si="30"/>
        <v>542.25703382338747</v>
      </c>
      <c r="BP80" s="1024">
        <f t="shared" si="30"/>
        <v>542.18385862816285</v>
      </c>
      <c r="BQ80" s="1024">
        <f t="shared" si="30"/>
        <v>542.25703382338747</v>
      </c>
      <c r="BR80" s="1024">
        <f t="shared" si="30"/>
        <v>542.18385862816285</v>
      </c>
      <c r="EA80" s="835"/>
      <c r="EB80" s="835"/>
      <c r="EC80" s="835"/>
      <c r="ED80" s="835"/>
      <c r="EE80" s="835"/>
      <c r="EF80" s="835"/>
      <c r="EG80" s="835"/>
      <c r="EH80" s="835"/>
      <c r="EI80" s="835"/>
      <c r="EJ80" s="835"/>
      <c r="EK80" s="835"/>
      <c r="EL80" s="835"/>
    </row>
    <row r="81" spans="3:142" ht="13.5" outlineLevel="1">
      <c r="C81" s="943"/>
      <c r="D81" s="943"/>
      <c r="E81" s="1022"/>
      <c r="F81" s="1022" t="s">
        <v>2040</v>
      </c>
      <c r="G81" s="1023"/>
      <c r="H81" s="1024">
        <f>SUM(J81:BR81)</f>
        <v>12806.855615671297</v>
      </c>
      <c r="I81" s="833"/>
      <c r="J81" s="833"/>
      <c r="K81" s="833"/>
      <c r="L81" s="833"/>
      <c r="M81" s="833"/>
      <c r="N81" s="833"/>
      <c r="O81" s="833"/>
      <c r="P81" s="833"/>
      <c r="Q81" s="833"/>
      <c r="R81" s="833"/>
      <c r="S81" s="833"/>
      <c r="T81" s="833"/>
      <c r="U81" s="833"/>
      <c r="V81" s="833"/>
      <c r="W81" s="833"/>
      <c r="X81" s="833"/>
      <c r="Y81" s="833"/>
      <c r="Z81" s="833"/>
      <c r="AA81" s="833"/>
      <c r="AB81" s="833"/>
      <c r="AC81" s="833"/>
      <c r="AD81" s="833"/>
      <c r="AE81" s="833"/>
      <c r="AF81" s="833"/>
      <c r="AG81" s="833"/>
      <c r="AH81" s="833"/>
      <c r="AI81" s="833"/>
      <c r="AJ81" s="833"/>
      <c r="AK81" s="833"/>
      <c r="AL81" s="833"/>
      <c r="AM81" s="833"/>
      <c r="AN81" s="833"/>
      <c r="AO81" s="833"/>
      <c r="AP81" s="833"/>
      <c r="AQ81" s="833"/>
      <c r="AR81" s="833"/>
      <c r="AS81" s="833"/>
      <c r="AT81" s="833"/>
      <c r="AU81" s="2296">
        <f t="shared" ref="AU81:BR81" si="31">SUM(AU78:AU80)</f>
        <v>522.00599412054578</v>
      </c>
      <c r="AV81" s="2296">
        <f t="shared" si="31"/>
        <v>522.00599412054578</v>
      </c>
      <c r="AW81" s="2296">
        <f t="shared" si="31"/>
        <v>521.93281892532116</v>
      </c>
      <c r="AX81" s="2296">
        <f t="shared" si="31"/>
        <v>522.00599412054578</v>
      </c>
      <c r="AY81" s="2296">
        <f t="shared" si="31"/>
        <v>531.35400642082709</v>
      </c>
      <c r="AZ81" s="2296">
        <f t="shared" si="31"/>
        <v>531.42718161605171</v>
      </c>
      <c r="BA81" s="2296">
        <f t="shared" si="31"/>
        <v>532.01581524462415</v>
      </c>
      <c r="BB81" s="2296">
        <f t="shared" si="31"/>
        <v>531.79628965895017</v>
      </c>
      <c r="BC81" s="2296">
        <f t="shared" si="31"/>
        <v>532.01581524462415</v>
      </c>
      <c r="BD81" s="2296">
        <f t="shared" si="31"/>
        <v>531.94264004939953</v>
      </c>
      <c r="BE81" s="2296">
        <f t="shared" si="31"/>
        <v>532.01581524462415</v>
      </c>
      <c r="BF81" s="2296">
        <f t="shared" si="31"/>
        <v>531.94264004939953</v>
      </c>
      <c r="BG81" s="2296">
        <f t="shared" si="31"/>
        <v>532.01581524462415</v>
      </c>
      <c r="BH81" s="2296">
        <f t="shared" si="31"/>
        <v>532.01581524462415</v>
      </c>
      <c r="BI81" s="2296">
        <f t="shared" si="31"/>
        <v>531.94264004939953</v>
      </c>
      <c r="BJ81" s="2296">
        <f t="shared" si="31"/>
        <v>532.01581524462415</v>
      </c>
      <c r="BK81" s="2296">
        <f t="shared" si="31"/>
        <v>541.57751145657016</v>
      </c>
      <c r="BL81" s="2296">
        <f t="shared" si="31"/>
        <v>541.65068665179479</v>
      </c>
      <c r="BM81" s="2296">
        <f t="shared" si="31"/>
        <v>542.25703382338747</v>
      </c>
      <c r="BN81" s="2296">
        <f t="shared" si="31"/>
        <v>542.0375082377135</v>
      </c>
      <c r="BO81" s="2296">
        <f t="shared" si="31"/>
        <v>542.25703382338747</v>
      </c>
      <c r="BP81" s="2296">
        <f t="shared" si="31"/>
        <v>542.18385862816285</v>
      </c>
      <c r="BQ81" s="2296">
        <f t="shared" si="31"/>
        <v>542.25703382338747</v>
      </c>
      <c r="BR81" s="2296">
        <f t="shared" si="31"/>
        <v>542.18385862816285</v>
      </c>
      <c r="EA81" s="835"/>
      <c r="EB81" s="835"/>
      <c r="EC81" s="835"/>
      <c r="ED81" s="835"/>
      <c r="EE81" s="835"/>
      <c r="EF81" s="835"/>
      <c r="EG81" s="835"/>
      <c r="EH81" s="835"/>
      <c r="EI81" s="835"/>
      <c r="EJ81" s="835"/>
      <c r="EK81" s="835"/>
      <c r="EL81" s="835"/>
    </row>
    <row r="82" spans="3:142" ht="13.5" outlineLevel="1">
      <c r="C82" s="943"/>
      <c r="D82" s="943"/>
      <c r="E82" s="1022"/>
      <c r="F82" s="1022"/>
      <c r="G82" s="1023"/>
      <c r="H82" s="943"/>
      <c r="I82" s="833"/>
      <c r="J82" s="833"/>
      <c r="K82" s="833"/>
      <c r="L82" s="833"/>
      <c r="M82" s="833"/>
      <c r="N82" s="833"/>
      <c r="O82" s="833"/>
      <c r="P82" s="833"/>
      <c r="Q82" s="833"/>
      <c r="R82" s="833"/>
      <c r="S82" s="833"/>
      <c r="T82" s="833"/>
      <c r="U82" s="833"/>
      <c r="V82" s="833"/>
      <c r="W82" s="833"/>
      <c r="X82" s="833"/>
      <c r="Y82" s="833"/>
      <c r="Z82" s="833"/>
      <c r="AA82" s="833"/>
      <c r="AB82" s="833"/>
      <c r="AC82" s="833"/>
      <c r="AD82" s="833"/>
      <c r="AE82" s="833"/>
      <c r="AF82" s="833"/>
      <c r="AG82" s="833"/>
      <c r="AH82" s="833"/>
      <c r="AI82" s="833"/>
      <c r="AJ82" s="833"/>
      <c r="AK82" s="833"/>
      <c r="AL82" s="833"/>
      <c r="AM82" s="858"/>
      <c r="AN82" s="858"/>
      <c r="AO82" s="858"/>
      <c r="AP82" s="858"/>
      <c r="AQ82" s="858"/>
      <c r="AR82" s="858"/>
      <c r="AS82" s="858"/>
      <c r="AT82" s="858"/>
      <c r="AU82" s="1024"/>
      <c r="AV82" s="1024"/>
      <c r="AW82" s="1024"/>
      <c r="AX82" s="1024"/>
      <c r="AY82" s="1024"/>
      <c r="AZ82" s="1024"/>
      <c r="BA82" s="1024"/>
      <c r="BB82" s="1024"/>
      <c r="BC82" s="1024"/>
      <c r="BD82" s="1024"/>
      <c r="BE82" s="1024"/>
      <c r="BF82" s="1024"/>
      <c r="BG82" s="1024"/>
      <c r="BH82" s="1024"/>
      <c r="BI82" s="1024"/>
      <c r="BJ82" s="1024"/>
      <c r="BK82" s="1024"/>
      <c r="BL82" s="1024"/>
      <c r="BM82" s="1024"/>
      <c r="BN82" s="1024"/>
      <c r="BO82" s="1024"/>
      <c r="BP82" s="1024"/>
      <c r="BQ82" s="1024"/>
      <c r="BR82" s="1024"/>
      <c r="EA82" s="835"/>
      <c r="EB82" s="835"/>
      <c r="EC82" s="835"/>
      <c r="ED82" s="835"/>
      <c r="EE82" s="835"/>
      <c r="EF82" s="835"/>
      <c r="EG82" s="835"/>
      <c r="EH82" s="835"/>
      <c r="EI82" s="835"/>
      <c r="EJ82" s="835"/>
      <c r="EK82" s="835"/>
      <c r="EL82" s="835"/>
    </row>
    <row r="83" spans="3:142" ht="13.5" outlineLevel="1">
      <c r="C83" s="943"/>
      <c r="D83" s="943"/>
      <c r="E83" s="1022" t="s">
        <v>2041</v>
      </c>
      <c r="F83" s="1022"/>
      <c r="G83" s="1023"/>
      <c r="H83" s="1024">
        <f>SUM(J83:BR83)</f>
        <v>52968.98999753697</v>
      </c>
      <c r="I83" s="833"/>
      <c r="J83" s="833"/>
      <c r="K83" s="833"/>
      <c r="L83" s="833"/>
      <c r="M83" s="833"/>
      <c r="N83" s="833"/>
      <c r="O83" s="833"/>
      <c r="P83" s="833"/>
      <c r="Q83" s="833"/>
      <c r="R83" s="833"/>
      <c r="S83" s="833"/>
      <c r="T83" s="833"/>
      <c r="U83" s="833"/>
      <c r="V83" s="833"/>
      <c r="W83" s="833"/>
      <c r="X83" s="833"/>
      <c r="Y83" s="833"/>
      <c r="Z83" s="833"/>
      <c r="AA83" s="833"/>
      <c r="AB83" s="833"/>
      <c r="AC83" s="833"/>
      <c r="AD83" s="833"/>
      <c r="AE83" s="833"/>
      <c r="AF83" s="833"/>
      <c r="AG83" s="833"/>
      <c r="AH83" s="833"/>
      <c r="AI83" s="833"/>
      <c r="AJ83" s="833"/>
      <c r="AK83" s="833"/>
      <c r="AL83" s="833"/>
      <c r="AM83" s="858"/>
      <c r="AN83" s="858"/>
      <c r="AO83" s="858"/>
      <c r="AP83" s="858"/>
      <c r="AQ83" s="858"/>
      <c r="AR83" s="858"/>
      <c r="AS83" s="858"/>
      <c r="AT83" s="858"/>
      <c r="AU83" s="1024">
        <f t="shared" ref="AU83:BR83" si="32">AU76-AU81</f>
        <v>2415.6046253789541</v>
      </c>
      <c r="AV83" s="1024">
        <f t="shared" si="32"/>
        <v>2415.6046253789541</v>
      </c>
      <c r="AW83" s="1024">
        <f t="shared" si="32"/>
        <v>2415.6778005741789</v>
      </c>
      <c r="AX83" s="1024">
        <f t="shared" si="32"/>
        <v>2418.1266644789544</v>
      </c>
      <c r="AY83" s="1024">
        <f t="shared" si="32"/>
        <v>2408.7786521786729</v>
      </c>
      <c r="AZ83" s="1024">
        <f t="shared" si="32"/>
        <v>1114.6291940514484</v>
      </c>
      <c r="BA83" s="1024">
        <f t="shared" si="32"/>
        <v>2462.4680472524115</v>
      </c>
      <c r="BB83" s="1024">
        <f t="shared" si="32"/>
        <v>2487.7225894532107</v>
      </c>
      <c r="BC83" s="1024">
        <f t="shared" si="32"/>
        <v>1822.3478544404888</v>
      </c>
      <c r="BD83" s="1024">
        <f t="shared" si="32"/>
        <v>2487.5762390627615</v>
      </c>
      <c r="BE83" s="1024">
        <f t="shared" si="32"/>
        <v>2487.5030638675366</v>
      </c>
      <c r="BF83" s="1024">
        <f t="shared" si="32"/>
        <v>1157.2658202086654</v>
      </c>
      <c r="BG83" s="1024">
        <f t="shared" si="32"/>
        <v>2487.5030638675366</v>
      </c>
      <c r="BH83" s="1024">
        <f t="shared" si="32"/>
        <v>2487.5030638675366</v>
      </c>
      <c r="BI83" s="1024">
        <f t="shared" si="32"/>
        <v>2487.5762390627615</v>
      </c>
      <c r="BJ83" s="1024">
        <f t="shared" si="32"/>
        <v>2490.1007641405367</v>
      </c>
      <c r="BK83" s="1024">
        <f t="shared" si="32"/>
        <v>2480.5390679285911</v>
      </c>
      <c r="BL83" s="1024">
        <f t="shared" si="32"/>
        <v>1150.1554738792706</v>
      </c>
      <c r="BM83" s="1024">
        <f t="shared" si="32"/>
        <v>2535.7325831684411</v>
      </c>
      <c r="BN83" s="1024">
        <f t="shared" si="32"/>
        <v>2561.7289966242629</v>
      </c>
      <c r="BO83" s="1024">
        <f t="shared" si="32"/>
        <v>1877.7299157475843</v>
      </c>
      <c r="BP83" s="1024">
        <f t="shared" si="32"/>
        <v>2561.5826462338136</v>
      </c>
      <c r="BQ83" s="1024">
        <f t="shared" si="32"/>
        <v>2561.5094710385893</v>
      </c>
      <c r="BR83" s="1024">
        <f t="shared" si="32"/>
        <v>1194.0235356518033</v>
      </c>
      <c r="EA83" s="835"/>
      <c r="EB83" s="835"/>
      <c r="EC83" s="835"/>
      <c r="ED83" s="835"/>
      <c r="EE83" s="835"/>
      <c r="EF83" s="835"/>
      <c r="EG83" s="835"/>
      <c r="EH83" s="835"/>
      <c r="EI83" s="835"/>
      <c r="EJ83" s="835"/>
      <c r="EK83" s="835"/>
      <c r="EL83" s="835"/>
    </row>
    <row r="84" spans="3:142" ht="13.5" outlineLevel="1">
      <c r="C84" s="943"/>
      <c r="D84" s="943"/>
      <c r="E84" s="1022"/>
      <c r="F84" s="1022"/>
      <c r="G84" s="1023"/>
      <c r="H84" s="1024"/>
      <c r="I84" s="833"/>
      <c r="J84" s="833"/>
      <c r="K84" s="833"/>
      <c r="L84" s="833"/>
      <c r="M84" s="833"/>
      <c r="N84" s="833"/>
      <c r="O84" s="833"/>
      <c r="P84" s="833"/>
      <c r="Q84" s="833"/>
      <c r="R84" s="833"/>
      <c r="S84" s="833"/>
      <c r="T84" s="833"/>
      <c r="U84" s="833"/>
      <c r="V84" s="833"/>
      <c r="W84" s="833"/>
      <c r="X84" s="833"/>
      <c r="Y84" s="833"/>
      <c r="Z84" s="833"/>
      <c r="AA84" s="833"/>
      <c r="AB84" s="833"/>
      <c r="AC84" s="833"/>
      <c r="AD84" s="833"/>
      <c r="AE84" s="833"/>
      <c r="AF84" s="833"/>
      <c r="AG84" s="833"/>
      <c r="AH84" s="833"/>
      <c r="AI84" s="833"/>
      <c r="AJ84" s="833"/>
      <c r="AK84" s="833"/>
      <c r="AL84" s="833"/>
      <c r="AM84" s="858"/>
      <c r="AN84" s="858"/>
      <c r="AO84" s="858"/>
      <c r="AP84" s="858"/>
      <c r="AQ84" s="858"/>
      <c r="AR84" s="858"/>
      <c r="AS84" s="858"/>
      <c r="AT84" s="858"/>
      <c r="AU84" s="1024"/>
      <c r="AV84" s="1024"/>
      <c r="AW84" s="1024"/>
      <c r="AX84" s="1024"/>
      <c r="AY84" s="1024"/>
      <c r="AZ84" s="1024"/>
      <c r="BA84" s="1024"/>
      <c r="BB84" s="1024"/>
      <c r="BC84" s="1024"/>
      <c r="BD84" s="1024"/>
      <c r="BE84" s="1024"/>
      <c r="BF84" s="1024"/>
      <c r="BG84" s="1024"/>
      <c r="BH84" s="1024"/>
      <c r="BI84" s="1024"/>
      <c r="BJ84" s="1024"/>
      <c r="BK84" s="1024"/>
      <c r="BL84" s="1024"/>
      <c r="BM84" s="1024"/>
      <c r="BN84" s="1024"/>
      <c r="BO84" s="1024"/>
      <c r="BP84" s="1024"/>
      <c r="BQ84" s="1024"/>
      <c r="BR84" s="1024"/>
      <c r="EA84" s="835"/>
      <c r="EB84" s="835"/>
      <c r="EC84" s="835"/>
      <c r="ED84" s="835"/>
      <c r="EE84" s="835"/>
      <c r="EF84" s="835"/>
      <c r="EG84" s="835"/>
      <c r="EH84" s="835"/>
      <c r="EI84" s="835"/>
      <c r="EJ84" s="835"/>
      <c r="EK84" s="835"/>
      <c r="EL84" s="835"/>
    </row>
    <row r="85" spans="3:142" ht="13.5" outlineLevel="1">
      <c r="C85" s="943"/>
      <c r="D85" s="943"/>
      <c r="E85" s="1022" t="s">
        <v>2042</v>
      </c>
      <c r="F85" s="1022" t="s">
        <v>2043</v>
      </c>
      <c r="G85" s="1023"/>
      <c r="H85" s="1024">
        <f>SUM(J85:BR85)</f>
        <v>38880</v>
      </c>
      <c r="I85" s="833"/>
      <c r="J85" s="833"/>
      <c r="K85" s="833"/>
      <c r="L85" s="833"/>
      <c r="M85" s="833"/>
      <c r="N85" s="833"/>
      <c r="O85" s="833"/>
      <c r="P85" s="833"/>
      <c r="Q85" s="833"/>
      <c r="R85" s="833"/>
      <c r="S85" s="833"/>
      <c r="T85" s="833"/>
      <c r="U85" s="833"/>
      <c r="V85" s="833"/>
      <c r="W85" s="833"/>
      <c r="X85" s="833"/>
      <c r="Y85" s="833"/>
      <c r="Z85" s="833"/>
      <c r="AA85" s="833"/>
      <c r="AB85" s="833"/>
      <c r="AC85" s="833"/>
      <c r="AD85" s="833"/>
      <c r="AE85" s="833"/>
      <c r="AF85" s="833"/>
      <c r="AG85" s="833"/>
      <c r="AH85" s="833"/>
      <c r="AI85" s="833"/>
      <c r="AJ85" s="833"/>
      <c r="AK85" s="833"/>
      <c r="AL85" s="833"/>
      <c r="AM85" s="858"/>
      <c r="AN85" s="858"/>
      <c r="AO85" s="858"/>
      <c r="AP85" s="858"/>
      <c r="AQ85" s="858"/>
      <c r="AR85" s="858"/>
      <c r="AS85" s="858"/>
      <c r="AT85" s="858"/>
      <c r="AU85" s="1024">
        <f t="shared" ref="AU85:BR86" si="33">AU53</f>
        <v>1620</v>
      </c>
      <c r="AV85" s="1024">
        <f t="shared" si="33"/>
        <v>1620</v>
      </c>
      <c r="AW85" s="1024">
        <f t="shared" si="33"/>
        <v>1620</v>
      </c>
      <c r="AX85" s="1024">
        <f t="shared" si="33"/>
        <v>1620</v>
      </c>
      <c r="AY85" s="1024">
        <f t="shared" si="33"/>
        <v>1620</v>
      </c>
      <c r="AZ85" s="1024">
        <f t="shared" si="33"/>
        <v>1620</v>
      </c>
      <c r="BA85" s="1024">
        <f t="shared" si="33"/>
        <v>1620</v>
      </c>
      <c r="BB85" s="1024">
        <f t="shared" si="33"/>
        <v>1620</v>
      </c>
      <c r="BC85" s="1024">
        <f t="shared" si="33"/>
        <v>1620</v>
      </c>
      <c r="BD85" s="1024">
        <f t="shared" si="33"/>
        <v>1620</v>
      </c>
      <c r="BE85" s="1024">
        <f t="shared" si="33"/>
        <v>1620</v>
      </c>
      <c r="BF85" s="1024">
        <f t="shared" si="33"/>
        <v>1620</v>
      </c>
      <c r="BG85" s="1024">
        <f t="shared" si="33"/>
        <v>1620</v>
      </c>
      <c r="BH85" s="1024">
        <f t="shared" si="33"/>
        <v>1620</v>
      </c>
      <c r="BI85" s="1024">
        <f t="shared" si="33"/>
        <v>1620</v>
      </c>
      <c r="BJ85" s="1024">
        <f t="shared" si="33"/>
        <v>1620</v>
      </c>
      <c r="BK85" s="1024">
        <f t="shared" si="33"/>
        <v>1620</v>
      </c>
      <c r="BL85" s="1024">
        <f t="shared" si="33"/>
        <v>1620</v>
      </c>
      <c r="BM85" s="1024">
        <f t="shared" si="33"/>
        <v>1620</v>
      </c>
      <c r="BN85" s="1024">
        <f t="shared" si="33"/>
        <v>1620</v>
      </c>
      <c r="BO85" s="1024">
        <f t="shared" si="33"/>
        <v>1620</v>
      </c>
      <c r="BP85" s="1024">
        <f t="shared" si="33"/>
        <v>1620</v>
      </c>
      <c r="BQ85" s="1024">
        <f t="shared" si="33"/>
        <v>1620</v>
      </c>
      <c r="BR85" s="1024">
        <f t="shared" si="33"/>
        <v>1620</v>
      </c>
      <c r="EA85" s="835"/>
      <c r="EB85" s="835"/>
      <c r="EC85" s="835"/>
      <c r="ED85" s="835"/>
      <c r="EE85" s="835"/>
      <c r="EF85" s="835"/>
      <c r="EG85" s="835"/>
      <c r="EH85" s="835"/>
      <c r="EI85" s="835"/>
      <c r="EJ85" s="835"/>
      <c r="EK85" s="835"/>
      <c r="EL85" s="835"/>
    </row>
    <row r="86" spans="3:142" ht="13.5" outlineLevel="1">
      <c r="C86" s="943"/>
      <c r="D86" s="943"/>
      <c r="E86" s="1022"/>
      <c r="F86" s="1022" t="s">
        <v>2044</v>
      </c>
      <c r="G86" s="1023"/>
      <c r="H86" s="1024">
        <f>SUM(J86:BR86)</f>
        <v>7279.9999999999982</v>
      </c>
      <c r="I86" s="833"/>
      <c r="J86" s="833"/>
      <c r="K86" s="833"/>
      <c r="L86" s="833"/>
      <c r="M86" s="833"/>
      <c r="N86" s="833"/>
      <c r="O86" s="833"/>
      <c r="P86" s="833"/>
      <c r="Q86" s="833"/>
      <c r="R86" s="833"/>
      <c r="S86" s="833"/>
      <c r="T86" s="833"/>
      <c r="U86" s="833"/>
      <c r="V86" s="833"/>
      <c r="W86" s="833"/>
      <c r="X86" s="833"/>
      <c r="Y86" s="833"/>
      <c r="Z86" s="833"/>
      <c r="AA86" s="833"/>
      <c r="AB86" s="833"/>
      <c r="AC86" s="833"/>
      <c r="AD86" s="833"/>
      <c r="AE86" s="833"/>
      <c r="AF86" s="833"/>
      <c r="AG86" s="833"/>
      <c r="AH86" s="833"/>
      <c r="AI86" s="833"/>
      <c r="AJ86" s="833"/>
      <c r="AK86" s="833"/>
      <c r="AL86" s="833"/>
      <c r="AM86" s="858"/>
      <c r="AN86" s="858"/>
      <c r="AO86" s="858"/>
      <c r="AP86" s="858"/>
      <c r="AQ86" s="858"/>
      <c r="AR86" s="858"/>
      <c r="AS86" s="858"/>
      <c r="AT86" s="858"/>
      <c r="AU86" s="1024">
        <f t="shared" si="33"/>
        <v>303.33333333333337</v>
      </c>
      <c r="AV86" s="1024">
        <f t="shared" si="33"/>
        <v>303.33333333333337</v>
      </c>
      <c r="AW86" s="1024">
        <f t="shared" si="33"/>
        <v>303.33333333333337</v>
      </c>
      <c r="AX86" s="1024">
        <f t="shared" si="33"/>
        <v>303.33333333333337</v>
      </c>
      <c r="AY86" s="1024">
        <f t="shared" si="33"/>
        <v>303.33333333333337</v>
      </c>
      <c r="AZ86" s="1024">
        <f t="shared" si="33"/>
        <v>303.33333333333337</v>
      </c>
      <c r="BA86" s="1024">
        <f t="shared" si="33"/>
        <v>303.33333333333337</v>
      </c>
      <c r="BB86" s="1024">
        <f t="shared" si="33"/>
        <v>303.33333333333337</v>
      </c>
      <c r="BC86" s="1024">
        <f t="shared" si="33"/>
        <v>303.33333333333337</v>
      </c>
      <c r="BD86" s="1024">
        <f t="shared" si="33"/>
        <v>303.33333333333337</v>
      </c>
      <c r="BE86" s="1024">
        <f t="shared" si="33"/>
        <v>303.33333333333337</v>
      </c>
      <c r="BF86" s="1024">
        <f t="shared" si="33"/>
        <v>303.33333333333337</v>
      </c>
      <c r="BG86" s="1024">
        <f t="shared" si="33"/>
        <v>303.33333333333337</v>
      </c>
      <c r="BH86" s="1024">
        <f t="shared" si="33"/>
        <v>303.33333333333337</v>
      </c>
      <c r="BI86" s="1024">
        <f t="shared" si="33"/>
        <v>303.33333333333337</v>
      </c>
      <c r="BJ86" s="1024">
        <f t="shared" si="33"/>
        <v>303.33333333333337</v>
      </c>
      <c r="BK86" s="1024">
        <f t="shared" si="33"/>
        <v>303.33333333333337</v>
      </c>
      <c r="BL86" s="1024">
        <f t="shared" si="33"/>
        <v>303.33333333333337</v>
      </c>
      <c r="BM86" s="1024">
        <f t="shared" si="33"/>
        <v>303.33333333333337</v>
      </c>
      <c r="BN86" s="1024">
        <f t="shared" si="33"/>
        <v>303.33333333333337</v>
      </c>
      <c r="BO86" s="1024">
        <f t="shared" si="33"/>
        <v>303.33333333333337</v>
      </c>
      <c r="BP86" s="1024">
        <f t="shared" si="33"/>
        <v>303.33333333333337</v>
      </c>
      <c r="BQ86" s="1024">
        <f t="shared" si="33"/>
        <v>303.33333333333337</v>
      </c>
      <c r="BR86" s="1024">
        <f t="shared" si="33"/>
        <v>303.33333333333337</v>
      </c>
      <c r="EA86" s="835"/>
      <c r="EB86" s="835"/>
      <c r="EC86" s="835"/>
      <c r="ED86" s="835"/>
      <c r="EE86" s="835"/>
      <c r="EF86" s="835"/>
      <c r="EG86" s="835"/>
      <c r="EH86" s="835"/>
      <c r="EI86" s="835"/>
      <c r="EJ86" s="835"/>
      <c r="EK86" s="835"/>
      <c r="EL86" s="835"/>
    </row>
    <row r="87" spans="3:142" ht="13.5" outlineLevel="1">
      <c r="C87" s="943"/>
      <c r="D87" s="943"/>
      <c r="E87" s="1022"/>
      <c r="F87" s="1022"/>
      <c r="G87" s="1023"/>
      <c r="H87" s="943"/>
      <c r="I87" s="833"/>
      <c r="J87" s="833"/>
      <c r="K87" s="833"/>
      <c r="L87" s="833"/>
      <c r="M87" s="833"/>
      <c r="N87" s="833"/>
      <c r="O87" s="833"/>
      <c r="P87" s="833"/>
      <c r="Q87" s="833"/>
      <c r="R87" s="833"/>
      <c r="S87" s="833"/>
      <c r="T87" s="833"/>
      <c r="U87" s="833"/>
      <c r="V87" s="833"/>
      <c r="W87" s="833"/>
      <c r="X87" s="833"/>
      <c r="Y87" s="833"/>
      <c r="Z87" s="833"/>
      <c r="AA87" s="833"/>
      <c r="AB87" s="833"/>
      <c r="AC87" s="833"/>
      <c r="AD87" s="833"/>
      <c r="AE87" s="833"/>
      <c r="AF87" s="833"/>
      <c r="AG87" s="833"/>
      <c r="AH87" s="833"/>
      <c r="AI87" s="833"/>
      <c r="AJ87" s="833"/>
      <c r="AK87" s="833"/>
      <c r="AL87" s="833"/>
      <c r="AM87" s="833"/>
      <c r="AN87" s="833"/>
      <c r="AO87" s="833"/>
      <c r="AP87" s="833"/>
      <c r="AQ87" s="833"/>
      <c r="AR87" s="833"/>
      <c r="AS87" s="833"/>
      <c r="AT87" s="833"/>
      <c r="AU87" s="943"/>
      <c r="AV87" s="943"/>
      <c r="AW87" s="943"/>
      <c r="AX87" s="943"/>
      <c r="AY87" s="943"/>
      <c r="AZ87" s="943"/>
      <c r="BA87" s="943"/>
      <c r="BB87" s="943"/>
      <c r="BC87" s="943"/>
      <c r="BD87" s="943"/>
      <c r="BE87" s="943"/>
      <c r="BF87" s="943"/>
      <c r="BG87" s="943"/>
      <c r="BH87" s="943"/>
      <c r="BI87" s="943"/>
      <c r="BJ87" s="943"/>
      <c r="BK87" s="943"/>
      <c r="BL87" s="943"/>
      <c r="BM87" s="943"/>
      <c r="BN87" s="943"/>
      <c r="BO87" s="943"/>
      <c r="BP87" s="943"/>
      <c r="BQ87" s="943"/>
      <c r="BR87" s="943"/>
      <c r="EA87" s="835"/>
      <c r="EB87" s="835"/>
      <c r="EC87" s="835"/>
      <c r="ED87" s="835"/>
      <c r="EE87" s="835"/>
      <c r="EF87" s="835"/>
      <c r="EG87" s="835"/>
      <c r="EH87" s="835"/>
      <c r="EI87" s="835"/>
      <c r="EJ87" s="835"/>
      <c r="EK87" s="835"/>
      <c r="EL87" s="835"/>
    </row>
    <row r="88" spans="3:142" ht="13.5" outlineLevel="1">
      <c r="C88" s="943"/>
      <c r="D88" s="943"/>
      <c r="E88" s="1022" t="s">
        <v>2045</v>
      </c>
      <c r="F88" s="1022" t="s">
        <v>2046</v>
      </c>
      <c r="G88" s="1023"/>
      <c r="H88" s="522">
        <f>IFERROR(H83/H85,)</f>
        <v>1.3623711419119591</v>
      </c>
      <c r="I88" s="833"/>
      <c r="J88" s="2297"/>
      <c r="K88" s="2297"/>
      <c r="L88" s="2297"/>
      <c r="M88" s="2297"/>
      <c r="N88" s="2297"/>
      <c r="O88" s="2297"/>
      <c r="P88" s="2297"/>
      <c r="Q88" s="2297"/>
      <c r="R88" s="2297"/>
      <c r="S88" s="2297"/>
      <c r="T88" s="2297"/>
      <c r="U88" s="2297"/>
      <c r="V88" s="2297"/>
      <c r="W88" s="2297"/>
      <c r="X88" s="2297"/>
      <c r="Y88" s="2297"/>
      <c r="Z88" s="2297"/>
      <c r="AA88" s="2297"/>
      <c r="AB88" s="2297"/>
      <c r="AC88" s="2297"/>
      <c r="AD88" s="2297"/>
      <c r="AE88" s="2297"/>
      <c r="AF88" s="2297"/>
      <c r="AG88" s="2297"/>
      <c r="AH88" s="2297"/>
      <c r="AI88" s="2297"/>
      <c r="AJ88" s="2297"/>
      <c r="AK88" s="2297"/>
      <c r="AL88" s="2297"/>
      <c r="AM88" s="2298"/>
      <c r="AN88" s="2298"/>
      <c r="AO88" s="2298"/>
      <c r="AP88" s="2298"/>
      <c r="AQ88" s="2298"/>
      <c r="AR88" s="2298"/>
      <c r="AS88" s="2298"/>
      <c r="AT88" s="2298"/>
      <c r="AU88" s="522">
        <f t="shared" ref="AU88:BR88" si="34">IFERROR(AU83/AU85,)</f>
        <v>1.4911139662833051</v>
      </c>
      <c r="AV88" s="522">
        <f t="shared" si="34"/>
        <v>1.4911139662833051</v>
      </c>
      <c r="AW88" s="522">
        <f t="shared" si="34"/>
        <v>1.4911591361569005</v>
      </c>
      <c r="AX88" s="522">
        <f t="shared" si="34"/>
        <v>1.4926707805425645</v>
      </c>
      <c r="AY88" s="522">
        <f t="shared" si="34"/>
        <v>1.4869004025794277</v>
      </c>
      <c r="AZ88" s="522">
        <f t="shared" si="34"/>
        <v>0.6880427123774373</v>
      </c>
      <c r="BA88" s="522">
        <f t="shared" si="34"/>
        <v>1.5200420044767973</v>
      </c>
      <c r="BB88" s="522">
        <f t="shared" si="34"/>
        <v>1.5356312280575375</v>
      </c>
      <c r="BC88" s="522">
        <f t="shared" si="34"/>
        <v>1.124906082987956</v>
      </c>
      <c r="BD88" s="522">
        <f t="shared" si="34"/>
        <v>1.5355408883103465</v>
      </c>
      <c r="BE88" s="522">
        <f t="shared" si="34"/>
        <v>1.535495718436751</v>
      </c>
      <c r="BF88" s="522">
        <f t="shared" si="34"/>
        <v>0.7143616174127565</v>
      </c>
      <c r="BG88" s="522">
        <f t="shared" si="34"/>
        <v>1.535495718436751</v>
      </c>
      <c r="BH88" s="522">
        <f t="shared" si="34"/>
        <v>1.535495718436751</v>
      </c>
      <c r="BI88" s="522">
        <f t="shared" si="34"/>
        <v>1.5355408883103465</v>
      </c>
      <c r="BJ88" s="522">
        <f t="shared" si="34"/>
        <v>1.5370992371237882</v>
      </c>
      <c r="BK88" s="522">
        <f t="shared" si="34"/>
        <v>1.5311969555114759</v>
      </c>
      <c r="BL88" s="522">
        <f t="shared" si="34"/>
        <v>0.70997251474029055</v>
      </c>
      <c r="BM88" s="522">
        <f t="shared" si="34"/>
        <v>1.565267026647186</v>
      </c>
      <c r="BN88" s="522">
        <f t="shared" si="34"/>
        <v>1.581314195447076</v>
      </c>
      <c r="BO88" s="522">
        <f t="shared" si="34"/>
        <v>1.1590925405849286</v>
      </c>
      <c r="BP88" s="522">
        <f t="shared" si="34"/>
        <v>1.581223855699885</v>
      </c>
      <c r="BQ88" s="522">
        <f t="shared" si="34"/>
        <v>1.5811786858262897</v>
      </c>
      <c r="BR88" s="522">
        <f t="shared" si="34"/>
        <v>0.73705156521716253</v>
      </c>
      <c r="EA88" s="835"/>
      <c r="EB88" s="835"/>
      <c r="EC88" s="835"/>
      <c r="ED88" s="835"/>
      <c r="EE88" s="835"/>
      <c r="EF88" s="835"/>
      <c r="EG88" s="835"/>
      <c r="EH88" s="835"/>
      <c r="EI88" s="835"/>
      <c r="EJ88" s="835"/>
      <c r="EK88" s="835"/>
      <c r="EL88" s="835"/>
    </row>
    <row r="89" spans="3:142" ht="13.5" outlineLevel="1">
      <c r="C89" s="943"/>
      <c r="D89" s="943"/>
      <c r="E89" s="1022"/>
      <c r="F89" s="1022" t="s">
        <v>2047</v>
      </c>
      <c r="G89" s="1023"/>
      <c r="H89" s="522">
        <f>IFERROR(H83/(H85+H86),)</f>
        <v>1.147508448820125</v>
      </c>
      <c r="I89" s="833"/>
      <c r="J89" s="2297"/>
      <c r="K89" s="2297"/>
      <c r="L89" s="2297"/>
      <c r="M89" s="2297"/>
      <c r="N89" s="2297"/>
      <c r="O89" s="2297"/>
      <c r="P89" s="2297"/>
      <c r="Q89" s="2297"/>
      <c r="R89" s="2297"/>
      <c r="S89" s="2297"/>
      <c r="T89" s="2297"/>
      <c r="U89" s="2297"/>
      <c r="V89" s="2297"/>
      <c r="W89" s="2297"/>
      <c r="X89" s="2297"/>
      <c r="Y89" s="2297"/>
      <c r="Z89" s="2297"/>
      <c r="AA89" s="2297"/>
      <c r="AB89" s="2297"/>
      <c r="AC89" s="2297"/>
      <c r="AD89" s="2297"/>
      <c r="AE89" s="2297"/>
      <c r="AF89" s="2297"/>
      <c r="AG89" s="2297"/>
      <c r="AH89" s="2297"/>
      <c r="AI89" s="2297"/>
      <c r="AJ89" s="2297"/>
      <c r="AK89" s="2297"/>
      <c r="AL89" s="2297"/>
      <c r="AM89" s="2298"/>
      <c r="AN89" s="2298"/>
      <c r="AO89" s="2298"/>
      <c r="AP89" s="2298"/>
      <c r="AQ89" s="2298"/>
      <c r="AR89" s="2298"/>
      <c r="AS89" s="2298"/>
      <c r="AT89" s="2298"/>
      <c r="AU89" s="522">
        <f t="shared" ref="AU89:BR89" si="35">IFERROR(AU83/(AU85+AU86),)</f>
        <v>1.2559469456043089</v>
      </c>
      <c r="AV89" s="522">
        <f t="shared" si="35"/>
        <v>1.2559469456043089</v>
      </c>
      <c r="AW89" s="522">
        <f t="shared" si="35"/>
        <v>1.2559849916330219</v>
      </c>
      <c r="AX89" s="522">
        <f t="shared" si="35"/>
        <v>1.257258231098243</v>
      </c>
      <c r="AY89" s="522">
        <f t="shared" si="35"/>
        <v>1.2523979127445439</v>
      </c>
      <c r="AZ89" s="522">
        <f t="shared" si="35"/>
        <v>0.5795299102520528</v>
      </c>
      <c r="BA89" s="522">
        <f t="shared" si="35"/>
        <v>1.2803126762144252</v>
      </c>
      <c r="BB89" s="522">
        <f t="shared" si="35"/>
        <v>1.2934432874106814</v>
      </c>
      <c r="BC89" s="522">
        <f t="shared" si="35"/>
        <v>0.94749455170216046</v>
      </c>
      <c r="BD89" s="522">
        <f t="shared" si="35"/>
        <v>1.2933671953532555</v>
      </c>
      <c r="BE89" s="522">
        <f t="shared" si="35"/>
        <v>1.2933291493245422</v>
      </c>
      <c r="BF89" s="522">
        <f t="shared" si="35"/>
        <v>0.6016980001084915</v>
      </c>
      <c r="BG89" s="522">
        <f t="shared" si="35"/>
        <v>1.2933291493245422</v>
      </c>
      <c r="BH89" s="522">
        <f t="shared" si="35"/>
        <v>1.2933291493245422</v>
      </c>
      <c r="BI89" s="522">
        <f t="shared" si="35"/>
        <v>1.2933671953532555</v>
      </c>
      <c r="BJ89" s="522">
        <f t="shared" si="35"/>
        <v>1.2946797733832947</v>
      </c>
      <c r="BK89" s="522">
        <f t="shared" si="35"/>
        <v>1.2897083542089727</v>
      </c>
      <c r="BL89" s="522">
        <f t="shared" si="35"/>
        <v>0.59800111293549596</v>
      </c>
      <c r="BM89" s="522">
        <f t="shared" si="35"/>
        <v>1.3184051558934702</v>
      </c>
      <c r="BN89" s="522">
        <f t="shared" si="35"/>
        <v>1.3319214887127881</v>
      </c>
      <c r="BO89" s="522">
        <f t="shared" si="35"/>
        <v>0.976289384270841</v>
      </c>
      <c r="BP89" s="522">
        <f t="shared" si="35"/>
        <v>1.3318453966553623</v>
      </c>
      <c r="BQ89" s="522">
        <f t="shared" si="35"/>
        <v>1.3318073506266495</v>
      </c>
      <c r="BR89" s="522">
        <f t="shared" si="35"/>
        <v>0.62080946394374514</v>
      </c>
      <c r="EA89" s="835"/>
      <c r="EB89" s="835"/>
      <c r="EC89" s="835"/>
      <c r="ED89" s="835"/>
      <c r="EE89" s="835"/>
      <c r="EF89" s="835"/>
      <c r="EG89" s="835"/>
      <c r="EH89" s="835"/>
      <c r="EI89" s="835"/>
      <c r="EJ89" s="835"/>
      <c r="EK89" s="835"/>
      <c r="EL89" s="835"/>
    </row>
    <row r="90" spans="3:142" ht="13.5" outlineLevel="1">
      <c r="C90" s="943"/>
      <c r="D90" s="943"/>
      <c r="E90" s="1022"/>
      <c r="F90" s="1022"/>
      <c r="G90" s="1023"/>
      <c r="H90" s="1025"/>
      <c r="I90" s="833"/>
      <c r="J90" s="2297"/>
      <c r="K90" s="2297"/>
      <c r="L90" s="2297"/>
      <c r="M90" s="2297"/>
      <c r="N90" s="2297"/>
      <c r="O90" s="2297"/>
      <c r="P90" s="2297"/>
      <c r="Q90" s="2297"/>
      <c r="R90" s="2297"/>
      <c r="S90" s="2297"/>
      <c r="T90" s="2297"/>
      <c r="U90" s="2297"/>
      <c r="V90" s="2297"/>
      <c r="W90" s="2297"/>
      <c r="X90" s="2297"/>
      <c r="Y90" s="2297"/>
      <c r="Z90" s="2297"/>
      <c r="AA90" s="2297"/>
      <c r="AB90" s="2297"/>
      <c r="AC90" s="2297"/>
      <c r="AD90" s="2297"/>
      <c r="AE90" s="2297"/>
      <c r="AF90" s="2297"/>
      <c r="AG90" s="2297"/>
      <c r="AH90" s="2297"/>
      <c r="AI90" s="2297"/>
      <c r="AJ90" s="2297"/>
      <c r="AK90" s="2297"/>
      <c r="AL90" s="2297"/>
      <c r="AM90" s="2298"/>
      <c r="AN90" s="2298"/>
      <c r="AO90" s="2298"/>
      <c r="AP90" s="2298"/>
      <c r="AQ90" s="2298"/>
      <c r="AR90" s="2298"/>
      <c r="AS90" s="2298"/>
      <c r="AT90" s="2298"/>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EA90" s="835"/>
      <c r="EB90" s="835"/>
      <c r="EC90" s="835"/>
      <c r="ED90" s="835"/>
      <c r="EE90" s="835"/>
      <c r="EF90" s="835"/>
      <c r="EG90" s="835"/>
      <c r="EH90" s="835"/>
      <c r="EI90" s="835"/>
      <c r="EJ90" s="835"/>
      <c r="EK90" s="835"/>
      <c r="EL90" s="835"/>
    </row>
    <row r="91" spans="3:142" outlineLevel="1">
      <c r="I91" s="2299" t="s">
        <v>2048</v>
      </c>
    </row>
    <row r="92" spans="3:142" ht="13.5" outlineLevel="1">
      <c r="C92" s="2300" t="s">
        <v>2049</v>
      </c>
      <c r="D92" s="1020"/>
      <c r="E92" s="943"/>
      <c r="F92" s="2301"/>
      <c r="G92" s="2302" t="s">
        <v>2021</v>
      </c>
      <c r="H92" s="2303"/>
      <c r="I92" s="2301"/>
      <c r="Z92" s="853"/>
      <c r="AA92" s="853"/>
      <c r="AB92" s="853"/>
      <c r="AC92" s="853"/>
      <c r="AD92" s="853"/>
      <c r="AE92" s="853"/>
      <c r="AF92" s="853"/>
      <c r="AG92" s="853"/>
      <c r="AH92" s="853"/>
      <c r="AI92" s="853"/>
      <c r="AJ92" s="853"/>
      <c r="AK92" s="853"/>
      <c r="AL92" s="2301"/>
      <c r="AM92" s="2304">
        <f t="shared" ref="AM92:AT92" si="36">(AL92+1)*(AM$93&lt;=$G$72)</f>
        <v>1</v>
      </c>
      <c r="AN92" s="2304">
        <f t="shared" si="36"/>
        <v>2</v>
      </c>
      <c r="AO92" s="2304">
        <f t="shared" si="36"/>
        <v>3</v>
      </c>
      <c r="AP92" s="2304">
        <f t="shared" si="36"/>
        <v>4</v>
      </c>
      <c r="AQ92" s="2304">
        <f t="shared" si="36"/>
        <v>5</v>
      </c>
      <c r="AR92" s="2304">
        <f t="shared" si="36"/>
        <v>6</v>
      </c>
      <c r="AS92" s="2304">
        <f t="shared" si="36"/>
        <v>7</v>
      </c>
      <c r="AT92" s="2304">
        <f t="shared" si="36"/>
        <v>8</v>
      </c>
      <c r="AY92" s="853"/>
      <c r="AZ92" s="853"/>
      <c r="BA92" s="853"/>
      <c r="BB92" s="853"/>
      <c r="BC92" s="853"/>
      <c r="BD92" s="853"/>
      <c r="BE92" s="853"/>
      <c r="BF92" s="853"/>
      <c r="BG92" s="853"/>
      <c r="BH92" s="853"/>
      <c r="BI92" s="853"/>
      <c r="BJ92" s="853"/>
      <c r="BK92" s="853"/>
      <c r="BL92" s="853"/>
      <c r="BM92" s="853"/>
      <c r="BN92" s="853"/>
      <c r="BO92" s="853"/>
      <c r="BP92" s="853"/>
      <c r="BQ92" s="853"/>
      <c r="BR92" s="853"/>
      <c r="BS92" s="853"/>
      <c r="BT92" s="853"/>
      <c r="BU92" s="853"/>
      <c r="BV92" s="853"/>
      <c r="BW92" s="853"/>
      <c r="BX92" s="853"/>
      <c r="BY92" s="853"/>
      <c r="BZ92" s="853"/>
      <c r="CA92" s="853"/>
      <c r="CB92" s="853"/>
      <c r="CC92" s="853"/>
      <c r="CD92" s="853"/>
      <c r="CE92" s="853"/>
      <c r="CF92" s="853"/>
      <c r="CG92" s="853"/>
      <c r="CH92" s="853"/>
      <c r="CI92" s="853"/>
      <c r="CJ92" s="853"/>
      <c r="CK92" s="853"/>
      <c r="CL92" s="853"/>
      <c r="CM92" s="853"/>
      <c r="CN92" s="853"/>
      <c r="CO92" s="853"/>
      <c r="CP92" s="853"/>
      <c r="CQ92" s="853"/>
      <c r="CR92" s="853"/>
      <c r="CS92" s="853"/>
      <c r="CT92" s="853"/>
      <c r="CU92" s="853"/>
      <c r="CV92" s="853"/>
      <c r="CW92" s="853"/>
      <c r="CX92" s="853"/>
      <c r="CY92" s="853"/>
      <c r="CZ92" s="853"/>
      <c r="DA92" s="853"/>
      <c r="DB92" s="853"/>
      <c r="DC92" s="853"/>
      <c r="DD92" s="853"/>
      <c r="DE92" s="853"/>
      <c r="DF92" s="853"/>
      <c r="DG92" s="853"/>
      <c r="DH92" s="853"/>
      <c r="DI92" s="853"/>
      <c r="DJ92" s="853"/>
      <c r="EA92" s="835"/>
      <c r="EB92" s="835"/>
      <c r="EC92" s="835"/>
      <c r="ED92" s="835"/>
      <c r="EE92" s="835"/>
      <c r="EF92" s="835"/>
      <c r="EG92" s="835"/>
      <c r="EH92" s="835"/>
      <c r="EI92" s="835"/>
      <c r="EJ92" s="835"/>
      <c r="EK92" s="835"/>
      <c r="EL92" s="835"/>
    </row>
    <row r="93" spans="3:142" ht="14.25" outlineLevel="1" thickBot="1">
      <c r="C93" s="943"/>
      <c r="D93" s="1020"/>
      <c r="E93" s="943"/>
      <c r="F93" s="2305"/>
      <c r="G93" s="2306" t="s">
        <v>2050</v>
      </c>
      <c r="H93" s="2307"/>
      <c r="I93" s="2305"/>
      <c r="Z93" s="2308"/>
      <c r="AA93" s="2308"/>
      <c r="AB93" s="846"/>
      <c r="AC93" s="846"/>
      <c r="AD93" s="846"/>
      <c r="AE93" s="846"/>
      <c r="AF93" s="846"/>
      <c r="AG93" s="846"/>
      <c r="AH93" s="846"/>
      <c r="AI93" s="846"/>
      <c r="AJ93" s="846"/>
      <c r="AK93" s="846"/>
      <c r="AL93" s="2305"/>
      <c r="AM93" s="2309">
        <f>EOMONTH(G71,3)</f>
        <v>45565</v>
      </c>
      <c r="AN93" s="2310">
        <f>EOMONTH(AM93,3)</f>
        <v>45657</v>
      </c>
      <c r="AO93" s="2310">
        <f t="shared" ref="AO93:AT93" si="37">EOMONTH(AN93,3)</f>
        <v>45747</v>
      </c>
      <c r="AP93" s="2310">
        <f t="shared" si="37"/>
        <v>45838</v>
      </c>
      <c r="AQ93" s="2310">
        <f t="shared" si="37"/>
        <v>45930</v>
      </c>
      <c r="AR93" s="2310">
        <f t="shared" si="37"/>
        <v>46022</v>
      </c>
      <c r="AS93" s="2310">
        <f t="shared" si="37"/>
        <v>46112</v>
      </c>
      <c r="AT93" s="2310">
        <f t="shared" si="37"/>
        <v>46203</v>
      </c>
      <c r="AY93" s="2308"/>
      <c r="AZ93" s="2308"/>
      <c r="BA93" s="2308"/>
      <c r="BB93" s="846"/>
      <c r="BC93" s="846"/>
      <c r="BD93" s="846"/>
      <c r="BE93" s="846"/>
      <c r="BF93" s="846"/>
      <c r="BG93" s="846"/>
      <c r="BH93" s="846"/>
      <c r="BI93" s="846"/>
      <c r="BJ93" s="846"/>
      <c r="BK93" s="846"/>
      <c r="BL93" s="846"/>
      <c r="BM93" s="846"/>
      <c r="BN93" s="846"/>
      <c r="BO93" s="846"/>
      <c r="BP93" s="846"/>
      <c r="BQ93" s="846"/>
      <c r="BR93" s="846"/>
      <c r="BS93" s="846"/>
      <c r="BT93" s="846"/>
      <c r="BU93" s="846"/>
      <c r="BV93" s="846"/>
      <c r="BW93" s="846"/>
      <c r="BX93" s="846"/>
      <c r="BY93" s="846"/>
      <c r="BZ93" s="846"/>
      <c r="CA93" s="846"/>
      <c r="CB93" s="846"/>
      <c r="CC93" s="846"/>
      <c r="CD93" s="846"/>
      <c r="CE93" s="846"/>
      <c r="CF93" s="846"/>
      <c r="CG93" s="846"/>
      <c r="CH93" s="846"/>
      <c r="CI93" s="846"/>
      <c r="CJ93" s="846"/>
      <c r="CK93" s="846"/>
      <c r="CL93" s="846"/>
      <c r="CM93" s="846"/>
      <c r="CN93" s="846"/>
      <c r="CO93" s="846"/>
      <c r="CP93" s="846"/>
      <c r="CQ93" s="846"/>
      <c r="CR93" s="846"/>
      <c r="CS93" s="846"/>
      <c r="CT93" s="846"/>
      <c r="CU93" s="846"/>
      <c r="CV93" s="846"/>
      <c r="CW93" s="846"/>
      <c r="CX93" s="846"/>
      <c r="CY93" s="846"/>
      <c r="CZ93" s="846"/>
      <c r="DA93" s="846"/>
      <c r="DB93" s="846"/>
      <c r="DC93" s="846"/>
      <c r="DD93" s="846"/>
      <c r="DE93" s="846"/>
      <c r="DF93" s="846"/>
      <c r="DG93" s="846"/>
      <c r="DH93" s="846"/>
      <c r="DI93" s="846"/>
      <c r="DJ93" s="846"/>
      <c r="EA93" s="835"/>
      <c r="EB93" s="835"/>
      <c r="EC93" s="835"/>
      <c r="ED93" s="835"/>
      <c r="EE93" s="835"/>
      <c r="EF93" s="835"/>
      <c r="EG93" s="835"/>
      <c r="EH93" s="835"/>
      <c r="EI93" s="835"/>
      <c r="EJ93" s="835"/>
      <c r="EK93" s="835"/>
      <c r="EL93" s="835"/>
    </row>
    <row r="94" spans="3:142" ht="13.5" outlineLevel="1">
      <c r="C94" s="943"/>
      <c r="D94" s="943"/>
      <c r="E94" s="1022" t="s">
        <v>1988</v>
      </c>
      <c r="F94" s="1022"/>
      <c r="G94" s="1023"/>
      <c r="H94" s="1024">
        <f>SUM(Z94:DJ94)</f>
        <v>65775.845613208265</v>
      </c>
      <c r="I94" s="2311">
        <f>(H76-H94)*(ABS(H76-H94)&gt;0.0001)</f>
        <v>0</v>
      </c>
      <c r="Z94" s="815"/>
      <c r="AA94" s="815"/>
      <c r="AB94" s="815"/>
      <c r="AC94" s="815"/>
      <c r="AD94" s="815"/>
      <c r="AE94" s="815"/>
      <c r="AF94" s="815"/>
      <c r="AG94" s="815"/>
      <c r="AH94" s="815"/>
      <c r="AI94" s="815"/>
      <c r="AJ94" s="815"/>
      <c r="AK94" s="815"/>
      <c r="AL94" s="943"/>
      <c r="AM94" s="1024">
        <f t="shared" ref="AM94:AT94" si="38">SUMIFS($K76:$BR76,$K$74:$BR$74,AM$92)</f>
        <v>8812.8318584984991</v>
      </c>
      <c r="AN94" s="1024">
        <f t="shared" si="38"/>
        <v>7526.3216928665006</v>
      </c>
      <c r="AO94" s="1024">
        <f t="shared" si="38"/>
        <v>8368.3664112943097</v>
      </c>
      <c r="AP94" s="1024">
        <f t="shared" si="38"/>
        <v>7728.2462184823871</v>
      </c>
      <c r="AQ94" s="1024">
        <f t="shared" si="38"/>
        <v>9058.5566373364818</v>
      </c>
      <c r="AR94" s="1024">
        <f t="shared" si="38"/>
        <v>7736.0393193013879</v>
      </c>
      <c r="AS94" s="1024">
        <f t="shared" si="38"/>
        <v>8601.7430714247766</v>
      </c>
      <c r="AT94" s="1024">
        <f t="shared" si="38"/>
        <v>7943.7404040039191</v>
      </c>
      <c r="AY94" s="815"/>
      <c r="AZ94" s="815"/>
      <c r="BA94" s="815"/>
      <c r="BB94" s="815"/>
      <c r="BC94" s="815"/>
      <c r="BD94" s="815"/>
      <c r="BE94" s="815"/>
      <c r="BF94" s="815"/>
      <c r="BG94" s="815"/>
      <c r="BH94" s="815"/>
      <c r="BI94" s="815"/>
      <c r="BJ94" s="815"/>
      <c r="BK94" s="815"/>
      <c r="BL94" s="815"/>
      <c r="BM94" s="815"/>
      <c r="BN94" s="815"/>
      <c r="BO94" s="815"/>
      <c r="BP94" s="815"/>
      <c r="BQ94" s="815"/>
      <c r="BR94" s="815"/>
      <c r="BS94" s="815"/>
      <c r="BT94" s="815"/>
      <c r="BU94" s="815"/>
      <c r="BV94" s="815"/>
      <c r="BW94" s="815"/>
      <c r="BX94" s="815"/>
      <c r="BY94" s="815"/>
      <c r="BZ94" s="815"/>
      <c r="CA94" s="815"/>
      <c r="CB94" s="815"/>
      <c r="CC94" s="815"/>
      <c r="CD94" s="815"/>
      <c r="CE94" s="815"/>
      <c r="CF94" s="815"/>
      <c r="CG94" s="815"/>
      <c r="CH94" s="815"/>
      <c r="CI94" s="815"/>
      <c r="CJ94" s="815"/>
      <c r="CK94" s="815"/>
      <c r="CL94" s="815"/>
      <c r="CM94" s="815"/>
      <c r="CN94" s="815"/>
      <c r="CO94" s="815"/>
      <c r="CP94" s="815"/>
      <c r="CQ94" s="815"/>
      <c r="CR94" s="815"/>
      <c r="CS94" s="815"/>
      <c r="CT94" s="815"/>
      <c r="CU94" s="815"/>
      <c r="CV94" s="815"/>
      <c r="CW94" s="815"/>
      <c r="CX94" s="815"/>
      <c r="CY94" s="815"/>
      <c r="CZ94" s="815"/>
      <c r="DA94" s="815"/>
      <c r="DB94" s="815"/>
      <c r="DC94" s="815"/>
      <c r="DD94" s="815"/>
      <c r="DE94" s="815"/>
      <c r="DF94" s="815"/>
      <c r="DG94" s="815"/>
      <c r="DH94" s="815"/>
      <c r="DI94" s="815"/>
      <c r="DJ94" s="815"/>
      <c r="EA94" s="835"/>
      <c r="EB94" s="835"/>
      <c r="EC94" s="835"/>
      <c r="ED94" s="835"/>
      <c r="EE94" s="835"/>
      <c r="EF94" s="835"/>
      <c r="EG94" s="835"/>
      <c r="EH94" s="835"/>
      <c r="EI94" s="835"/>
      <c r="EJ94" s="835"/>
      <c r="EK94" s="835"/>
      <c r="EL94" s="835"/>
    </row>
    <row r="95" spans="3:142" ht="13.5" outlineLevel="1">
      <c r="C95" s="943"/>
      <c r="D95" s="943"/>
      <c r="E95" s="1022"/>
      <c r="F95" s="1022"/>
      <c r="G95" s="1023"/>
      <c r="H95" s="1024"/>
      <c r="I95" s="943"/>
      <c r="Z95" s="815"/>
      <c r="AA95" s="815"/>
      <c r="AB95" s="815"/>
      <c r="AC95" s="815"/>
      <c r="AD95" s="815"/>
      <c r="AE95" s="815"/>
      <c r="AF95" s="815"/>
      <c r="AG95" s="815"/>
      <c r="AH95" s="815"/>
      <c r="AI95" s="815"/>
      <c r="AJ95" s="815"/>
      <c r="AK95" s="815"/>
      <c r="AL95" s="943"/>
      <c r="AM95" s="1024"/>
      <c r="AN95" s="1024"/>
      <c r="AO95" s="1024"/>
      <c r="AP95" s="1024"/>
      <c r="AQ95" s="1024"/>
      <c r="AR95" s="1024"/>
      <c r="AS95" s="1024"/>
      <c r="AT95" s="1024"/>
      <c r="AY95" s="815"/>
      <c r="AZ95" s="815"/>
      <c r="BA95" s="815"/>
      <c r="BB95" s="815"/>
      <c r="BC95" s="815"/>
      <c r="BD95" s="815"/>
      <c r="BE95" s="815"/>
      <c r="BF95" s="815"/>
      <c r="BG95" s="815"/>
      <c r="BH95" s="815"/>
      <c r="BI95" s="815"/>
      <c r="BJ95" s="815"/>
      <c r="BK95" s="815"/>
      <c r="BL95" s="815"/>
      <c r="BM95" s="815"/>
      <c r="BN95" s="815"/>
      <c r="BO95" s="815"/>
      <c r="BP95" s="815"/>
      <c r="BQ95" s="815"/>
      <c r="BR95" s="815"/>
      <c r="BS95" s="815"/>
      <c r="BT95" s="815"/>
      <c r="BU95" s="815"/>
      <c r="BV95" s="815"/>
      <c r="BW95" s="815"/>
      <c r="BX95" s="815"/>
      <c r="BY95" s="815"/>
      <c r="BZ95" s="815"/>
      <c r="CA95" s="815"/>
      <c r="CB95" s="815"/>
      <c r="CC95" s="815"/>
      <c r="CD95" s="815"/>
      <c r="CE95" s="815"/>
      <c r="CF95" s="815"/>
      <c r="CG95" s="815"/>
      <c r="CH95" s="815"/>
      <c r="CI95" s="815"/>
      <c r="CJ95" s="815"/>
      <c r="CK95" s="815"/>
      <c r="CL95" s="815"/>
      <c r="CM95" s="815"/>
      <c r="CN95" s="815"/>
      <c r="CO95" s="815"/>
      <c r="CP95" s="815"/>
      <c r="CQ95" s="815"/>
      <c r="CR95" s="815"/>
      <c r="CS95" s="815"/>
      <c r="CT95" s="815"/>
      <c r="CU95" s="815"/>
      <c r="CV95" s="815"/>
      <c r="CW95" s="815"/>
      <c r="CX95" s="815"/>
      <c r="CY95" s="815"/>
      <c r="CZ95" s="815"/>
      <c r="DA95" s="815"/>
      <c r="DB95" s="815"/>
      <c r="DC95" s="815"/>
      <c r="DD95" s="815"/>
      <c r="DE95" s="815"/>
      <c r="DF95" s="815"/>
      <c r="DG95" s="815"/>
      <c r="DH95" s="815"/>
      <c r="DI95" s="815"/>
      <c r="DJ95" s="815"/>
      <c r="EA95" s="835"/>
      <c r="EB95" s="835"/>
      <c r="EC95" s="835"/>
      <c r="ED95" s="835"/>
      <c r="EE95" s="835"/>
      <c r="EF95" s="835"/>
      <c r="EG95" s="835"/>
      <c r="EH95" s="835"/>
      <c r="EI95" s="835"/>
      <c r="EJ95" s="835"/>
      <c r="EK95" s="835"/>
      <c r="EL95" s="835"/>
    </row>
    <row r="96" spans="3:142" ht="13.5" outlineLevel="1">
      <c r="C96" s="943"/>
      <c r="D96" s="943"/>
      <c r="E96" s="1022" t="s">
        <v>1990</v>
      </c>
      <c r="F96" s="2293" t="s">
        <v>2037</v>
      </c>
      <c r="G96" s="2294"/>
      <c r="H96" s="2295">
        <f>SUM(Z96:DJ96)</f>
        <v>0</v>
      </c>
      <c r="I96" s="2311">
        <f>(H78-H96)*(ABS(H78-H96)&gt;0.0001)</f>
        <v>0</v>
      </c>
      <c r="Z96" s="815"/>
      <c r="AA96" s="815"/>
      <c r="AB96" s="815"/>
      <c r="AC96" s="815"/>
      <c r="AD96" s="815"/>
      <c r="AE96" s="815"/>
      <c r="AF96" s="815"/>
      <c r="AG96" s="815"/>
      <c r="AH96" s="815"/>
      <c r="AI96" s="815"/>
      <c r="AJ96" s="815"/>
      <c r="AK96" s="815"/>
      <c r="AL96" s="943"/>
      <c r="AM96" s="1024">
        <f t="shared" ref="AM96:AT98" si="39">SUMIFS($K78:$BR78,$K$74:$BR$74,AM$92)</f>
        <v>0</v>
      </c>
      <c r="AN96" s="1024">
        <f t="shared" si="39"/>
        <v>0</v>
      </c>
      <c r="AO96" s="1024">
        <f t="shared" si="39"/>
        <v>0</v>
      </c>
      <c r="AP96" s="1024">
        <f t="shared" si="39"/>
        <v>0</v>
      </c>
      <c r="AQ96" s="1024">
        <f t="shared" si="39"/>
        <v>0</v>
      </c>
      <c r="AR96" s="1024">
        <f t="shared" si="39"/>
        <v>0</v>
      </c>
      <c r="AS96" s="1024">
        <f t="shared" si="39"/>
        <v>0</v>
      </c>
      <c r="AT96" s="1024">
        <f t="shared" si="39"/>
        <v>0</v>
      </c>
      <c r="AY96" s="815"/>
      <c r="AZ96" s="815"/>
      <c r="BA96" s="815"/>
      <c r="BB96" s="815"/>
      <c r="BC96" s="815"/>
      <c r="BD96" s="815"/>
      <c r="BE96" s="815"/>
      <c r="BF96" s="815"/>
      <c r="BG96" s="815"/>
      <c r="BH96" s="815"/>
      <c r="BI96" s="815"/>
      <c r="BJ96" s="815"/>
      <c r="BK96" s="815"/>
      <c r="BL96" s="815"/>
      <c r="BM96" s="815"/>
      <c r="BN96" s="815"/>
      <c r="BO96" s="815"/>
      <c r="BP96" s="815"/>
      <c r="BQ96" s="815"/>
      <c r="BR96" s="815"/>
      <c r="BS96" s="815"/>
      <c r="BT96" s="815"/>
      <c r="BU96" s="815"/>
      <c r="BV96" s="815"/>
      <c r="BW96" s="815"/>
      <c r="BX96" s="815"/>
      <c r="BY96" s="815"/>
      <c r="BZ96" s="815"/>
      <c r="CA96" s="815"/>
      <c r="CB96" s="815"/>
      <c r="CC96" s="815"/>
      <c r="CD96" s="815"/>
      <c r="CE96" s="815"/>
      <c r="CF96" s="815"/>
      <c r="CG96" s="815"/>
      <c r="CH96" s="815"/>
      <c r="CI96" s="815"/>
      <c r="CJ96" s="815"/>
      <c r="CK96" s="815"/>
      <c r="CL96" s="815"/>
      <c r="CM96" s="815"/>
      <c r="CN96" s="815"/>
      <c r="CO96" s="815"/>
      <c r="CP96" s="815"/>
      <c r="CQ96" s="815"/>
      <c r="CR96" s="815"/>
      <c r="CS96" s="815"/>
      <c r="CT96" s="815"/>
      <c r="CU96" s="815"/>
      <c r="CV96" s="815"/>
      <c r="CW96" s="815"/>
      <c r="CX96" s="815"/>
      <c r="CY96" s="815"/>
      <c r="CZ96" s="815"/>
      <c r="DA96" s="815"/>
      <c r="DB96" s="815"/>
      <c r="DC96" s="815"/>
      <c r="DD96" s="815"/>
      <c r="DE96" s="815"/>
      <c r="DF96" s="815"/>
      <c r="DG96" s="815"/>
      <c r="DH96" s="815"/>
      <c r="DI96" s="815"/>
      <c r="DJ96" s="815"/>
      <c r="EA96" s="835"/>
      <c r="EB96" s="835"/>
      <c r="EC96" s="835"/>
      <c r="ED96" s="835"/>
      <c r="EE96" s="835"/>
      <c r="EF96" s="835"/>
      <c r="EG96" s="835"/>
      <c r="EH96" s="835"/>
      <c r="EI96" s="835"/>
      <c r="EJ96" s="835"/>
      <c r="EK96" s="835"/>
      <c r="EL96" s="835"/>
    </row>
    <row r="97" spans="3:142" ht="13.5" outlineLevel="1">
      <c r="C97" s="943"/>
      <c r="D97" s="943"/>
      <c r="E97" s="1022"/>
      <c r="F97" s="2293" t="s">
        <v>2038</v>
      </c>
      <c r="G97" s="2294"/>
      <c r="H97" s="2295">
        <f>SUM(Z97:DJ97)</f>
        <v>0</v>
      </c>
      <c r="I97" s="2311">
        <f>(H79-H97)*(ABS(H79-H97)&gt;0.0001)</f>
        <v>0</v>
      </c>
      <c r="Z97" s="815"/>
      <c r="AA97" s="815"/>
      <c r="AB97" s="815"/>
      <c r="AC97" s="815"/>
      <c r="AD97" s="815"/>
      <c r="AE97" s="815"/>
      <c r="AF97" s="815"/>
      <c r="AG97" s="815"/>
      <c r="AH97" s="815"/>
      <c r="AI97" s="815"/>
      <c r="AJ97" s="815"/>
      <c r="AK97" s="815"/>
      <c r="AL97" s="943"/>
      <c r="AM97" s="1024">
        <f t="shared" si="39"/>
        <v>0</v>
      </c>
      <c r="AN97" s="1024">
        <f t="shared" si="39"/>
        <v>0</v>
      </c>
      <c r="AO97" s="1024">
        <f t="shared" si="39"/>
        <v>0</v>
      </c>
      <c r="AP97" s="1024">
        <f t="shared" si="39"/>
        <v>0</v>
      </c>
      <c r="AQ97" s="1024">
        <f t="shared" si="39"/>
        <v>0</v>
      </c>
      <c r="AR97" s="1024">
        <f t="shared" si="39"/>
        <v>0</v>
      </c>
      <c r="AS97" s="1024">
        <f t="shared" si="39"/>
        <v>0</v>
      </c>
      <c r="AT97" s="1024">
        <f t="shared" si="39"/>
        <v>0</v>
      </c>
      <c r="AY97" s="815"/>
      <c r="AZ97" s="815"/>
      <c r="BA97" s="815"/>
      <c r="BB97" s="815"/>
      <c r="BC97" s="815"/>
      <c r="BD97" s="815"/>
      <c r="BE97" s="815"/>
      <c r="BF97" s="815"/>
      <c r="BG97" s="815"/>
      <c r="BH97" s="815"/>
      <c r="BI97" s="815"/>
      <c r="BJ97" s="815"/>
      <c r="BK97" s="815"/>
      <c r="BL97" s="815"/>
      <c r="BM97" s="815"/>
      <c r="BN97" s="815"/>
      <c r="BO97" s="815"/>
      <c r="BP97" s="815"/>
      <c r="BQ97" s="815"/>
      <c r="BR97" s="815"/>
      <c r="BS97" s="815"/>
      <c r="BT97" s="815"/>
      <c r="BU97" s="815"/>
      <c r="BV97" s="815"/>
      <c r="BW97" s="815"/>
      <c r="BX97" s="815"/>
      <c r="BY97" s="815"/>
      <c r="BZ97" s="815"/>
      <c r="CA97" s="815"/>
      <c r="CB97" s="815"/>
      <c r="CC97" s="815"/>
      <c r="CD97" s="815"/>
      <c r="CE97" s="815"/>
      <c r="CF97" s="815"/>
      <c r="CG97" s="815"/>
      <c r="CH97" s="815"/>
      <c r="CI97" s="815"/>
      <c r="CJ97" s="815"/>
      <c r="CK97" s="815"/>
      <c r="CL97" s="815"/>
      <c r="CM97" s="815"/>
      <c r="CN97" s="815"/>
      <c r="CO97" s="815"/>
      <c r="CP97" s="815"/>
      <c r="CQ97" s="815"/>
      <c r="CR97" s="815"/>
      <c r="CS97" s="815"/>
      <c r="CT97" s="815"/>
      <c r="CU97" s="815"/>
      <c r="CV97" s="815"/>
      <c r="CW97" s="815"/>
      <c r="CX97" s="815"/>
      <c r="CY97" s="815"/>
      <c r="CZ97" s="815"/>
      <c r="DA97" s="815"/>
      <c r="DB97" s="815"/>
      <c r="DC97" s="815"/>
      <c r="DD97" s="815"/>
      <c r="DE97" s="815"/>
      <c r="DF97" s="815"/>
      <c r="DG97" s="815"/>
      <c r="DH97" s="815"/>
      <c r="DI97" s="815"/>
      <c r="DJ97" s="815"/>
      <c r="EA97" s="835"/>
      <c r="EB97" s="835"/>
      <c r="EC97" s="835"/>
      <c r="ED97" s="835"/>
      <c r="EE97" s="835"/>
      <c r="EF97" s="835"/>
      <c r="EG97" s="835"/>
      <c r="EH97" s="835"/>
      <c r="EI97" s="835"/>
      <c r="EJ97" s="835"/>
      <c r="EK97" s="835"/>
      <c r="EL97" s="835"/>
    </row>
    <row r="98" spans="3:142" ht="13.5" outlineLevel="1">
      <c r="C98" s="943"/>
      <c r="D98" s="943"/>
      <c r="E98" s="1022"/>
      <c r="F98" s="1022" t="s">
        <v>2039</v>
      </c>
      <c r="G98" s="1023"/>
      <c r="H98" s="1024">
        <f>SUM(Z98:DJ98)</f>
        <v>12806.855615671297</v>
      </c>
      <c r="I98" s="2311">
        <f>(H80-H98)*(ABS(H80-H98)&gt;0.0001)</f>
        <v>0</v>
      </c>
      <c r="Z98" s="815"/>
      <c r="AA98" s="815"/>
      <c r="AB98" s="815"/>
      <c r="AC98" s="815"/>
      <c r="AD98" s="815"/>
      <c r="AE98" s="815"/>
      <c r="AF98" s="815"/>
      <c r="AG98" s="815"/>
      <c r="AH98" s="815"/>
      <c r="AI98" s="815"/>
      <c r="AJ98" s="815"/>
      <c r="AK98" s="815"/>
      <c r="AL98" s="943"/>
      <c r="AM98" s="1024">
        <f t="shared" si="39"/>
        <v>1565.9448071664128</v>
      </c>
      <c r="AN98" s="1024">
        <f t="shared" si="39"/>
        <v>1584.7871821574245</v>
      </c>
      <c r="AO98" s="1024">
        <f t="shared" si="39"/>
        <v>1595.8279201481987</v>
      </c>
      <c r="AP98" s="1024">
        <f t="shared" si="39"/>
        <v>1595.9010953434231</v>
      </c>
      <c r="AQ98" s="1024">
        <f t="shared" si="39"/>
        <v>1595.9742705386479</v>
      </c>
      <c r="AR98" s="1024">
        <f t="shared" si="39"/>
        <v>1615.244013352989</v>
      </c>
      <c r="AS98" s="1024">
        <f t="shared" si="39"/>
        <v>1626.5515758844883</v>
      </c>
      <c r="AT98" s="1024">
        <f t="shared" si="39"/>
        <v>1626.6247510797132</v>
      </c>
      <c r="AY98" s="815"/>
      <c r="AZ98" s="815"/>
      <c r="BA98" s="815"/>
      <c r="BB98" s="815"/>
      <c r="BC98" s="815"/>
      <c r="BD98" s="815"/>
      <c r="BE98" s="815"/>
      <c r="BF98" s="815"/>
      <c r="BG98" s="815"/>
      <c r="BH98" s="815"/>
      <c r="BI98" s="815"/>
      <c r="BJ98" s="815"/>
      <c r="BK98" s="815"/>
      <c r="BL98" s="815"/>
      <c r="BM98" s="815"/>
      <c r="BN98" s="815"/>
      <c r="BO98" s="815"/>
      <c r="BP98" s="815"/>
      <c r="BQ98" s="815"/>
      <c r="BR98" s="815"/>
      <c r="BS98" s="815"/>
      <c r="BT98" s="815"/>
      <c r="BU98" s="815"/>
      <c r="BV98" s="815"/>
      <c r="BW98" s="815"/>
      <c r="BX98" s="815"/>
      <c r="BY98" s="815"/>
      <c r="BZ98" s="815"/>
      <c r="CA98" s="815"/>
      <c r="CB98" s="815"/>
      <c r="CC98" s="815"/>
      <c r="CD98" s="815"/>
      <c r="CE98" s="815"/>
      <c r="CF98" s="815"/>
      <c r="CG98" s="815"/>
      <c r="CH98" s="815"/>
      <c r="CI98" s="815"/>
      <c r="CJ98" s="815"/>
      <c r="CK98" s="815"/>
      <c r="CL98" s="815"/>
      <c r="CM98" s="815"/>
      <c r="CN98" s="815"/>
      <c r="CO98" s="815"/>
      <c r="CP98" s="815"/>
      <c r="CQ98" s="815"/>
      <c r="CR98" s="815"/>
      <c r="CS98" s="815"/>
      <c r="CT98" s="815"/>
      <c r="CU98" s="815"/>
      <c r="CV98" s="815"/>
      <c r="CW98" s="815"/>
      <c r="CX98" s="815"/>
      <c r="CY98" s="815"/>
      <c r="CZ98" s="815"/>
      <c r="DA98" s="815"/>
      <c r="DB98" s="815"/>
      <c r="DC98" s="815"/>
      <c r="DD98" s="815"/>
      <c r="DE98" s="815"/>
      <c r="DF98" s="815"/>
      <c r="DG98" s="815"/>
      <c r="DH98" s="815"/>
      <c r="DI98" s="815"/>
      <c r="DJ98" s="815"/>
      <c r="EA98" s="835"/>
      <c r="EB98" s="835"/>
      <c r="EC98" s="835"/>
      <c r="ED98" s="835"/>
      <c r="EE98" s="835"/>
      <c r="EF98" s="835"/>
      <c r="EG98" s="835"/>
      <c r="EH98" s="835"/>
      <c r="EI98" s="835"/>
      <c r="EJ98" s="835"/>
      <c r="EK98" s="835"/>
      <c r="EL98" s="835"/>
    </row>
    <row r="99" spans="3:142" ht="13.5" outlineLevel="1">
      <c r="C99" s="943"/>
      <c r="D99" s="943"/>
      <c r="E99" s="1022"/>
      <c r="F99" s="1022" t="s">
        <v>2040</v>
      </c>
      <c r="G99" s="1023"/>
      <c r="H99" s="1024">
        <f>SUM(Z99:DJ99)</f>
        <v>12806.855615671297</v>
      </c>
      <c r="I99" s="2311">
        <f>(H81-H99)*(ABS(H81-H99)&gt;0.0001)</f>
        <v>0</v>
      </c>
      <c r="Z99" s="2312"/>
      <c r="AA99" s="2312"/>
      <c r="AB99" s="2312"/>
      <c r="AC99" s="2312"/>
      <c r="AD99" s="2312"/>
      <c r="AE99" s="2312"/>
      <c r="AF99" s="2312"/>
      <c r="AG99" s="2312"/>
      <c r="AH99" s="2312"/>
      <c r="AI99" s="2312"/>
      <c r="AJ99" s="2312"/>
      <c r="AK99" s="2312"/>
      <c r="AL99" s="943"/>
      <c r="AM99" s="2296">
        <f>SUM(AM96:AM98)</f>
        <v>1565.9448071664128</v>
      </c>
      <c r="AN99" s="2296">
        <f t="shared" ref="AN99:AT99" si="40">SUM(AN96:AN98)</f>
        <v>1584.7871821574245</v>
      </c>
      <c r="AO99" s="2296">
        <f t="shared" si="40"/>
        <v>1595.8279201481987</v>
      </c>
      <c r="AP99" s="2296">
        <f t="shared" si="40"/>
        <v>1595.9010953434231</v>
      </c>
      <c r="AQ99" s="2296">
        <f t="shared" si="40"/>
        <v>1595.9742705386479</v>
      </c>
      <c r="AR99" s="2296">
        <f t="shared" si="40"/>
        <v>1615.244013352989</v>
      </c>
      <c r="AS99" s="2296">
        <f t="shared" si="40"/>
        <v>1626.5515758844883</v>
      </c>
      <c r="AT99" s="2296">
        <f t="shared" si="40"/>
        <v>1626.6247510797132</v>
      </c>
      <c r="AY99" s="2312"/>
      <c r="AZ99" s="2312"/>
      <c r="BA99" s="2312"/>
      <c r="BB99" s="2312"/>
      <c r="BC99" s="2312"/>
      <c r="BD99" s="2312"/>
      <c r="BE99" s="2312"/>
      <c r="BF99" s="2312"/>
      <c r="BG99" s="2312"/>
      <c r="BH99" s="2312"/>
      <c r="BI99" s="2312"/>
      <c r="BJ99" s="2312"/>
      <c r="BK99" s="2312"/>
      <c r="BL99" s="2312"/>
      <c r="BM99" s="2312"/>
      <c r="BN99" s="2312"/>
      <c r="BO99" s="2312"/>
      <c r="BP99" s="2312"/>
      <c r="BQ99" s="2312"/>
      <c r="BR99" s="2312"/>
      <c r="BS99" s="2312"/>
      <c r="BT99" s="2312"/>
      <c r="BU99" s="2312"/>
      <c r="BV99" s="2312"/>
      <c r="BW99" s="2312"/>
      <c r="BX99" s="2312"/>
      <c r="BY99" s="2312"/>
      <c r="BZ99" s="2312"/>
      <c r="CA99" s="2312"/>
      <c r="CB99" s="2312"/>
      <c r="CC99" s="2312"/>
      <c r="CD99" s="2312"/>
      <c r="CE99" s="2312"/>
      <c r="CF99" s="2312"/>
      <c r="CG99" s="2312"/>
      <c r="CH99" s="2312"/>
      <c r="CI99" s="2312"/>
      <c r="CJ99" s="2312"/>
      <c r="CK99" s="2312"/>
      <c r="CL99" s="2312"/>
      <c r="CM99" s="2312"/>
      <c r="CN99" s="2312"/>
      <c r="CO99" s="2312"/>
      <c r="CP99" s="2312"/>
      <c r="CQ99" s="2312"/>
      <c r="CR99" s="2312"/>
      <c r="CS99" s="2312"/>
      <c r="CT99" s="2312"/>
      <c r="CU99" s="2312"/>
      <c r="CV99" s="2312"/>
      <c r="CW99" s="2312"/>
      <c r="CX99" s="2312"/>
      <c r="CY99" s="2312"/>
      <c r="CZ99" s="2312"/>
      <c r="DA99" s="2312"/>
      <c r="DB99" s="2312"/>
      <c r="DC99" s="2312"/>
      <c r="DD99" s="2312"/>
      <c r="DE99" s="2312"/>
      <c r="DF99" s="2312"/>
      <c r="DG99" s="2312"/>
      <c r="DH99" s="2312"/>
      <c r="DI99" s="2312"/>
      <c r="DJ99" s="2312"/>
      <c r="EA99" s="835"/>
      <c r="EB99" s="835"/>
      <c r="EC99" s="835"/>
      <c r="ED99" s="835"/>
      <c r="EE99" s="835"/>
      <c r="EF99" s="835"/>
      <c r="EG99" s="835"/>
      <c r="EH99" s="835"/>
      <c r="EI99" s="835"/>
      <c r="EJ99" s="835"/>
      <c r="EK99" s="835"/>
      <c r="EL99" s="835"/>
    </row>
    <row r="100" spans="3:142" ht="13.5" outlineLevel="1">
      <c r="C100" s="943"/>
      <c r="D100" s="943"/>
      <c r="E100" s="1022"/>
      <c r="F100" s="1022"/>
      <c r="G100" s="1023"/>
      <c r="H100" s="943"/>
      <c r="I100" s="943"/>
      <c r="Z100" s="815"/>
      <c r="AA100" s="815"/>
      <c r="AB100" s="815"/>
      <c r="AC100" s="815"/>
      <c r="AD100" s="815"/>
      <c r="AE100" s="815"/>
      <c r="AF100" s="815"/>
      <c r="AG100" s="815"/>
      <c r="AH100" s="815"/>
      <c r="AI100" s="815"/>
      <c r="AJ100" s="815"/>
      <c r="AK100" s="815"/>
      <c r="AL100" s="943"/>
      <c r="AM100" s="1024"/>
      <c r="AN100" s="1024"/>
      <c r="AO100" s="1024"/>
      <c r="AP100" s="1024"/>
      <c r="AQ100" s="1024"/>
      <c r="AR100" s="1024"/>
      <c r="AS100" s="1024"/>
      <c r="AT100" s="1024"/>
      <c r="AY100" s="815"/>
      <c r="AZ100" s="815"/>
      <c r="BA100" s="815"/>
      <c r="BB100" s="815"/>
      <c r="BC100" s="815"/>
      <c r="BD100" s="815"/>
      <c r="BE100" s="815"/>
      <c r="BF100" s="815"/>
      <c r="BG100" s="815"/>
      <c r="BH100" s="815"/>
      <c r="BI100" s="815"/>
      <c r="BJ100" s="815"/>
      <c r="BK100" s="815"/>
      <c r="BL100" s="815"/>
      <c r="BM100" s="815"/>
      <c r="BN100" s="815"/>
      <c r="BO100" s="815"/>
      <c r="BP100" s="815"/>
      <c r="BQ100" s="815"/>
      <c r="BR100" s="815"/>
      <c r="BS100" s="815"/>
      <c r="BT100" s="815"/>
      <c r="BU100" s="815"/>
      <c r="BV100" s="815"/>
      <c r="BW100" s="815"/>
      <c r="BX100" s="815"/>
      <c r="BY100" s="815"/>
      <c r="BZ100" s="815"/>
      <c r="CA100" s="815"/>
      <c r="CB100" s="815"/>
      <c r="CC100" s="815"/>
      <c r="CD100" s="815"/>
      <c r="CE100" s="815"/>
      <c r="CF100" s="815"/>
      <c r="CG100" s="815"/>
      <c r="CH100" s="815"/>
      <c r="CI100" s="815"/>
      <c r="CJ100" s="815"/>
      <c r="CK100" s="815"/>
      <c r="CL100" s="815"/>
      <c r="CM100" s="815"/>
      <c r="CN100" s="815"/>
      <c r="CO100" s="815"/>
      <c r="CP100" s="815"/>
      <c r="CQ100" s="815"/>
      <c r="CR100" s="815"/>
      <c r="CS100" s="815"/>
      <c r="CT100" s="815"/>
      <c r="CU100" s="815"/>
      <c r="CV100" s="815"/>
      <c r="CW100" s="815"/>
      <c r="CX100" s="815"/>
      <c r="CY100" s="815"/>
      <c r="CZ100" s="815"/>
      <c r="DA100" s="815"/>
      <c r="DB100" s="815"/>
      <c r="DC100" s="815"/>
      <c r="DD100" s="815"/>
      <c r="DE100" s="815"/>
      <c r="DF100" s="815"/>
      <c r="DG100" s="815"/>
      <c r="DH100" s="815"/>
      <c r="DI100" s="815"/>
      <c r="DJ100" s="815"/>
      <c r="EA100" s="835"/>
      <c r="EB100" s="835"/>
      <c r="EC100" s="835"/>
      <c r="ED100" s="835"/>
      <c r="EE100" s="835"/>
      <c r="EF100" s="835"/>
      <c r="EG100" s="835"/>
      <c r="EH100" s="835"/>
      <c r="EI100" s="835"/>
      <c r="EJ100" s="835"/>
      <c r="EK100" s="835"/>
      <c r="EL100" s="835"/>
    </row>
    <row r="101" spans="3:142" ht="13.5" outlineLevel="1">
      <c r="C101" s="943"/>
      <c r="D101" s="943"/>
      <c r="E101" s="1022" t="s">
        <v>2041</v>
      </c>
      <c r="F101" s="1022"/>
      <c r="G101" s="1023"/>
      <c r="H101" s="1024">
        <f>SUM(Z101:DJ101)</f>
        <v>52968.98999753697</v>
      </c>
      <c r="I101" s="2311">
        <f>(H83-H101)*(ABS(H83-H101)&gt;0.0001)</f>
        <v>0</v>
      </c>
      <c r="Z101" s="815"/>
      <c r="AA101" s="815"/>
      <c r="AB101" s="815"/>
      <c r="AC101" s="815"/>
      <c r="AD101" s="815"/>
      <c r="AE101" s="815"/>
      <c r="AF101" s="815"/>
      <c r="AG101" s="815"/>
      <c r="AH101" s="815"/>
      <c r="AI101" s="815"/>
      <c r="AJ101" s="815"/>
      <c r="AK101" s="815"/>
      <c r="AL101" s="943"/>
      <c r="AM101" s="1024">
        <f>AM94-AM99</f>
        <v>7246.8870513320862</v>
      </c>
      <c r="AN101" s="1024">
        <f t="shared" ref="AN101:AT101" si="41">AN94-AN99</f>
        <v>5941.5345107090761</v>
      </c>
      <c r="AO101" s="1024">
        <f t="shared" si="41"/>
        <v>6772.5384911461115</v>
      </c>
      <c r="AP101" s="1024">
        <f t="shared" si="41"/>
        <v>6132.3451231389645</v>
      </c>
      <c r="AQ101" s="1024">
        <f t="shared" si="41"/>
        <v>7462.5823667978339</v>
      </c>
      <c r="AR101" s="1024">
        <f t="shared" si="41"/>
        <v>6120.7953059483989</v>
      </c>
      <c r="AS101" s="1024">
        <f t="shared" si="41"/>
        <v>6975.1914955402881</v>
      </c>
      <c r="AT101" s="1024">
        <f t="shared" si="41"/>
        <v>6317.1156529242062</v>
      </c>
      <c r="AY101" s="815"/>
      <c r="AZ101" s="815"/>
      <c r="BA101" s="815"/>
      <c r="BB101" s="815"/>
      <c r="BC101" s="815"/>
      <c r="BD101" s="815"/>
      <c r="BE101" s="815"/>
      <c r="BF101" s="815"/>
      <c r="BG101" s="815"/>
      <c r="BH101" s="815"/>
      <c r="BI101" s="815"/>
      <c r="BJ101" s="815"/>
      <c r="BK101" s="815"/>
      <c r="BL101" s="815"/>
      <c r="BM101" s="815"/>
      <c r="BN101" s="815"/>
      <c r="BO101" s="815"/>
      <c r="BP101" s="815"/>
      <c r="BQ101" s="815"/>
      <c r="BR101" s="815"/>
      <c r="BS101" s="815"/>
      <c r="BT101" s="815"/>
      <c r="BU101" s="815"/>
      <c r="BV101" s="815"/>
      <c r="BW101" s="815"/>
      <c r="BX101" s="815"/>
      <c r="BY101" s="815"/>
      <c r="BZ101" s="815"/>
      <c r="CA101" s="815"/>
      <c r="CB101" s="815"/>
      <c r="CC101" s="815"/>
      <c r="CD101" s="815"/>
      <c r="CE101" s="815"/>
      <c r="CF101" s="815"/>
      <c r="CG101" s="815"/>
      <c r="CH101" s="815"/>
      <c r="CI101" s="815"/>
      <c r="CJ101" s="815"/>
      <c r="CK101" s="815"/>
      <c r="CL101" s="815"/>
      <c r="CM101" s="815"/>
      <c r="CN101" s="815"/>
      <c r="CO101" s="815"/>
      <c r="CP101" s="815"/>
      <c r="CQ101" s="815"/>
      <c r="CR101" s="815"/>
      <c r="CS101" s="815"/>
      <c r="CT101" s="815"/>
      <c r="CU101" s="815"/>
      <c r="CV101" s="815"/>
      <c r="CW101" s="815"/>
      <c r="CX101" s="815"/>
      <c r="CY101" s="815"/>
      <c r="CZ101" s="815"/>
      <c r="DA101" s="815"/>
      <c r="DB101" s="815"/>
      <c r="DC101" s="815"/>
      <c r="DD101" s="815"/>
      <c r="DE101" s="815"/>
      <c r="DF101" s="815"/>
      <c r="DG101" s="815"/>
      <c r="DH101" s="815"/>
      <c r="DI101" s="815"/>
      <c r="DJ101" s="815"/>
      <c r="EA101" s="835"/>
      <c r="EB101" s="835"/>
      <c r="EC101" s="835"/>
      <c r="ED101" s="835"/>
      <c r="EE101" s="835"/>
      <c r="EF101" s="835"/>
      <c r="EG101" s="835"/>
      <c r="EH101" s="835"/>
      <c r="EI101" s="835"/>
      <c r="EJ101" s="835"/>
      <c r="EK101" s="835"/>
      <c r="EL101" s="835"/>
    </row>
    <row r="102" spans="3:142" ht="13.5" outlineLevel="1">
      <c r="C102" s="943"/>
      <c r="D102" s="943"/>
      <c r="E102" s="1022"/>
      <c r="F102" s="1022"/>
      <c r="G102" s="1023"/>
      <c r="H102" s="1024"/>
      <c r="I102" s="943"/>
      <c r="Z102" s="815"/>
      <c r="AA102" s="815"/>
      <c r="AB102" s="815"/>
      <c r="AC102" s="815"/>
      <c r="AD102" s="815"/>
      <c r="AE102" s="815"/>
      <c r="AF102" s="815"/>
      <c r="AG102" s="815"/>
      <c r="AH102" s="815"/>
      <c r="AI102" s="815"/>
      <c r="AJ102" s="815"/>
      <c r="AK102" s="815"/>
      <c r="AL102" s="943"/>
      <c r="AM102" s="1024"/>
      <c r="AN102" s="1024"/>
      <c r="AO102" s="1024"/>
      <c r="AP102" s="1024"/>
      <c r="AQ102" s="1024"/>
      <c r="AR102" s="1024"/>
      <c r="AS102" s="1024"/>
      <c r="AT102" s="1024"/>
      <c r="AY102" s="815"/>
      <c r="AZ102" s="815"/>
      <c r="BA102" s="815"/>
      <c r="BB102" s="815"/>
      <c r="BC102" s="815"/>
      <c r="BD102" s="815"/>
      <c r="BE102" s="815"/>
      <c r="BF102" s="815"/>
      <c r="BG102" s="815"/>
      <c r="BH102" s="815"/>
      <c r="BI102" s="815"/>
      <c r="BJ102" s="815"/>
      <c r="BK102" s="815"/>
      <c r="BL102" s="815"/>
      <c r="BM102" s="815"/>
      <c r="BN102" s="815"/>
      <c r="BO102" s="815"/>
      <c r="BP102" s="815"/>
      <c r="BQ102" s="815"/>
      <c r="BR102" s="815"/>
      <c r="BS102" s="815"/>
      <c r="BT102" s="815"/>
      <c r="BU102" s="815"/>
      <c r="BV102" s="815"/>
      <c r="BW102" s="815"/>
      <c r="BX102" s="815"/>
      <c r="BY102" s="815"/>
      <c r="BZ102" s="815"/>
      <c r="CA102" s="815"/>
      <c r="CB102" s="815"/>
      <c r="CC102" s="815"/>
      <c r="CD102" s="815"/>
      <c r="CE102" s="815"/>
      <c r="CF102" s="815"/>
      <c r="CG102" s="815"/>
      <c r="CH102" s="815"/>
      <c r="CI102" s="815"/>
      <c r="CJ102" s="815"/>
      <c r="CK102" s="815"/>
      <c r="CL102" s="815"/>
      <c r="CM102" s="815"/>
      <c r="CN102" s="815"/>
      <c r="CO102" s="815"/>
      <c r="CP102" s="815"/>
      <c r="CQ102" s="815"/>
      <c r="CR102" s="815"/>
      <c r="CS102" s="815"/>
      <c r="CT102" s="815"/>
      <c r="CU102" s="815"/>
      <c r="CV102" s="815"/>
      <c r="CW102" s="815"/>
      <c r="CX102" s="815"/>
      <c r="CY102" s="815"/>
      <c r="CZ102" s="815"/>
      <c r="DA102" s="815"/>
      <c r="DB102" s="815"/>
      <c r="DC102" s="815"/>
      <c r="DD102" s="815"/>
      <c r="DE102" s="815"/>
      <c r="DF102" s="815"/>
      <c r="DG102" s="815"/>
      <c r="DH102" s="815"/>
      <c r="DI102" s="815"/>
      <c r="DJ102" s="815"/>
      <c r="EA102" s="835"/>
      <c r="EB102" s="835"/>
      <c r="EC102" s="835"/>
      <c r="ED102" s="835"/>
      <c r="EE102" s="835"/>
      <c r="EF102" s="835"/>
      <c r="EG102" s="835"/>
      <c r="EH102" s="835"/>
      <c r="EI102" s="835"/>
      <c r="EJ102" s="835"/>
      <c r="EK102" s="835"/>
      <c r="EL102" s="835"/>
    </row>
    <row r="103" spans="3:142" ht="13.5" outlineLevel="1">
      <c r="C103" s="943"/>
      <c r="D103" s="943"/>
      <c r="E103" s="1022" t="s">
        <v>2051</v>
      </c>
      <c r="F103" s="1022" t="s">
        <v>2052</v>
      </c>
      <c r="G103" s="1023"/>
      <c r="H103" s="1024">
        <f>SUM(Z103:DJ103)</f>
        <v>38880</v>
      </c>
      <c r="I103" s="2311">
        <f>(H85-H103)*(ABS(H85-H103)&gt;0.0001)</f>
        <v>0</v>
      </c>
      <c r="Z103" s="815"/>
      <c r="AA103" s="815"/>
      <c r="AB103" s="815"/>
      <c r="AC103" s="815"/>
      <c r="AD103" s="815"/>
      <c r="AE103" s="815"/>
      <c r="AF103" s="815"/>
      <c r="AG103" s="815"/>
      <c r="AH103" s="815"/>
      <c r="AI103" s="815"/>
      <c r="AJ103" s="815"/>
      <c r="AK103" s="815"/>
      <c r="AL103" s="943"/>
      <c r="AM103" s="1024">
        <f t="shared" ref="AM103:AT104" si="42">SUMIFS($K85:$BR85,$K$74:$BR$74,AM$92)</f>
        <v>4860</v>
      </c>
      <c r="AN103" s="1024">
        <f t="shared" si="42"/>
        <v>4860</v>
      </c>
      <c r="AO103" s="1024">
        <f t="shared" si="42"/>
        <v>4860</v>
      </c>
      <c r="AP103" s="1024">
        <f t="shared" si="42"/>
        <v>4860</v>
      </c>
      <c r="AQ103" s="1024">
        <f t="shared" si="42"/>
        <v>4860</v>
      </c>
      <c r="AR103" s="1024">
        <f t="shared" si="42"/>
        <v>4860</v>
      </c>
      <c r="AS103" s="1024">
        <f t="shared" si="42"/>
        <v>4860</v>
      </c>
      <c r="AT103" s="1024">
        <f t="shared" si="42"/>
        <v>4860</v>
      </c>
      <c r="AY103" s="815"/>
      <c r="AZ103" s="815"/>
      <c r="BA103" s="815"/>
      <c r="BB103" s="815"/>
      <c r="BC103" s="815"/>
      <c r="BD103" s="815"/>
      <c r="BE103" s="815"/>
      <c r="BF103" s="815"/>
      <c r="BG103" s="815"/>
      <c r="BH103" s="815"/>
      <c r="BI103" s="815"/>
      <c r="BJ103" s="815"/>
      <c r="BK103" s="815"/>
      <c r="BL103" s="815"/>
      <c r="BM103" s="815"/>
      <c r="BN103" s="815"/>
      <c r="BO103" s="815"/>
      <c r="BP103" s="815"/>
      <c r="BQ103" s="815"/>
      <c r="BR103" s="815"/>
      <c r="BS103" s="815"/>
      <c r="BT103" s="815"/>
      <c r="BU103" s="815"/>
      <c r="BV103" s="815"/>
      <c r="BW103" s="815"/>
      <c r="BX103" s="815"/>
      <c r="BY103" s="815"/>
      <c r="BZ103" s="815"/>
      <c r="CA103" s="815"/>
      <c r="CB103" s="815"/>
      <c r="CC103" s="815"/>
      <c r="CD103" s="815"/>
      <c r="CE103" s="815"/>
      <c r="CF103" s="815"/>
      <c r="CG103" s="815"/>
      <c r="CH103" s="815"/>
      <c r="CI103" s="815"/>
      <c r="CJ103" s="815"/>
      <c r="CK103" s="815"/>
      <c r="CL103" s="815"/>
      <c r="CM103" s="815"/>
      <c r="CN103" s="815"/>
      <c r="CO103" s="815"/>
      <c r="CP103" s="815"/>
      <c r="CQ103" s="815"/>
      <c r="CR103" s="815"/>
      <c r="CS103" s="815"/>
      <c r="CT103" s="815"/>
      <c r="CU103" s="815"/>
      <c r="CV103" s="815"/>
      <c r="CW103" s="815"/>
      <c r="CX103" s="815"/>
      <c r="CY103" s="815"/>
      <c r="CZ103" s="815"/>
      <c r="DA103" s="815"/>
      <c r="DB103" s="815"/>
      <c r="DC103" s="815"/>
      <c r="DD103" s="815"/>
      <c r="DE103" s="815"/>
      <c r="DF103" s="815"/>
      <c r="DG103" s="815"/>
      <c r="DH103" s="815"/>
      <c r="DI103" s="815"/>
      <c r="DJ103" s="815"/>
      <c r="EA103" s="835"/>
      <c r="EB103" s="835"/>
      <c r="EC103" s="835"/>
      <c r="ED103" s="835"/>
      <c r="EE103" s="835"/>
      <c r="EF103" s="835"/>
      <c r="EG103" s="835"/>
      <c r="EH103" s="835"/>
      <c r="EI103" s="835"/>
      <c r="EJ103" s="835"/>
      <c r="EK103" s="835"/>
      <c r="EL103" s="835"/>
    </row>
    <row r="104" spans="3:142" ht="13.5" outlineLevel="1">
      <c r="C104" s="943"/>
      <c r="D104" s="943"/>
      <c r="E104" s="1022"/>
      <c r="F104" s="1022" t="s">
        <v>2022</v>
      </c>
      <c r="G104" s="1023"/>
      <c r="H104" s="1024">
        <f>SUM(Z104:DJ104)</f>
        <v>7280.0000000000009</v>
      </c>
      <c r="I104" s="2311">
        <f>(H86-H104)*(ABS(H86-H104)&gt;0.0001)</f>
        <v>0</v>
      </c>
      <c r="Z104" s="815"/>
      <c r="AA104" s="815"/>
      <c r="AB104" s="815"/>
      <c r="AC104" s="815"/>
      <c r="AD104" s="815"/>
      <c r="AE104" s="815"/>
      <c r="AF104" s="815"/>
      <c r="AG104" s="815"/>
      <c r="AH104" s="815"/>
      <c r="AI104" s="815"/>
      <c r="AJ104" s="815"/>
      <c r="AK104" s="815"/>
      <c r="AL104" s="943"/>
      <c r="AM104" s="1024">
        <f t="shared" si="42"/>
        <v>910.00000000000011</v>
      </c>
      <c r="AN104" s="1024">
        <f t="shared" si="42"/>
        <v>910.00000000000011</v>
      </c>
      <c r="AO104" s="1024">
        <f t="shared" si="42"/>
        <v>910.00000000000011</v>
      </c>
      <c r="AP104" s="1024">
        <f t="shared" si="42"/>
        <v>910.00000000000011</v>
      </c>
      <c r="AQ104" s="1024">
        <f t="shared" si="42"/>
        <v>910.00000000000011</v>
      </c>
      <c r="AR104" s="1024">
        <f t="shared" si="42"/>
        <v>910.00000000000011</v>
      </c>
      <c r="AS104" s="1024">
        <f t="shared" si="42"/>
        <v>910.00000000000011</v>
      </c>
      <c r="AT104" s="1024">
        <f t="shared" si="42"/>
        <v>910.00000000000011</v>
      </c>
      <c r="AY104" s="815"/>
      <c r="AZ104" s="815"/>
      <c r="BA104" s="815"/>
      <c r="BB104" s="815"/>
      <c r="BC104" s="815"/>
      <c r="BD104" s="815"/>
      <c r="BE104" s="815"/>
      <c r="BF104" s="815"/>
      <c r="BG104" s="815"/>
      <c r="BH104" s="815"/>
      <c r="BI104" s="815"/>
      <c r="BJ104" s="815"/>
      <c r="BK104" s="815"/>
      <c r="BL104" s="815"/>
      <c r="BM104" s="815"/>
      <c r="BN104" s="815"/>
      <c r="BO104" s="815"/>
      <c r="BP104" s="815"/>
      <c r="BQ104" s="815"/>
      <c r="BR104" s="815"/>
      <c r="BS104" s="815"/>
      <c r="BT104" s="815"/>
      <c r="BU104" s="815"/>
      <c r="BV104" s="815"/>
      <c r="BW104" s="815"/>
      <c r="BX104" s="815"/>
      <c r="BY104" s="815"/>
      <c r="BZ104" s="815"/>
      <c r="CA104" s="815"/>
      <c r="CB104" s="815"/>
      <c r="CC104" s="815"/>
      <c r="CD104" s="815"/>
      <c r="CE104" s="815"/>
      <c r="CF104" s="815"/>
      <c r="CG104" s="815"/>
      <c r="CH104" s="815"/>
      <c r="CI104" s="815"/>
      <c r="CJ104" s="815"/>
      <c r="CK104" s="815"/>
      <c r="CL104" s="815"/>
      <c r="CM104" s="815"/>
      <c r="CN104" s="815"/>
      <c r="CO104" s="815"/>
      <c r="CP104" s="815"/>
      <c r="CQ104" s="815"/>
      <c r="CR104" s="815"/>
      <c r="CS104" s="815"/>
      <c r="CT104" s="815"/>
      <c r="CU104" s="815"/>
      <c r="CV104" s="815"/>
      <c r="CW104" s="815"/>
      <c r="CX104" s="815"/>
      <c r="CY104" s="815"/>
      <c r="CZ104" s="815"/>
      <c r="DA104" s="815"/>
      <c r="DB104" s="815"/>
      <c r="DC104" s="815"/>
      <c r="DD104" s="815"/>
      <c r="DE104" s="815"/>
      <c r="DF104" s="815"/>
      <c r="DG104" s="815"/>
      <c r="DH104" s="815"/>
      <c r="DI104" s="815"/>
      <c r="DJ104" s="815"/>
      <c r="EA104" s="835"/>
      <c r="EB104" s="835"/>
      <c r="EC104" s="835"/>
      <c r="ED104" s="835"/>
      <c r="EE104" s="835"/>
      <c r="EF104" s="835"/>
      <c r="EG104" s="835"/>
      <c r="EH104" s="835"/>
      <c r="EI104" s="835"/>
      <c r="EJ104" s="835"/>
      <c r="EK104" s="835"/>
      <c r="EL104" s="835"/>
    </row>
    <row r="105" spans="3:142" ht="13.5" outlineLevel="1">
      <c r="C105" s="943"/>
      <c r="D105" s="943"/>
      <c r="E105" s="1022"/>
      <c r="F105" s="1022"/>
      <c r="G105" s="1023"/>
      <c r="H105" s="943"/>
      <c r="I105" s="943"/>
      <c r="Z105" s="846"/>
      <c r="AA105" s="846"/>
      <c r="AB105" s="846"/>
      <c r="AC105" s="846"/>
      <c r="AD105" s="846"/>
      <c r="AE105" s="846"/>
      <c r="AF105" s="846"/>
      <c r="AG105" s="846"/>
      <c r="AH105" s="846"/>
      <c r="AI105" s="846"/>
      <c r="AJ105" s="846"/>
      <c r="AK105" s="846"/>
      <c r="AL105" s="943"/>
      <c r="AM105" s="943"/>
      <c r="AN105" s="943"/>
      <c r="AO105" s="943"/>
      <c r="AP105" s="943"/>
      <c r="AQ105" s="943"/>
      <c r="AR105" s="943"/>
      <c r="AS105" s="943"/>
      <c r="AT105" s="943"/>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c r="BT105" s="846"/>
      <c r="BU105" s="846"/>
      <c r="BV105" s="846"/>
      <c r="BW105" s="846"/>
      <c r="BX105" s="846"/>
      <c r="BY105" s="846"/>
      <c r="BZ105" s="846"/>
      <c r="CA105" s="846"/>
      <c r="CB105" s="846"/>
      <c r="CC105" s="846"/>
      <c r="CD105" s="846"/>
      <c r="CE105" s="846"/>
      <c r="CF105" s="846"/>
      <c r="CG105" s="846"/>
      <c r="CH105" s="846"/>
      <c r="CI105" s="846"/>
      <c r="CJ105" s="846"/>
      <c r="CK105" s="846"/>
      <c r="CL105" s="846"/>
      <c r="CM105" s="846"/>
      <c r="CN105" s="846"/>
      <c r="CO105" s="846"/>
      <c r="CP105" s="846"/>
      <c r="CQ105" s="846"/>
      <c r="CR105" s="846"/>
      <c r="CS105" s="846"/>
      <c r="CT105" s="846"/>
      <c r="CU105" s="846"/>
      <c r="CV105" s="846"/>
      <c r="CW105" s="846"/>
      <c r="CX105" s="846"/>
      <c r="CY105" s="846"/>
      <c r="CZ105" s="846"/>
      <c r="DA105" s="846"/>
      <c r="DB105" s="846"/>
      <c r="DC105" s="846"/>
      <c r="DD105" s="846"/>
      <c r="DE105" s="846"/>
      <c r="DF105" s="846"/>
      <c r="DG105" s="846"/>
      <c r="DH105" s="846"/>
      <c r="DI105" s="846"/>
      <c r="DJ105" s="846"/>
      <c r="EA105" s="835"/>
      <c r="EB105" s="835"/>
      <c r="EC105" s="835"/>
      <c r="ED105" s="835"/>
      <c r="EE105" s="835"/>
      <c r="EF105" s="835"/>
      <c r="EG105" s="835"/>
      <c r="EH105" s="835"/>
      <c r="EI105" s="835"/>
      <c r="EJ105" s="835"/>
      <c r="EK105" s="835"/>
      <c r="EL105" s="835"/>
    </row>
    <row r="106" spans="3:142" ht="13.5" outlineLevel="1">
      <c r="C106" s="943"/>
      <c r="D106" s="943"/>
      <c r="E106" s="2300" t="s">
        <v>2053</v>
      </c>
      <c r="F106" s="2300" t="s">
        <v>934</v>
      </c>
      <c r="G106" s="2313"/>
      <c r="H106" s="2314">
        <f>IFERROR(H101/H103,)</f>
        <v>1.3623711419119591</v>
      </c>
      <c r="I106" s="2315"/>
      <c r="Z106" s="2316"/>
      <c r="AA106" s="2316"/>
      <c r="AB106" s="2316"/>
      <c r="AC106" s="2316"/>
      <c r="AD106" s="2316"/>
      <c r="AE106" s="2316"/>
      <c r="AF106" s="2316"/>
      <c r="AG106" s="2316"/>
      <c r="AH106" s="2316"/>
      <c r="AI106" s="2316"/>
      <c r="AJ106" s="2316"/>
      <c r="AK106" s="2316"/>
      <c r="AL106" s="2317"/>
      <c r="AM106" s="2314">
        <f>IFERROR(AM101/AM103,)</f>
        <v>1.4911290229078367</v>
      </c>
      <c r="AN106" s="2314">
        <f t="shared" ref="AN106:AT106" si="43">IFERROR(AN101/AN103,)</f>
        <v>1.2225379651664765</v>
      </c>
      <c r="AO106" s="2314">
        <f t="shared" si="43"/>
        <v>1.3935264385074304</v>
      </c>
      <c r="AP106" s="2314">
        <f t="shared" si="43"/>
        <v>1.2617994080532848</v>
      </c>
      <c r="AQ106" s="2314">
        <f t="shared" si="43"/>
        <v>1.5355107750612826</v>
      </c>
      <c r="AR106" s="2314">
        <f t="shared" si="43"/>
        <v>1.2594229024585184</v>
      </c>
      <c r="AS106" s="2314">
        <f t="shared" si="43"/>
        <v>1.43522458755973</v>
      </c>
      <c r="AT106" s="2314">
        <f t="shared" si="43"/>
        <v>1.2998180355811124</v>
      </c>
      <c r="AY106" s="2316"/>
      <c r="AZ106" s="2316"/>
      <c r="BA106" s="2316"/>
      <c r="BB106" s="2316"/>
      <c r="BC106" s="2316"/>
      <c r="BD106" s="2316"/>
      <c r="BE106" s="2316"/>
      <c r="BF106" s="2316"/>
      <c r="BG106" s="2316"/>
      <c r="BH106" s="2316"/>
      <c r="BI106" s="2316"/>
      <c r="BJ106" s="2316"/>
      <c r="BK106" s="2316"/>
      <c r="BL106" s="2316"/>
      <c r="BM106" s="2316"/>
      <c r="BN106" s="2316"/>
      <c r="BO106" s="2316"/>
      <c r="BP106" s="2316"/>
      <c r="BQ106" s="2316"/>
      <c r="BR106" s="2316"/>
      <c r="BS106" s="2316"/>
      <c r="BT106" s="2316"/>
      <c r="BU106" s="2316"/>
      <c r="BV106" s="2316"/>
      <c r="BW106" s="2316"/>
      <c r="BX106" s="2316"/>
      <c r="BY106" s="2316"/>
      <c r="BZ106" s="2316"/>
      <c r="CA106" s="2316"/>
      <c r="CB106" s="2316"/>
      <c r="CC106" s="2316"/>
      <c r="CD106" s="2316"/>
      <c r="CE106" s="2316"/>
      <c r="CF106" s="2316"/>
      <c r="CG106" s="2316"/>
      <c r="CH106" s="2316"/>
      <c r="CI106" s="2316"/>
      <c r="CJ106" s="2316"/>
      <c r="CK106" s="2316"/>
      <c r="CL106" s="2316"/>
      <c r="CM106" s="2316"/>
      <c r="CN106" s="2316"/>
      <c r="CO106" s="2316"/>
      <c r="CP106" s="2316"/>
      <c r="CQ106" s="2316"/>
      <c r="CR106" s="2316"/>
      <c r="CS106" s="2316"/>
      <c r="CT106" s="2316"/>
      <c r="CU106" s="2316"/>
      <c r="CV106" s="2316"/>
      <c r="CW106" s="2316"/>
      <c r="CX106" s="2316"/>
      <c r="CY106" s="2316"/>
      <c r="CZ106" s="2316"/>
      <c r="DA106" s="2316"/>
      <c r="DB106" s="2316"/>
      <c r="DC106" s="2316"/>
      <c r="DD106" s="2316"/>
      <c r="DE106" s="2316"/>
      <c r="DF106" s="2316"/>
      <c r="DG106" s="2316"/>
      <c r="DH106" s="2316"/>
      <c r="DI106" s="2316"/>
      <c r="DJ106" s="2316"/>
      <c r="EA106" s="835"/>
      <c r="EB106" s="835"/>
      <c r="EC106" s="835"/>
      <c r="ED106" s="835"/>
      <c r="EE106" s="835"/>
      <c r="EF106" s="835"/>
      <c r="EG106" s="835"/>
      <c r="EH106" s="835"/>
      <c r="EI106" s="835"/>
      <c r="EJ106" s="835"/>
      <c r="EK106" s="835"/>
      <c r="EL106" s="835"/>
    </row>
    <row r="107" spans="3:142" ht="14.25" outlineLevel="1" thickBot="1">
      <c r="C107" s="943"/>
      <c r="D107" s="943"/>
      <c r="E107" s="2300"/>
      <c r="F107" s="2300" t="s">
        <v>936</v>
      </c>
      <c r="G107" s="2313"/>
      <c r="H107" s="2314">
        <f>IFERROR(H101/(H103+H104),)</f>
        <v>1.147508448820125</v>
      </c>
      <c r="I107" s="2315"/>
      <c r="Z107" s="2316"/>
      <c r="AA107" s="2316"/>
      <c r="AB107" s="2316"/>
      <c r="AC107" s="2316"/>
      <c r="AD107" s="2316"/>
      <c r="AE107" s="2316"/>
      <c r="AF107" s="2316"/>
      <c r="AG107" s="2316"/>
      <c r="AH107" s="2316"/>
      <c r="AI107" s="2316"/>
      <c r="AJ107" s="2316"/>
      <c r="AK107" s="2316"/>
      <c r="AL107" s="2317"/>
      <c r="AM107" s="2314">
        <f t="shared" ref="AM107:AT107" si="44">IFERROR(AM101/(AM103+AM104),)</f>
        <v>1.2559596276138798</v>
      </c>
      <c r="AN107" s="2314">
        <f t="shared" si="44"/>
        <v>1.0297286846982801</v>
      </c>
      <c r="AO107" s="2314">
        <f t="shared" si="44"/>
        <v>1.1737501717757559</v>
      </c>
      <c r="AP107" s="2314">
        <f t="shared" si="44"/>
        <v>1.0627981149287633</v>
      </c>
      <c r="AQ107" s="2314">
        <f t="shared" si="44"/>
        <v>1.2933418313341134</v>
      </c>
      <c r="AR107" s="2314">
        <f t="shared" si="44"/>
        <v>1.0607964135092545</v>
      </c>
      <c r="AS107" s="2314">
        <f t="shared" si="44"/>
        <v>1.2088720096256997</v>
      </c>
      <c r="AT107" s="2314">
        <f t="shared" si="44"/>
        <v>1.0948207370752523</v>
      </c>
      <c r="AY107" s="2316"/>
      <c r="AZ107" s="2316"/>
      <c r="BA107" s="2316"/>
      <c r="BB107" s="2316"/>
      <c r="BC107" s="2316"/>
      <c r="BD107" s="2316"/>
      <c r="BE107" s="2316"/>
      <c r="BF107" s="2316"/>
      <c r="BG107" s="2316"/>
      <c r="BH107" s="2316"/>
      <c r="BI107" s="2316"/>
      <c r="BJ107" s="2316"/>
      <c r="BK107" s="2316"/>
      <c r="BL107" s="2316"/>
      <c r="BM107" s="2316"/>
      <c r="BN107" s="2316"/>
      <c r="BO107" s="2316"/>
      <c r="BP107" s="2316"/>
      <c r="BQ107" s="2316"/>
      <c r="BR107" s="2316"/>
      <c r="BS107" s="2316"/>
      <c r="BT107" s="2316"/>
      <c r="BU107" s="2316"/>
      <c r="BV107" s="2316"/>
      <c r="BW107" s="2316"/>
      <c r="BX107" s="2316"/>
      <c r="BY107" s="2316"/>
      <c r="BZ107" s="2316"/>
      <c r="CA107" s="2316"/>
      <c r="CB107" s="2316"/>
      <c r="CC107" s="2316"/>
      <c r="CD107" s="2316"/>
      <c r="CE107" s="2316"/>
      <c r="CF107" s="2316"/>
      <c r="CG107" s="2316"/>
      <c r="CH107" s="2316"/>
      <c r="CI107" s="2316"/>
      <c r="CJ107" s="2316"/>
      <c r="CK107" s="2316"/>
      <c r="CL107" s="2316"/>
      <c r="CM107" s="2316"/>
      <c r="CN107" s="2316"/>
      <c r="CO107" s="2316"/>
      <c r="CP107" s="2316"/>
      <c r="CQ107" s="2316"/>
      <c r="CR107" s="2316"/>
      <c r="CS107" s="2316"/>
      <c r="CT107" s="2316"/>
      <c r="CU107" s="2316"/>
      <c r="CV107" s="2316"/>
      <c r="CW107" s="2316"/>
      <c r="CX107" s="2316"/>
      <c r="CY107" s="2316"/>
      <c r="CZ107" s="2316"/>
      <c r="DA107" s="2316"/>
      <c r="DB107" s="2316"/>
      <c r="DC107" s="2316"/>
      <c r="DD107" s="2316"/>
      <c r="DE107" s="2316"/>
      <c r="DF107" s="2316"/>
      <c r="DG107" s="2316"/>
      <c r="DH107" s="2316"/>
      <c r="DI107" s="2316"/>
      <c r="DJ107" s="2316"/>
      <c r="EA107" s="835"/>
      <c r="EB107" s="835"/>
      <c r="EC107" s="835"/>
      <c r="ED107" s="835"/>
      <c r="EE107" s="835"/>
      <c r="EF107" s="835"/>
      <c r="EG107" s="835"/>
      <c r="EH107" s="835"/>
      <c r="EI107" s="835"/>
      <c r="EJ107" s="835"/>
      <c r="EK107" s="835"/>
      <c r="EL107" s="835"/>
    </row>
    <row r="108" spans="3:142" s="898" customFormat="1" ht="14.25" outlineLevel="1" thickTop="1">
      <c r="E108" s="2318" t="s">
        <v>2054</v>
      </c>
      <c r="F108" s="2319" t="s">
        <v>2023</v>
      </c>
      <c r="G108" s="2320">
        <v>1.2</v>
      </c>
      <c r="H108" s="2321">
        <f>SUM(Z108:DJ108)</f>
        <v>45657</v>
      </c>
      <c r="I108" s="2322"/>
      <c r="Z108" s="2316"/>
      <c r="AA108" s="2316"/>
      <c r="AB108" s="2316"/>
      <c r="AC108" s="2316"/>
      <c r="AD108" s="2316"/>
      <c r="AE108" s="2316"/>
      <c r="AF108" s="2316"/>
      <c r="AG108" s="2316"/>
      <c r="AH108" s="2316"/>
      <c r="AI108" s="2316"/>
      <c r="AJ108" s="2316"/>
      <c r="AK108" s="2316"/>
      <c r="AL108" s="2323"/>
      <c r="AM108" s="2324">
        <f t="shared" ref="AM108:AX109" si="45">AM$93*(AM106=$H114)</f>
        <v>0</v>
      </c>
      <c r="AN108" s="2324">
        <f t="shared" si="45"/>
        <v>45657</v>
      </c>
      <c r="AO108" s="2324">
        <f t="shared" si="45"/>
        <v>0</v>
      </c>
      <c r="AP108" s="2324">
        <f t="shared" si="45"/>
        <v>0</v>
      </c>
      <c r="AQ108" s="2324">
        <f t="shared" si="45"/>
        <v>0</v>
      </c>
      <c r="AR108" s="2324">
        <f t="shared" si="45"/>
        <v>0</v>
      </c>
      <c r="AS108" s="2324">
        <f t="shared" si="45"/>
        <v>0</v>
      </c>
      <c r="AT108" s="2324">
        <f t="shared" si="45"/>
        <v>0</v>
      </c>
      <c r="AU108" s="2324">
        <f t="shared" si="45"/>
        <v>0</v>
      </c>
      <c r="AV108" s="2324">
        <f t="shared" si="45"/>
        <v>0</v>
      </c>
      <c r="AW108" s="2324">
        <f t="shared" si="45"/>
        <v>0</v>
      </c>
      <c r="AX108" s="2324">
        <f t="shared" si="45"/>
        <v>0</v>
      </c>
      <c r="AY108" s="2316"/>
      <c r="AZ108" s="2316"/>
      <c r="BA108" s="2316"/>
      <c r="BB108" s="2316"/>
      <c r="BC108" s="2316"/>
      <c r="BD108" s="2316"/>
      <c r="BE108" s="2316"/>
      <c r="BF108" s="2316"/>
      <c r="BG108" s="2316"/>
      <c r="BH108" s="2316"/>
      <c r="BI108" s="2316"/>
      <c r="BJ108" s="2316"/>
      <c r="BK108" s="2316"/>
      <c r="BL108" s="2316"/>
      <c r="BM108" s="2316"/>
      <c r="BN108" s="2316"/>
      <c r="BO108" s="2316"/>
      <c r="BP108" s="2316"/>
      <c r="BQ108" s="2316"/>
      <c r="BR108" s="2316"/>
      <c r="BS108" s="2316"/>
      <c r="BT108" s="2316"/>
      <c r="BU108" s="2316"/>
      <c r="BV108" s="2316"/>
      <c r="BW108" s="2316"/>
      <c r="BX108" s="2316"/>
      <c r="BY108" s="2316"/>
      <c r="BZ108" s="2316"/>
      <c r="CA108" s="2316"/>
      <c r="CB108" s="2316"/>
      <c r="CC108" s="2316"/>
      <c r="CD108" s="2316"/>
      <c r="CE108" s="2316"/>
      <c r="CF108" s="2316"/>
      <c r="CG108" s="2316"/>
      <c r="CH108" s="2316"/>
      <c r="CI108" s="2316"/>
      <c r="CJ108" s="2316"/>
      <c r="CK108" s="2316"/>
      <c r="CL108" s="2316"/>
      <c r="CM108" s="2316"/>
      <c r="CN108" s="2316"/>
      <c r="CO108" s="2316"/>
      <c r="CP108" s="2316"/>
      <c r="CQ108" s="2316"/>
      <c r="CR108" s="2316"/>
      <c r="CS108" s="2316"/>
      <c r="CT108" s="2316"/>
      <c r="CU108" s="2316"/>
      <c r="CV108" s="2316"/>
      <c r="CW108" s="2316"/>
      <c r="CX108" s="2316"/>
      <c r="CY108" s="2316"/>
      <c r="CZ108" s="2316"/>
      <c r="DA108" s="2316"/>
      <c r="DB108" s="2316"/>
      <c r="DC108" s="2316"/>
      <c r="DD108" s="2316"/>
      <c r="DE108" s="2316"/>
      <c r="DF108" s="2316"/>
      <c r="DG108" s="2316"/>
      <c r="DH108" s="2316"/>
      <c r="DI108" s="2316"/>
      <c r="DJ108" s="2316"/>
    </row>
    <row r="109" spans="3:142" s="898" customFormat="1" ht="14.25" outlineLevel="1" thickBot="1">
      <c r="E109" s="2325"/>
      <c r="F109" s="2326" t="s">
        <v>2055</v>
      </c>
      <c r="G109" s="2327">
        <v>1</v>
      </c>
      <c r="H109" s="2321">
        <f>SUM(Z109:DJ109)</f>
        <v>45657</v>
      </c>
      <c r="I109" s="2322"/>
      <c r="Z109" s="2316"/>
      <c r="AA109" s="2316"/>
      <c r="AB109" s="2316"/>
      <c r="AC109" s="2316"/>
      <c r="AD109" s="2316"/>
      <c r="AE109" s="2316"/>
      <c r="AF109" s="2316"/>
      <c r="AG109" s="2316"/>
      <c r="AH109" s="2316"/>
      <c r="AI109" s="2316"/>
      <c r="AJ109" s="2316"/>
      <c r="AK109" s="2316"/>
      <c r="AL109" s="2323"/>
      <c r="AM109" s="2324">
        <f t="shared" si="45"/>
        <v>0</v>
      </c>
      <c r="AN109" s="2324">
        <f t="shared" si="45"/>
        <v>45657</v>
      </c>
      <c r="AO109" s="2324">
        <f t="shared" si="45"/>
        <v>0</v>
      </c>
      <c r="AP109" s="2324">
        <f t="shared" si="45"/>
        <v>0</v>
      </c>
      <c r="AQ109" s="2324">
        <f t="shared" si="45"/>
        <v>0</v>
      </c>
      <c r="AR109" s="2324">
        <f t="shared" si="45"/>
        <v>0</v>
      </c>
      <c r="AS109" s="2324">
        <f t="shared" si="45"/>
        <v>0</v>
      </c>
      <c r="AT109" s="2324">
        <f t="shared" si="45"/>
        <v>0</v>
      </c>
      <c r="AU109" s="2324">
        <f t="shared" si="45"/>
        <v>0</v>
      </c>
      <c r="AV109" s="2324">
        <f t="shared" si="45"/>
        <v>0</v>
      </c>
      <c r="AW109" s="2324">
        <f t="shared" si="45"/>
        <v>0</v>
      </c>
      <c r="AX109" s="2324">
        <f t="shared" si="45"/>
        <v>0</v>
      </c>
      <c r="AY109" s="2316"/>
      <c r="AZ109" s="2316"/>
      <c r="BA109" s="2316"/>
      <c r="BB109" s="2316"/>
      <c r="BC109" s="2316"/>
      <c r="BD109" s="2316"/>
      <c r="BE109" s="2316"/>
      <c r="BF109" s="2316"/>
      <c r="BG109" s="2316"/>
      <c r="BH109" s="2316"/>
      <c r="BI109" s="2316"/>
      <c r="BJ109" s="2316"/>
      <c r="BK109" s="2316"/>
      <c r="BL109" s="2316"/>
      <c r="BM109" s="2316"/>
      <c r="BN109" s="2316"/>
      <c r="BO109" s="2316"/>
      <c r="BP109" s="2316"/>
      <c r="BQ109" s="2316"/>
      <c r="BR109" s="2316"/>
      <c r="BS109" s="2316"/>
      <c r="BT109" s="2316"/>
      <c r="BU109" s="2316"/>
      <c r="BV109" s="2316"/>
      <c r="BW109" s="2316"/>
      <c r="BX109" s="2316"/>
      <c r="BY109" s="2316"/>
      <c r="BZ109" s="2316"/>
      <c r="CA109" s="2316"/>
      <c r="CB109" s="2316"/>
      <c r="CC109" s="2316"/>
      <c r="CD109" s="2316"/>
      <c r="CE109" s="2316"/>
      <c r="CF109" s="2316"/>
      <c r="CG109" s="2316"/>
      <c r="CH109" s="2316"/>
      <c r="CI109" s="2316"/>
      <c r="CJ109" s="2316"/>
      <c r="CK109" s="2316"/>
      <c r="CL109" s="2316"/>
      <c r="CM109" s="2316"/>
      <c r="CN109" s="2316"/>
      <c r="CO109" s="2316"/>
      <c r="CP109" s="2316"/>
      <c r="CQ109" s="2316"/>
      <c r="CR109" s="2316"/>
      <c r="CS109" s="2316"/>
      <c r="CT109" s="2316"/>
      <c r="CU109" s="2316"/>
      <c r="CV109" s="2316"/>
      <c r="CW109" s="2316"/>
      <c r="CX109" s="2316"/>
      <c r="CY109" s="2316"/>
      <c r="CZ109" s="2316"/>
      <c r="DA109" s="2316"/>
      <c r="DB109" s="2316"/>
      <c r="DC109" s="2316"/>
      <c r="DD109" s="2316"/>
      <c r="DE109" s="2316"/>
      <c r="DF109" s="2316"/>
      <c r="DG109" s="2316"/>
      <c r="DH109" s="2316"/>
      <c r="DI109" s="2316"/>
      <c r="DJ109" s="2316"/>
    </row>
    <row r="110" spans="3:142" s="898" customFormat="1" ht="14.25" outlineLevel="1" thickTop="1">
      <c r="E110" s="897"/>
      <c r="F110" s="897"/>
      <c r="G110" s="2328"/>
      <c r="H110" s="2321"/>
      <c r="I110" s="2322"/>
      <c r="Z110" s="2316"/>
      <c r="AA110" s="2316"/>
      <c r="AB110" s="2316"/>
      <c r="AC110" s="2316"/>
      <c r="AD110" s="2316"/>
      <c r="AE110" s="2316"/>
      <c r="AF110" s="2316"/>
      <c r="AG110" s="2316"/>
      <c r="AH110" s="2316"/>
      <c r="AI110" s="2316"/>
      <c r="AJ110" s="2316"/>
      <c r="AK110" s="2316"/>
      <c r="AL110" s="2323"/>
      <c r="AM110" s="2324"/>
      <c r="AN110" s="2324"/>
      <c r="AO110" s="2324"/>
      <c r="AP110" s="2324"/>
      <c r="AQ110" s="2324"/>
      <c r="AR110" s="2324"/>
      <c r="AS110" s="2324"/>
      <c r="AT110" s="2324"/>
      <c r="AU110" s="2324"/>
      <c r="AV110" s="2324"/>
      <c r="AW110" s="2324"/>
      <c r="AX110" s="2324"/>
      <c r="AY110" s="2316"/>
      <c r="AZ110" s="2316"/>
      <c r="BA110" s="2316"/>
      <c r="BB110" s="2316"/>
      <c r="BC110" s="2316"/>
      <c r="BD110" s="2316"/>
      <c r="BE110" s="2316"/>
      <c r="BF110" s="2316"/>
      <c r="BG110" s="2316"/>
      <c r="BH110" s="2316"/>
      <c r="BI110" s="2316"/>
      <c r="BJ110" s="2316"/>
      <c r="BK110" s="2316"/>
      <c r="BL110" s="2316"/>
      <c r="BM110" s="2316"/>
      <c r="BN110" s="2316"/>
      <c r="BO110" s="2316"/>
      <c r="BP110" s="2316"/>
      <c r="BQ110" s="2316"/>
      <c r="BR110" s="2316"/>
      <c r="BS110" s="2316"/>
      <c r="BT110" s="2316"/>
      <c r="BU110" s="2316"/>
      <c r="BV110" s="2316"/>
      <c r="BW110" s="2316"/>
      <c r="BX110" s="2316"/>
      <c r="BY110" s="2316"/>
      <c r="BZ110" s="2316"/>
      <c r="CA110" s="2316"/>
      <c r="CB110" s="2316"/>
      <c r="CC110" s="2316"/>
      <c r="CD110" s="2316"/>
      <c r="CE110" s="2316"/>
      <c r="CF110" s="2316"/>
      <c r="CG110" s="2316"/>
      <c r="CH110" s="2316"/>
      <c r="CI110" s="2316"/>
      <c r="CJ110" s="2316"/>
      <c r="CK110" s="2316"/>
      <c r="CL110" s="2316"/>
      <c r="CM110" s="2316"/>
      <c r="CN110" s="2316"/>
      <c r="CO110" s="2316"/>
      <c r="CP110" s="2316"/>
      <c r="CQ110" s="2316"/>
      <c r="CR110" s="2316"/>
      <c r="CS110" s="2316"/>
      <c r="CT110" s="2316"/>
      <c r="CU110" s="2316"/>
      <c r="CV110" s="2316"/>
      <c r="CW110" s="2316"/>
      <c r="CX110" s="2316"/>
      <c r="CY110" s="2316"/>
      <c r="CZ110" s="2316"/>
      <c r="DA110" s="2316"/>
      <c r="DB110" s="2316"/>
      <c r="DC110" s="2316"/>
      <c r="DD110" s="2316"/>
      <c r="DE110" s="2316"/>
      <c r="DF110" s="2316"/>
      <c r="DG110" s="2316"/>
      <c r="DH110" s="2316"/>
      <c r="DI110" s="2316"/>
      <c r="DJ110" s="2316"/>
    </row>
    <row r="111" spans="3:142" ht="13.5" outlineLevel="1">
      <c r="C111" s="851"/>
      <c r="D111" s="851"/>
      <c r="E111" s="2329" t="s">
        <v>2056</v>
      </c>
      <c r="F111" s="2329" t="s">
        <v>2057</v>
      </c>
      <c r="G111" s="851"/>
      <c r="H111" s="2330">
        <f>MAX(AM106:AX106)</f>
        <v>1.5355107750612826</v>
      </c>
    </row>
    <row r="112" spans="3:142" ht="13.5" outlineLevel="1">
      <c r="C112" s="851"/>
      <c r="D112" s="851"/>
      <c r="E112" s="2329"/>
      <c r="F112" s="2329" t="s">
        <v>2058</v>
      </c>
      <c r="G112" s="851"/>
      <c r="H112" s="2330">
        <f>MAX(AM107:AX107)</f>
        <v>1.2933418313341134</v>
      </c>
    </row>
    <row r="113" spans="3:53" ht="13.5" outlineLevel="1">
      <c r="C113" s="851"/>
      <c r="D113" s="851"/>
      <c r="E113" s="851"/>
      <c r="F113" s="851"/>
      <c r="G113" s="851"/>
      <c r="H113" s="2331">
        <v>0</v>
      </c>
      <c r="I113" s="835" t="s">
        <v>2063</v>
      </c>
      <c r="AM113" s="2332"/>
      <c r="AN113" s="2332"/>
      <c r="AO113" s="2332"/>
      <c r="AP113" s="2332"/>
      <c r="AQ113" s="2332"/>
      <c r="AR113" s="2332"/>
      <c r="AS113" s="2332"/>
      <c r="AT113" s="2332"/>
      <c r="AU113" s="2332"/>
      <c r="AV113" s="2332"/>
      <c r="AW113" s="2332"/>
      <c r="AX113" s="2332"/>
      <c r="AY113" s="2332"/>
      <c r="AZ113" s="2332"/>
      <c r="BA113" s="2332"/>
    </row>
    <row r="114" spans="3:53" ht="13.5" outlineLevel="1">
      <c r="C114" s="851"/>
      <c r="D114" s="851"/>
      <c r="E114" s="2333" t="s">
        <v>2059</v>
      </c>
      <c r="F114" s="2333" t="s">
        <v>2060</v>
      </c>
      <c r="G114" s="851"/>
      <c r="H114" s="2334">
        <f>MIN(AM106:AX106)</f>
        <v>1.2225379651664765</v>
      </c>
      <c r="AM114" s="2335"/>
      <c r="AN114" s="2335"/>
      <c r="AO114" s="2335"/>
      <c r="AP114" s="2335"/>
      <c r="AQ114" s="2335"/>
      <c r="AR114" s="2335"/>
      <c r="AS114" s="2335"/>
      <c r="AT114" s="2335"/>
      <c r="AU114" s="2335"/>
      <c r="AV114" s="2335"/>
      <c r="AW114" s="2335"/>
      <c r="AX114" s="2335"/>
      <c r="AY114" s="2335"/>
      <c r="AZ114" s="2335"/>
      <c r="BA114" s="2335"/>
    </row>
    <row r="115" spans="3:53" ht="13.5" outlineLevel="1">
      <c r="C115" s="851"/>
      <c r="D115" s="851"/>
      <c r="E115" s="2333"/>
      <c r="F115" s="2333" t="s">
        <v>2061</v>
      </c>
      <c r="G115" s="851"/>
      <c r="H115" s="2334">
        <f>MIN(AM107:AX107)</f>
        <v>1.0297286846982801</v>
      </c>
      <c r="AM115" s="2335"/>
      <c r="AN115" s="2335"/>
      <c r="AO115" s="2335"/>
      <c r="AP115" s="2335"/>
      <c r="AQ115" s="2335"/>
      <c r="AR115" s="2335"/>
      <c r="AS115" s="2335"/>
      <c r="AT115" s="2335"/>
      <c r="AU115" s="2335"/>
      <c r="AV115" s="2335"/>
      <c r="AW115" s="2335"/>
      <c r="AX115" s="2335"/>
      <c r="AY115" s="2335"/>
      <c r="AZ115" s="2335"/>
      <c r="BA115" s="2335"/>
    </row>
    <row r="116" spans="3:53" outlineLevel="1">
      <c r="H116" s="2336">
        <f>H108</f>
        <v>45657</v>
      </c>
      <c r="AM116" s="2337"/>
      <c r="AN116" s="2337"/>
      <c r="AO116" s="2337"/>
      <c r="AP116" s="2337"/>
      <c r="AQ116" s="2337"/>
      <c r="AR116" s="2337"/>
      <c r="AS116" s="2337"/>
      <c r="AT116" s="2337"/>
      <c r="AU116" s="2337"/>
      <c r="AV116" s="2337"/>
      <c r="AW116" s="2337"/>
      <c r="AX116" s="2337"/>
      <c r="AY116" s="2337"/>
      <c r="AZ116" s="2337"/>
      <c r="BA116" s="2337"/>
    </row>
    <row r="117" spans="3:53" outlineLevel="1">
      <c r="H117" s="2336">
        <f>H109</f>
        <v>45657</v>
      </c>
      <c r="AM117" s="2337"/>
      <c r="AN117" s="2337"/>
      <c r="AO117" s="2337"/>
      <c r="AP117" s="2337"/>
      <c r="AQ117" s="2337"/>
      <c r="AR117" s="2337"/>
      <c r="AS117" s="2337"/>
      <c r="AT117" s="2337"/>
      <c r="AU117" s="2337"/>
      <c r="AV117" s="2337"/>
      <c r="AW117" s="2337"/>
      <c r="AX117" s="2337"/>
      <c r="AY117" s="2337"/>
      <c r="AZ117" s="2337"/>
      <c r="BA117" s="2337"/>
    </row>
    <row r="118" spans="3:53" s="2338" customFormat="1" ht="13.5" outlineLevel="1">
      <c r="F118" s="2339" t="s">
        <v>2062</v>
      </c>
      <c r="H118" s="2340">
        <v>0</v>
      </c>
      <c r="K118" s="2340"/>
      <c r="L118" s="2340"/>
      <c r="M118" s="2340"/>
      <c r="N118" s="2340"/>
      <c r="O118" s="2340"/>
      <c r="P118" s="2340"/>
      <c r="Q118" s="2340"/>
      <c r="R118" s="2340"/>
      <c r="S118" s="2340"/>
      <c r="T118" s="2340"/>
      <c r="U118" s="2340"/>
      <c r="V118" s="2340"/>
      <c r="W118" s="2340"/>
      <c r="X118" s="2340"/>
      <c r="Y118" s="2340"/>
    </row>
    <row r="120" spans="3:53">
      <c r="AT120" s="835">
        <v>202406</v>
      </c>
      <c r="AU120" s="835">
        <v>202506</v>
      </c>
      <c r="AV120" s="835">
        <v>202606</v>
      </c>
      <c r="AW120" s="835">
        <v>202706</v>
      </c>
      <c r="AX120" s="835">
        <v>202806</v>
      </c>
      <c r="AY120" s="835">
        <v>202906</v>
      </c>
      <c r="AZ120" s="835">
        <v>203006</v>
      </c>
      <c r="BA120" s="835">
        <v>203106</v>
      </c>
    </row>
    <row r="121" spans="3:53">
      <c r="AS121" s="2383" t="s">
        <v>2312</v>
      </c>
      <c r="AT121" s="2382">
        <f>AT72</f>
        <v>16066.105073755927</v>
      </c>
      <c r="AU121" s="2382">
        <f>BF72</f>
        <v>26263.132344813999</v>
      </c>
      <c r="AV121" s="2382">
        <f>BR72</f>
        <v>27045.511989698483</v>
      </c>
      <c r="AW121" s="2382">
        <f>CD72</f>
        <v>29955.894451917615</v>
      </c>
      <c r="AX121" s="2382">
        <f>CD72</f>
        <v>29955.894451917615</v>
      </c>
      <c r="AY121" s="2382">
        <f>DB72</f>
        <v>32127.319489444788</v>
      </c>
      <c r="AZ121" s="2382">
        <f>DN72</f>
        <v>33075.406998191873</v>
      </c>
      <c r="BA121" s="2382">
        <f>DZ72</f>
        <v>34043.987948196227</v>
      </c>
    </row>
    <row r="122" spans="3:53">
      <c r="AS122" s="2384" t="s">
        <v>2313</v>
      </c>
      <c r="AT122" s="981">
        <f>Key!$H$48</f>
        <v>7631.1275020000003</v>
      </c>
      <c r="AU122" s="981">
        <f>Key!$H$48</f>
        <v>7631.1275020000003</v>
      </c>
      <c r="AV122" s="981">
        <f>Key!$H$48</f>
        <v>7631.1275020000003</v>
      </c>
      <c r="AW122" s="981">
        <f>Key!$H$48</f>
        <v>7631.1275020000003</v>
      </c>
      <c r="AX122" s="981">
        <f>Key!$H$48</f>
        <v>7631.1275020000003</v>
      </c>
      <c r="AY122" s="981">
        <f>Key!$H$48</f>
        <v>7631.1275020000003</v>
      </c>
      <c r="AZ122" s="981">
        <f>Key!$H$48</f>
        <v>7631.1275020000003</v>
      </c>
      <c r="BA122" s="981">
        <f>Key!$H$48</f>
        <v>7631.1275020000003</v>
      </c>
    </row>
    <row r="123" spans="3:53">
      <c r="AS123" s="2383" t="s">
        <v>2314</v>
      </c>
      <c r="AT123" s="981">
        <f>Key!$AD$104</f>
        <v>754636.96616800001</v>
      </c>
      <c r="AU123" s="981">
        <f>Key!$AD$104</f>
        <v>754636.96616800001</v>
      </c>
      <c r="AV123" s="981">
        <f>Key!$AD$104</f>
        <v>754636.96616800001</v>
      </c>
      <c r="AW123" s="981">
        <f>Key!$AD$104</f>
        <v>754636.96616800001</v>
      </c>
      <c r="AX123" s="981">
        <f>Key!$AD$104</f>
        <v>754636.96616800001</v>
      </c>
      <c r="AY123" s="981">
        <f>Key!$AD$104</f>
        <v>754636.96616800001</v>
      </c>
      <c r="AZ123" s="981">
        <f>Key!$AD$104</f>
        <v>754636.96616800001</v>
      </c>
      <c r="BA123" s="981">
        <f>Key!$AD$104</f>
        <v>754636.96616800001</v>
      </c>
    </row>
    <row r="124" spans="3:53">
      <c r="AS124" s="2383"/>
      <c r="AT124" s="2381">
        <f>AT121/(AT123-AT122)</f>
        <v>2.1507335340841125E-2</v>
      </c>
      <c r="AU124" s="2381">
        <f t="shared" ref="AU124:AX124" si="46">AU121/(AU123-AU122)</f>
        <v>3.5157867563277143E-2</v>
      </c>
      <c r="AV124" s="2381">
        <f t="shared" si="46"/>
        <v>3.6205221686079786E-2</v>
      </c>
      <c r="AW124" s="2381">
        <f t="shared" si="46"/>
        <v>4.0101285560783205E-2</v>
      </c>
      <c r="AX124" s="2381">
        <f t="shared" si="46"/>
        <v>4.0101285560783205E-2</v>
      </c>
      <c r="AY124" s="2381">
        <f t="shared" ref="AY124" si="47">AY121/(AY123-AY122)</f>
        <v>4.3008123667169218E-2</v>
      </c>
      <c r="AZ124" s="2381">
        <f t="shared" ref="AZ124" si="48">AZ121/(AZ123-AZ122)</f>
        <v>4.4277307199175039E-2</v>
      </c>
      <c r="BA124" s="2381">
        <f t="shared" ref="BA124" si="49">BA121/(BA123-BA122)</f>
        <v>4.5573924842397272E-2</v>
      </c>
    </row>
  </sheetData>
  <phoneticPr fontId="3" type="noConversion"/>
  <conditionalFormatting sqref="D37">
    <cfRule type="expression" dxfId="590" priority="1">
      <formula>($H37=0)*1</formula>
    </cfRule>
  </conditionalFormatting>
  <conditionalFormatting sqref="H63">
    <cfRule type="cellIs" dxfId="589" priority="24" stopIfTrue="1" operator="equal">
      <formula>0</formula>
    </cfRule>
  </conditionalFormatting>
  <conditionalFormatting sqref="G6:G7">
    <cfRule type="cellIs" dxfId="588" priority="23" operator="equal">
      <formula>0</formula>
    </cfRule>
  </conditionalFormatting>
  <conditionalFormatting sqref="D11:D14 D39">
    <cfRule type="expression" dxfId="587" priority="22">
      <formula>($H11=0)*1</formula>
    </cfRule>
  </conditionalFormatting>
  <conditionalFormatting sqref="D15">
    <cfRule type="expression" dxfId="586" priority="21">
      <formula>($H15=0)*1</formula>
    </cfRule>
  </conditionalFormatting>
  <conditionalFormatting sqref="D19:D36 D40:D41 D38">
    <cfRule type="expression" dxfId="585" priority="20">
      <formula>($H19=0)*1</formula>
    </cfRule>
  </conditionalFormatting>
  <conditionalFormatting sqref="D42:D43">
    <cfRule type="expression" dxfId="584" priority="19">
      <formula>($H42=0)*1</formula>
    </cfRule>
  </conditionalFormatting>
  <conditionalFormatting sqref="D49">
    <cfRule type="expression" dxfId="583" priority="18">
      <formula>($H49=0)*1</formula>
    </cfRule>
  </conditionalFormatting>
  <conditionalFormatting sqref="D53:D59">
    <cfRule type="expression" dxfId="582" priority="17">
      <formula>($H53=0)*1</formula>
    </cfRule>
  </conditionalFormatting>
  <conditionalFormatting sqref="C63">
    <cfRule type="expression" dxfId="581" priority="16">
      <formula>($H63=0)*1</formula>
    </cfRule>
  </conditionalFormatting>
  <conditionalFormatting sqref="G72">
    <cfRule type="cellIs" dxfId="580" priority="15" operator="equal">
      <formula>0</formula>
    </cfRule>
  </conditionalFormatting>
  <conditionalFormatting sqref="AM106:AT106">
    <cfRule type="cellIs" dxfId="579" priority="13" operator="equal">
      <formula>$H114</formula>
    </cfRule>
    <cfRule type="cellIs" dxfId="578" priority="14" operator="equal">
      <formula>$H111</formula>
    </cfRule>
  </conditionalFormatting>
  <conditionalFormatting sqref="AN107 AP107:AT107">
    <cfRule type="cellIs" dxfId="577" priority="11" operator="equal">
      <formula>$H115</formula>
    </cfRule>
    <cfRule type="cellIs" dxfId="576" priority="12" operator="equal">
      <formula>$H112</formula>
    </cfRule>
  </conditionalFormatting>
  <conditionalFormatting sqref="AM106:AT106">
    <cfRule type="cellIs" dxfId="575" priority="10" operator="lessThan">
      <formula>$G108</formula>
    </cfRule>
  </conditionalFormatting>
  <conditionalFormatting sqref="AM107:AN107 AP107:AT107">
    <cfRule type="cellIs" dxfId="574" priority="8" operator="equal">
      <formula>$H115</formula>
    </cfRule>
    <cfRule type="cellIs" dxfId="573" priority="9" operator="equal">
      <formula>$H112</formula>
    </cfRule>
  </conditionalFormatting>
  <conditionalFormatting sqref="AM107:AN107 AP107:AT107">
    <cfRule type="cellIs" dxfId="572" priority="7" operator="lessThan">
      <formula>$G109</formula>
    </cfRule>
  </conditionalFormatting>
  <conditionalFormatting sqref="AM107:AT107">
    <cfRule type="cellIs" dxfId="571" priority="5" operator="equal">
      <formula>$H115</formula>
    </cfRule>
    <cfRule type="cellIs" dxfId="570" priority="6" operator="equal">
      <formula>$H112</formula>
    </cfRule>
  </conditionalFormatting>
  <conditionalFormatting sqref="AM107:AT107">
    <cfRule type="cellIs" dxfId="569" priority="4" operator="lessThan">
      <formula>$G109</formula>
    </cfRule>
  </conditionalFormatting>
  <conditionalFormatting sqref="G5">
    <cfRule type="cellIs" dxfId="568" priority="3" operator="equal">
      <formula>0</formula>
    </cfRule>
  </conditionalFormatting>
  <conditionalFormatting sqref="G71">
    <cfRule type="cellIs" dxfId="567" priority="2" operator="equal">
      <formula>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WXQ228"/>
  <sheetViews>
    <sheetView showGridLines="0" zoomScale="85" zoomScaleNormal="85" workbookViewId="0">
      <pane xSplit="8" ySplit="7" topLeftCell="CP186" activePane="bottomRight" state="frozen"/>
      <selection activeCell="K146" sqref="K146"/>
      <selection pane="topRight" activeCell="K146" sqref="K146"/>
      <selection pane="bottomLeft" activeCell="K146" sqref="K146"/>
      <selection pane="bottomRight" activeCell="DA237" sqref="DA237"/>
    </sheetView>
  </sheetViews>
  <sheetFormatPr defaultColWidth="0" defaultRowHeight="12.75" outlineLevelRow="1" outlineLevelCol="1"/>
  <cols>
    <col min="1" max="2" width="1.25" style="835" customWidth="1"/>
    <col min="3" max="3" width="3.25" style="835" customWidth="1"/>
    <col min="4" max="4" width="3.75" style="835" customWidth="1"/>
    <col min="5" max="5" width="17" style="835" customWidth="1"/>
    <col min="6" max="6" width="14.375" style="835" customWidth="1"/>
    <col min="7" max="7" width="9.75" style="835" customWidth="1"/>
    <col min="8" max="8" width="10.875" style="835" customWidth="1"/>
    <col min="9" max="9" width="3.25" style="835" customWidth="1"/>
    <col min="10" max="37" width="7.25" style="835" hidden="1" customWidth="1" outlineLevel="1"/>
    <col min="38" max="38" width="7.25" style="835" customWidth="1" collapsed="1"/>
    <col min="39" max="129" width="7.25" style="835" customWidth="1"/>
    <col min="130" max="130" width="7.625" style="835" customWidth="1"/>
    <col min="131" max="142" width="7.25" style="887" customWidth="1"/>
    <col min="143" max="143" width="1.7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2154</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2" spans="2:142">
      <c r="EA2" s="835"/>
      <c r="EB2" s="835"/>
      <c r="EC2" s="835"/>
      <c r="ED2" s="835"/>
      <c r="EE2" s="835"/>
      <c r="EF2" s="835"/>
      <c r="EG2" s="835"/>
      <c r="EH2" s="835"/>
      <c r="EI2" s="835"/>
      <c r="EJ2" s="835"/>
      <c r="EK2" s="835"/>
      <c r="EL2" s="835"/>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2155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820">
        <v>2031</v>
      </c>
      <c r="EB5" s="820">
        <v>2031</v>
      </c>
      <c r="EC5" s="820">
        <v>2031</v>
      </c>
      <c r="ED5" s="820">
        <v>2031</v>
      </c>
      <c r="EE5" s="820">
        <v>2031</v>
      </c>
      <c r="EF5" s="820">
        <v>2031</v>
      </c>
      <c r="EG5" s="820">
        <v>2032</v>
      </c>
      <c r="EH5" s="820">
        <v>2032</v>
      </c>
      <c r="EI5" s="820">
        <v>2032</v>
      </c>
      <c r="EJ5" s="820">
        <v>2032</v>
      </c>
      <c r="EK5" s="820">
        <v>2032</v>
      </c>
      <c r="EL5" s="820">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7">
        <v>21</v>
      </c>
      <c r="EB6" s="997">
        <v>21</v>
      </c>
      <c r="EC6" s="997">
        <v>21</v>
      </c>
      <c r="ED6" s="997">
        <v>21</v>
      </c>
      <c r="EE6" s="997">
        <v>22</v>
      </c>
      <c r="EF6" s="997">
        <v>22</v>
      </c>
      <c r="EG6" s="997">
        <v>22</v>
      </c>
      <c r="EH6" s="997">
        <v>22</v>
      </c>
      <c r="EI6" s="997">
        <v>22</v>
      </c>
      <c r="EJ6" s="997">
        <v>22</v>
      </c>
      <c r="EK6" s="997">
        <v>23</v>
      </c>
      <c r="EL6" s="997">
        <v>23</v>
      </c>
    </row>
    <row r="7" spans="2:142" ht="13.5">
      <c r="B7" s="828"/>
      <c r="C7" s="829"/>
      <c r="D7" s="829"/>
      <c r="E7" s="829"/>
      <c r="F7" s="830" t="s">
        <v>2156</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834">
        <v>48060</v>
      </c>
      <c r="EB7" s="834">
        <v>48091</v>
      </c>
      <c r="EC7" s="834">
        <v>48121</v>
      </c>
      <c r="ED7" s="834">
        <v>48152</v>
      </c>
      <c r="EE7" s="834">
        <v>48182</v>
      </c>
      <c r="EF7" s="834">
        <v>48213</v>
      </c>
      <c r="EG7" s="834">
        <v>48244</v>
      </c>
      <c r="EH7" s="834">
        <v>48273</v>
      </c>
      <c r="EI7" s="834">
        <v>48304</v>
      </c>
      <c r="EJ7" s="834">
        <v>48334</v>
      </c>
      <c r="EK7" s="834">
        <v>48365</v>
      </c>
      <c r="EL7" s="834">
        <v>48395</v>
      </c>
    </row>
    <row r="8" spans="2:142">
      <c r="B8" s="1000"/>
      <c r="C8" s="1001"/>
      <c r="D8" s="1001"/>
      <c r="E8" s="1001"/>
      <c r="F8" s="1001"/>
      <c r="G8" s="1001"/>
      <c r="H8" s="1067"/>
      <c r="I8" s="833"/>
      <c r="J8" s="1002"/>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2"/>
      <c r="EB8" s="1002"/>
      <c r="EC8" s="1002"/>
      <c r="ED8" s="1002"/>
      <c r="EE8" s="1002"/>
      <c r="EF8" s="1002"/>
      <c r="EG8" s="1002"/>
      <c r="EH8" s="1002"/>
      <c r="EI8" s="1002"/>
      <c r="EJ8" s="1002"/>
      <c r="EK8" s="1002"/>
      <c r="EL8" s="1002"/>
    </row>
    <row r="9" spans="2:142" s="1007" customFormat="1" ht="13.5">
      <c r="B9" s="1004"/>
      <c r="C9" s="994" t="s">
        <v>937</v>
      </c>
      <c r="D9" s="994"/>
      <c r="F9" s="994"/>
      <c r="G9" s="994"/>
      <c r="H9" s="842">
        <f>SUM(J9:EL9)</f>
        <v>22222.448227450848</v>
      </c>
      <c r="I9" s="843"/>
      <c r="J9" s="842">
        <f t="shared" ref="J9:BU9" si="0">J11-J20</f>
        <v>0</v>
      </c>
      <c r="K9" s="842">
        <f t="shared" si="0"/>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6485.5949390000023</v>
      </c>
      <c r="AM9" s="842">
        <f t="shared" si="0"/>
        <v>2323.7535711303167</v>
      </c>
      <c r="AN9" s="842">
        <f t="shared" si="0"/>
        <v>-1100.8307090439316</v>
      </c>
      <c r="AO9" s="842">
        <f t="shared" si="0"/>
        <v>2165.5038334522533</v>
      </c>
      <c r="AP9" s="842">
        <f t="shared" si="0"/>
        <v>2528.2385813668361</v>
      </c>
      <c r="AQ9" s="842">
        <f t="shared" si="0"/>
        <v>-1614.5869247879832</v>
      </c>
      <c r="AR9" s="842">
        <f t="shared" si="0"/>
        <v>1820.5262795525982</v>
      </c>
      <c r="AS9" s="842">
        <f t="shared" si="0"/>
        <v>2533.9347854004432</v>
      </c>
      <c r="AT9" s="842">
        <f t="shared" si="0"/>
        <v>-2210.2374667286394</v>
      </c>
      <c r="AU9" s="842">
        <f t="shared" si="0"/>
        <v>1894.3358462030228</v>
      </c>
      <c r="AV9" s="842">
        <f t="shared" si="0"/>
        <v>2560.3723544939326</v>
      </c>
      <c r="AW9" s="842">
        <f t="shared" si="0"/>
        <v>-3375.9566529794056</v>
      </c>
      <c r="AX9" s="842">
        <f t="shared" si="0"/>
        <v>2032.459124678086</v>
      </c>
      <c r="AY9" s="842">
        <f t="shared" si="0"/>
        <v>2506.7667882224409</v>
      </c>
      <c r="AZ9" s="842">
        <f t="shared" si="0"/>
        <v>-4502.8048282262525</v>
      </c>
      <c r="BA9" s="842">
        <f t="shared" si="0"/>
        <v>2256.5528972504762</v>
      </c>
      <c r="BB9" s="842">
        <f t="shared" si="0"/>
        <v>2625.8529836955418</v>
      </c>
      <c r="BC9" s="842">
        <f t="shared" si="0"/>
        <v>-3854.0791799221406</v>
      </c>
      <c r="BD9" s="842">
        <f t="shared" si="0"/>
        <v>2143.7516115498502</v>
      </c>
      <c r="BE9" s="842">
        <f t="shared" si="0"/>
        <v>2627.7603283107987</v>
      </c>
      <c r="BF9" s="842">
        <f t="shared" si="0"/>
        <v>-4467.0755898593161</v>
      </c>
      <c r="BG9" s="842">
        <f t="shared" si="0"/>
        <v>1953.6320022059533</v>
      </c>
      <c r="BH9" s="842">
        <f t="shared" si="0"/>
        <v>2617.8734881871683</v>
      </c>
      <c r="BI9" s="842">
        <f t="shared" si="0"/>
        <v>-3321.7689875885462</v>
      </c>
      <c r="BJ9" s="842">
        <f t="shared" si="0"/>
        <v>2089.2876602024139</v>
      </c>
      <c r="BK9" s="842">
        <f t="shared" si="0"/>
        <v>2563.9885612198073</v>
      </c>
      <c r="BL9" s="842">
        <f t="shared" si="0"/>
        <v>-4481.2051567671588</v>
      </c>
      <c r="BM9" s="842">
        <f t="shared" si="0"/>
        <v>2315.9535376563372</v>
      </c>
      <c r="BN9" s="842">
        <f t="shared" si="0"/>
        <v>2686.1192466906045</v>
      </c>
      <c r="BO9" s="842">
        <f t="shared" si="0"/>
        <v>-3817.3364562004613</v>
      </c>
      <c r="BP9" s="842">
        <f t="shared" si="0"/>
        <v>2204.2199766005729</v>
      </c>
      <c r="BQ9" s="842">
        <f t="shared" si="0"/>
        <v>2688.3546691220431</v>
      </c>
      <c r="BR9" s="842">
        <f t="shared" si="0"/>
        <v>-4443.6037025659625</v>
      </c>
      <c r="BS9" s="842">
        <f t="shared" si="0"/>
        <v>1999.3400538616254</v>
      </c>
      <c r="BT9" s="842">
        <f t="shared" si="0"/>
        <v>2661.4256920812468</v>
      </c>
      <c r="BU9" s="842">
        <f t="shared" si="0"/>
        <v>-2110.3779775138769</v>
      </c>
      <c r="BV9" s="842">
        <f t="shared" ref="BV9:EG9" si="1">BV11-BV20</f>
        <v>2134.5316969069841</v>
      </c>
      <c r="BW9" s="842">
        <f t="shared" si="1"/>
        <v>2609.6113957579164</v>
      </c>
      <c r="BX9" s="842">
        <f t="shared" si="1"/>
        <v>-3300.9882158046976</v>
      </c>
      <c r="BY9" s="842">
        <f t="shared" si="1"/>
        <v>2366.1924006933709</v>
      </c>
      <c r="BZ9" s="842">
        <f t="shared" si="1"/>
        <v>2734.9703943994919</v>
      </c>
      <c r="CA9" s="842">
        <f t="shared" si="1"/>
        <v>-1918.8812029125766</v>
      </c>
      <c r="CB9" s="842">
        <f t="shared" si="1"/>
        <v>2257.1280126448705</v>
      </c>
      <c r="CC9" s="842">
        <f t="shared" si="1"/>
        <v>2741.3729302414331</v>
      </c>
      <c r="CD9" s="842">
        <f t="shared" si="1"/>
        <v>-1851.665876153897</v>
      </c>
      <c r="CE9" s="842">
        <f t="shared" si="1"/>
        <v>2070.1400817107638</v>
      </c>
      <c r="CF9" s="842">
        <f t="shared" si="1"/>
        <v>2735.1580284410129</v>
      </c>
      <c r="CG9" s="842">
        <f t="shared" si="1"/>
        <v>-2040.0639982491002</v>
      </c>
      <c r="CH9" s="842">
        <f t="shared" si="1"/>
        <v>2307.6238242047343</v>
      </c>
      <c r="CI9" s="842">
        <f t="shared" si="1"/>
        <v>2683.3585902661466</v>
      </c>
      <c r="CJ9" s="842">
        <f t="shared" si="1"/>
        <v>-3264.8763083180902</v>
      </c>
      <c r="CK9" s="842">
        <f t="shared" si="1"/>
        <v>2442.2794459313432</v>
      </c>
      <c r="CL9" s="842">
        <f t="shared" si="1"/>
        <v>6879.0508173379876</v>
      </c>
      <c r="CM9" s="842">
        <f t="shared" si="1"/>
        <v>-1805.7511399227214</v>
      </c>
      <c r="CN9" s="842">
        <f t="shared" si="1"/>
        <v>2475.3015328217489</v>
      </c>
      <c r="CO9" s="842">
        <f t="shared" si="1"/>
        <v>2861.273154259592</v>
      </c>
      <c r="CP9" s="842">
        <f t="shared" si="1"/>
        <v>-1731.5158600023669</v>
      </c>
      <c r="CQ9" s="842">
        <f t="shared" si="1"/>
        <v>2172.2042713322608</v>
      </c>
      <c r="CR9" s="842">
        <f t="shared" si="1"/>
        <v>2837.9168241879033</v>
      </c>
      <c r="CS9" s="842">
        <f t="shared" si="1"/>
        <v>-704.48452712939115</v>
      </c>
      <c r="CT9" s="842">
        <f t="shared" si="1"/>
        <v>2808.6613388153451</v>
      </c>
      <c r="CU9" s="842">
        <f t="shared" si="1"/>
        <v>2786.6649163669408</v>
      </c>
      <c r="CV9" s="842">
        <f t="shared" si="1"/>
        <v>-1963.9608267766014</v>
      </c>
      <c r="CW9" s="842">
        <f t="shared" si="1"/>
        <v>2546.8784303756815</v>
      </c>
      <c r="CX9" s="842">
        <f t="shared" si="1"/>
        <v>2922.8053804304573</v>
      </c>
      <c r="CY9" s="842">
        <f t="shared" si="1"/>
        <v>-507.17277897712984</v>
      </c>
      <c r="CZ9" s="842">
        <f t="shared" si="1"/>
        <v>2544.4669295830672</v>
      </c>
      <c r="DA9" s="842">
        <f t="shared" si="1"/>
        <v>2933.1389211201163</v>
      </c>
      <c r="DB9" s="842">
        <f t="shared" si="1"/>
        <v>-423.25037279421667</v>
      </c>
      <c r="DC9" s="842">
        <f t="shared" si="1"/>
        <v>2267.878718117724</v>
      </c>
      <c r="DD9" s="842">
        <f t="shared" si="1"/>
        <v>2926.3020191523347</v>
      </c>
      <c r="DE9" s="842">
        <f t="shared" si="1"/>
        <v>-619.63146990280438</v>
      </c>
      <c r="DF9" s="842">
        <f t="shared" si="1"/>
        <v>2496.191606739234</v>
      </c>
      <c r="DG9" s="842">
        <f t="shared" si="1"/>
        <v>2876.8523454871929</v>
      </c>
      <c r="DH9" s="842">
        <f t="shared" si="1"/>
        <v>-1913.5386826976528</v>
      </c>
      <c r="DI9" s="842">
        <f t="shared" si="1"/>
        <v>2639.4515131157468</v>
      </c>
      <c r="DJ9" s="842">
        <f t="shared" si="1"/>
        <v>3008.6561570183953</v>
      </c>
      <c r="DK9" s="842">
        <f t="shared" si="1"/>
        <v>-428.49988033298177</v>
      </c>
      <c r="DL9" s="842">
        <f t="shared" si="1"/>
        <v>2630.6604638277395</v>
      </c>
      <c r="DM9" s="842">
        <f t="shared" si="1"/>
        <v>3019.5120252277979</v>
      </c>
      <c r="DN9" s="842">
        <f t="shared" si="1"/>
        <v>-336.69732471964426</v>
      </c>
      <c r="DO9" s="842">
        <f t="shared" si="1"/>
        <v>2358.4543948536912</v>
      </c>
      <c r="DP9" s="842">
        <f t="shared" si="1"/>
        <v>3012.2084657308619</v>
      </c>
      <c r="DQ9" s="842">
        <f t="shared" si="1"/>
        <v>-537.33665059247278</v>
      </c>
      <c r="DR9" s="842">
        <f t="shared" si="1"/>
        <v>2581.4505876229005</v>
      </c>
      <c r="DS9" s="842">
        <f t="shared" si="1"/>
        <v>2962.6145576874251</v>
      </c>
      <c r="DT9" s="842">
        <f t="shared" si="1"/>
        <v>-1868.678894647735</v>
      </c>
      <c r="DU9" s="842">
        <f t="shared" si="1"/>
        <v>2727.7509761138572</v>
      </c>
      <c r="DV9" s="842">
        <f t="shared" si="1"/>
        <v>3096.9818469422116</v>
      </c>
      <c r="DW9" s="842">
        <f t="shared" si="1"/>
        <v>-348.08258565634105</v>
      </c>
      <c r="DX9" s="842">
        <f t="shared" si="1"/>
        <v>2719.3377016361396</v>
      </c>
      <c r="DY9" s="842">
        <f t="shared" si="1"/>
        <v>3108.3740072816322</v>
      </c>
      <c r="DZ9" s="842">
        <f t="shared" si="1"/>
        <v>-78481.61706129348</v>
      </c>
      <c r="EA9" s="842">
        <f t="shared" si="1"/>
        <v>0</v>
      </c>
      <c r="EB9" s="842">
        <f t="shared" si="1"/>
        <v>0</v>
      </c>
      <c r="EC9" s="842">
        <f t="shared" si="1"/>
        <v>0</v>
      </c>
      <c r="ED9" s="842">
        <f t="shared" si="1"/>
        <v>0</v>
      </c>
      <c r="EE9" s="842">
        <f t="shared" si="1"/>
        <v>0</v>
      </c>
      <c r="EF9" s="842">
        <f t="shared" si="1"/>
        <v>0</v>
      </c>
      <c r="EG9" s="842">
        <f t="shared" si="1"/>
        <v>0</v>
      </c>
      <c r="EH9" s="842">
        <f t="shared" ref="EH9:EL9" si="2">EH11-EH20</f>
        <v>0</v>
      </c>
      <c r="EI9" s="842">
        <f t="shared" si="2"/>
        <v>0</v>
      </c>
      <c r="EJ9" s="842">
        <f t="shared" si="2"/>
        <v>0</v>
      </c>
      <c r="EK9" s="842">
        <f t="shared" si="2"/>
        <v>0</v>
      </c>
      <c r="EL9" s="842">
        <f t="shared" si="2"/>
        <v>0</v>
      </c>
    </row>
    <row r="10" spans="2:142">
      <c r="B10" s="1000"/>
      <c r="C10" s="1001"/>
      <c r="D10" s="1001"/>
      <c r="F10" s="1001"/>
      <c r="G10" s="1001"/>
      <c r="H10" s="1067"/>
      <c r="I10" s="833"/>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N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c r="CM10" s="214"/>
      <c r="CN10" s="214"/>
      <c r="CO10" s="214"/>
      <c r="CP10" s="214"/>
      <c r="CQ10" s="214"/>
      <c r="CR10" s="214"/>
      <c r="CS10" s="214"/>
      <c r="CT10" s="214"/>
      <c r="CU10" s="214"/>
      <c r="CV10" s="214"/>
      <c r="CW10" s="214"/>
      <c r="CX10" s="214"/>
      <c r="CY10" s="214"/>
      <c r="CZ10" s="214"/>
      <c r="DA10" s="214"/>
      <c r="DB10" s="214"/>
      <c r="DC10" s="214"/>
      <c r="DD10" s="214"/>
      <c r="DE10" s="214"/>
      <c r="DF10" s="214"/>
      <c r="DG10" s="214"/>
      <c r="DH10" s="214"/>
      <c r="DI10" s="214"/>
      <c r="DJ10" s="214"/>
      <c r="DK10" s="214"/>
      <c r="DL10" s="214"/>
      <c r="DM10" s="214"/>
      <c r="DN10" s="214"/>
      <c r="DO10" s="214"/>
      <c r="DP10" s="214"/>
      <c r="DQ10" s="214"/>
      <c r="DR10" s="214"/>
      <c r="DS10" s="214"/>
      <c r="DT10" s="214"/>
      <c r="DU10" s="214"/>
      <c r="DV10" s="214"/>
      <c r="DW10" s="214"/>
      <c r="DX10" s="214"/>
      <c r="DY10" s="214"/>
      <c r="DZ10" s="214"/>
      <c r="EA10" s="214"/>
      <c r="EB10" s="214"/>
      <c r="EC10" s="214"/>
      <c r="ED10" s="214"/>
      <c r="EE10" s="214"/>
      <c r="EF10" s="214"/>
      <c r="EG10" s="214"/>
      <c r="EH10" s="214"/>
      <c r="EI10" s="214"/>
      <c r="EJ10" s="214"/>
      <c r="EK10" s="214"/>
      <c r="EL10" s="214"/>
    </row>
    <row r="11" spans="2:142" ht="13.5">
      <c r="B11" s="1000"/>
      <c r="C11" s="1001" t="s">
        <v>2157</v>
      </c>
      <c r="D11" s="1001"/>
      <c r="F11" s="1001"/>
      <c r="G11" s="1001"/>
      <c r="H11" s="848">
        <f>SUM(J11:EL11)</f>
        <v>295712.47949226922</v>
      </c>
      <c r="I11" s="833"/>
      <c r="J11" s="848">
        <f t="shared" ref="J11:BU11" si="3">SUM(J13:J18)</f>
        <v>0</v>
      </c>
      <c r="K11" s="848">
        <f t="shared" si="3"/>
        <v>0</v>
      </c>
      <c r="L11" s="848">
        <f t="shared" si="3"/>
        <v>0</v>
      </c>
      <c r="M11" s="848">
        <f t="shared" si="3"/>
        <v>0</v>
      </c>
      <c r="N11" s="848">
        <f t="shared" si="3"/>
        <v>0</v>
      </c>
      <c r="O11" s="848">
        <f t="shared" si="3"/>
        <v>0</v>
      </c>
      <c r="P11" s="848">
        <f t="shared" si="3"/>
        <v>0</v>
      </c>
      <c r="Q11" s="848">
        <f t="shared" si="3"/>
        <v>0</v>
      </c>
      <c r="R11" s="848">
        <f t="shared" si="3"/>
        <v>0</v>
      </c>
      <c r="S11" s="848">
        <f t="shared" si="3"/>
        <v>0</v>
      </c>
      <c r="T11" s="848">
        <f t="shared" si="3"/>
        <v>0</v>
      </c>
      <c r="U11" s="848">
        <f t="shared" si="3"/>
        <v>0</v>
      </c>
      <c r="V11" s="848">
        <f t="shared" si="3"/>
        <v>0</v>
      </c>
      <c r="W11" s="848">
        <f t="shared" si="3"/>
        <v>0</v>
      </c>
      <c r="X11" s="848">
        <f t="shared" si="3"/>
        <v>0</v>
      </c>
      <c r="Y11" s="848">
        <f t="shared" si="3"/>
        <v>0</v>
      </c>
      <c r="Z11" s="848">
        <f t="shared" si="3"/>
        <v>0</v>
      </c>
      <c r="AA11" s="848">
        <f t="shared" si="3"/>
        <v>0</v>
      </c>
      <c r="AB11" s="848">
        <f t="shared" si="3"/>
        <v>0</v>
      </c>
      <c r="AC11" s="848">
        <f t="shared" si="3"/>
        <v>0</v>
      </c>
      <c r="AD11" s="848">
        <f t="shared" si="3"/>
        <v>0</v>
      </c>
      <c r="AE11" s="848">
        <f t="shared" si="3"/>
        <v>0</v>
      </c>
      <c r="AF11" s="848">
        <f t="shared" si="3"/>
        <v>0</v>
      </c>
      <c r="AG11" s="848">
        <f t="shared" si="3"/>
        <v>0</v>
      </c>
      <c r="AH11" s="848">
        <f t="shared" si="3"/>
        <v>0</v>
      </c>
      <c r="AI11" s="848">
        <f t="shared" si="3"/>
        <v>0</v>
      </c>
      <c r="AJ11" s="848">
        <f t="shared" si="3"/>
        <v>0</v>
      </c>
      <c r="AK11" s="848">
        <f t="shared" si="3"/>
        <v>0</v>
      </c>
      <c r="AL11" s="848">
        <f t="shared" si="3"/>
        <v>7631.1275020000021</v>
      </c>
      <c r="AM11" s="848">
        <f t="shared" si="3"/>
        <v>2910.8438901104164</v>
      </c>
      <c r="AN11" s="848">
        <f t="shared" si="3"/>
        <v>1656.8559743836045</v>
      </c>
      <c r="AO11" s="848">
        <f t="shared" si="3"/>
        <v>2966.2624669850966</v>
      </c>
      <c r="AP11" s="848">
        <f t="shared" si="3"/>
        <v>2982.3419314610387</v>
      </c>
      <c r="AQ11" s="848">
        <f t="shared" si="3"/>
        <v>2340.5709537062194</v>
      </c>
      <c r="AR11" s="848">
        <f t="shared" si="3"/>
        <v>2984.2453724122447</v>
      </c>
      <c r="AS11" s="848">
        <f t="shared" si="3"/>
        <v>2988.0381354946458</v>
      </c>
      <c r="AT11" s="848">
        <f t="shared" si="3"/>
        <v>1699.2408833655634</v>
      </c>
      <c r="AU11" s="848">
        <f t="shared" si="3"/>
        <v>3020.6541715752123</v>
      </c>
      <c r="AV11" s="848">
        <f t="shared" si="3"/>
        <v>3014.4757045881352</v>
      </c>
      <c r="AW11" s="848">
        <f t="shared" si="3"/>
        <v>3019.8098136599974</v>
      </c>
      <c r="AX11" s="848">
        <f t="shared" si="3"/>
        <v>3015.2986097329572</v>
      </c>
      <c r="AY11" s="848">
        <f t="shared" si="3"/>
        <v>3019.5328995760365</v>
      </c>
      <c r="AZ11" s="848">
        <f t="shared" si="3"/>
        <v>1730.6790474528332</v>
      </c>
      <c r="BA11" s="848">
        <f t="shared" si="3"/>
        <v>3069.7256908902309</v>
      </c>
      <c r="BB11" s="848">
        <f t="shared" si="3"/>
        <v>3089.3368593746277</v>
      </c>
      <c r="BC11" s="848">
        <f t="shared" si="3"/>
        <v>2429.6521769969459</v>
      </c>
      <c r="BD11" s="848">
        <f t="shared" si="3"/>
        <v>3086.7780547991556</v>
      </c>
      <c r="BE11" s="848">
        <f t="shared" si="3"/>
        <v>3091.2442039898847</v>
      </c>
      <c r="BF11" s="848">
        <f t="shared" si="3"/>
        <v>1766.4082858197696</v>
      </c>
      <c r="BG11" s="848">
        <f t="shared" si="3"/>
        <v>3087.4122971949919</v>
      </c>
      <c r="BH11" s="848">
        <f t="shared" si="3"/>
        <v>3081.3573638662542</v>
      </c>
      <c r="BI11" s="848">
        <f t="shared" si="3"/>
        <v>3086.8112669666443</v>
      </c>
      <c r="BJ11" s="848">
        <f t="shared" si="3"/>
        <v>3082.4886151821684</v>
      </c>
      <c r="BK11" s="848">
        <f t="shared" si="3"/>
        <v>3086.8412978075899</v>
      </c>
      <c r="BL11" s="848">
        <f t="shared" si="3"/>
        <v>1761.8725217893689</v>
      </c>
      <c r="BM11" s="848">
        <f t="shared" si="3"/>
        <v>3138.7201341735336</v>
      </c>
      <c r="BN11" s="848">
        <f t="shared" si="3"/>
        <v>3159.1969252471326</v>
      </c>
      <c r="BO11" s="848">
        <f t="shared" si="3"/>
        <v>2481.0134517200663</v>
      </c>
      <c r="BP11" s="848">
        <f t="shared" si="3"/>
        <v>3156.84022272732</v>
      </c>
      <c r="BQ11" s="848">
        <f t="shared" si="3"/>
        <v>3161.4323476785712</v>
      </c>
      <c r="BR11" s="848">
        <f t="shared" si="3"/>
        <v>1799.4739759905654</v>
      </c>
      <c r="BS11" s="848">
        <f t="shared" si="3"/>
        <v>3140.4630788588966</v>
      </c>
      <c r="BT11" s="848">
        <f t="shared" si="3"/>
        <v>3134.5033706377749</v>
      </c>
      <c r="BU11" s="848">
        <f t="shared" si="3"/>
        <v>3140.0480074962775</v>
      </c>
      <c r="BV11" s="848">
        <f t="shared" ref="BV11:EG11" si="4">SUM(BV13:BV18)</f>
        <v>3138.3270179909805</v>
      </c>
      <c r="BW11" s="848">
        <f t="shared" si="4"/>
        <v>3142.7739590262036</v>
      </c>
      <c r="BX11" s="848">
        <f t="shared" si="4"/>
        <v>1780.6515388520222</v>
      </c>
      <c r="BY11" s="848">
        <f t="shared" si="4"/>
        <v>3198.7710733107592</v>
      </c>
      <c r="BZ11" s="848">
        <f t="shared" si="4"/>
        <v>3217.8601490562119</v>
      </c>
      <c r="CA11" s="848">
        <f t="shared" si="4"/>
        <v>3223.5580040445438</v>
      </c>
      <c r="CB11" s="848">
        <f t="shared" si="4"/>
        <v>3219.5603348718096</v>
      </c>
      <c r="CC11" s="848">
        <f t="shared" si="4"/>
        <v>3224.2626848981531</v>
      </c>
      <c r="CD11" s="848">
        <f t="shared" si="4"/>
        <v>3229.9738785028226</v>
      </c>
      <c r="CE11" s="848">
        <f t="shared" si="4"/>
        <v>3226.1162412608355</v>
      </c>
      <c r="CF11" s="848">
        <f t="shared" si="4"/>
        <v>3218.0477830977329</v>
      </c>
      <c r="CG11" s="848">
        <f t="shared" si="4"/>
        <v>3223.7460289903183</v>
      </c>
      <c r="CH11" s="848">
        <f t="shared" si="4"/>
        <v>3222.2517958802587</v>
      </c>
      <c r="CI11" s="848">
        <f t="shared" si="4"/>
        <v>3227.0593455140188</v>
      </c>
      <c r="CJ11" s="848">
        <f t="shared" si="4"/>
        <v>1826.7989102320989</v>
      </c>
      <c r="CK11" s="848">
        <f t="shared" si="4"/>
        <v>3284.893582442201</v>
      </c>
      <c r="CL11" s="848">
        <f t="shared" si="4"/>
        <v>7371.9760358881767</v>
      </c>
      <c r="CM11" s="848">
        <f t="shared" si="4"/>
        <v>3352.8034761579083</v>
      </c>
      <c r="CN11" s="848">
        <f t="shared" si="4"/>
        <v>3349.0414946164028</v>
      </c>
      <c r="CO11" s="848">
        <f t="shared" si="4"/>
        <v>3354.1983728097812</v>
      </c>
      <c r="CP11" s="848">
        <f t="shared" si="4"/>
        <v>3360.1593585478222</v>
      </c>
      <c r="CQ11" s="848">
        <f t="shared" si="4"/>
        <v>3338.697867172817</v>
      </c>
      <c r="CR11" s="848">
        <f t="shared" si="4"/>
        <v>3330.8420427380925</v>
      </c>
      <c r="CS11" s="848">
        <f t="shared" si="4"/>
        <v>3336.7543694551509</v>
      </c>
      <c r="CT11" s="848">
        <f t="shared" si="4"/>
        <v>3737.9240843677567</v>
      </c>
      <c r="CU11" s="848">
        <f t="shared" si="4"/>
        <v>3341.1375147227454</v>
      </c>
      <c r="CV11" s="848">
        <f t="shared" si="4"/>
        <v>1901.7284795145436</v>
      </c>
      <c r="CW11" s="848">
        <f t="shared" si="4"/>
        <v>3403.5504942510579</v>
      </c>
      <c r="CX11" s="848">
        <f t="shared" si="4"/>
        <v>3425.9946867216022</v>
      </c>
      <c r="CY11" s="848">
        <f t="shared" si="4"/>
        <v>3432.0838645974991</v>
      </c>
      <c r="CZ11" s="848">
        <f t="shared" si="4"/>
        <v>3431.0272546412966</v>
      </c>
      <c r="DA11" s="848">
        <f t="shared" si="4"/>
        <v>3436.3282274112612</v>
      </c>
      <c r="DB11" s="848">
        <f t="shared" si="4"/>
        <v>3442.4389334969283</v>
      </c>
      <c r="DC11" s="848">
        <f t="shared" si="4"/>
        <v>3441.5571618869403</v>
      </c>
      <c r="DD11" s="848">
        <f t="shared" si="4"/>
        <v>3429.4913254434796</v>
      </c>
      <c r="DE11" s="848">
        <f t="shared" si="4"/>
        <v>3435.5877879833802</v>
      </c>
      <c r="DF11" s="848">
        <f t="shared" si="4"/>
        <v>3437.1354496212612</v>
      </c>
      <c r="DG11" s="848">
        <f t="shared" si="4"/>
        <v>3442.3358488019676</v>
      </c>
      <c r="DH11" s="848">
        <f t="shared" si="4"/>
        <v>1962.6486956318154</v>
      </c>
      <c r="DI11" s="848">
        <f t="shared" si="4"/>
        <v>3506.7413372960123</v>
      </c>
      <c r="DJ11" s="848">
        <f t="shared" si="4"/>
        <v>3522.3435353478635</v>
      </c>
      <c r="DK11" s="848">
        <f t="shared" si="4"/>
        <v>3528.6115690083188</v>
      </c>
      <c r="DL11" s="848">
        <f t="shared" si="4"/>
        <v>3527.7188609242917</v>
      </c>
      <c r="DM11" s="848">
        <f t="shared" si="4"/>
        <v>3533.1994035572661</v>
      </c>
      <c r="DN11" s="848">
        <f t="shared" si="4"/>
        <v>3539.4900536098239</v>
      </c>
      <c r="DO11" s="848">
        <f t="shared" si="4"/>
        <v>3538.7886008499913</v>
      </c>
      <c r="DP11" s="848">
        <f t="shared" si="4"/>
        <v>3525.8958440603301</v>
      </c>
      <c r="DQ11" s="848">
        <f t="shared" si="4"/>
        <v>3532.1712783639359</v>
      </c>
      <c r="DR11" s="848">
        <f t="shared" si="4"/>
        <v>3533.9755443580525</v>
      </c>
      <c r="DS11" s="848">
        <f t="shared" si="4"/>
        <v>3539.3535664156002</v>
      </c>
      <c r="DT11" s="848">
        <f t="shared" si="4"/>
        <v>2018.2460278452809</v>
      </c>
      <c r="DU11" s="848">
        <f t="shared" si="4"/>
        <v>3605.7783444576703</v>
      </c>
      <c r="DV11" s="848">
        <f t="shared" si="4"/>
        <v>3621.4067694352275</v>
      </c>
      <c r="DW11" s="848">
        <f t="shared" si="4"/>
        <v>3627.8588149496904</v>
      </c>
      <c r="DX11" s="848">
        <f t="shared" si="4"/>
        <v>3627.1336428962395</v>
      </c>
      <c r="DY11" s="848">
        <f t="shared" si="4"/>
        <v>3632.7989297746481</v>
      </c>
      <c r="DZ11" s="848">
        <f t="shared" si="4"/>
        <v>3639.274708956485</v>
      </c>
      <c r="EA11" s="848">
        <f t="shared" si="4"/>
        <v>0</v>
      </c>
      <c r="EB11" s="848">
        <f t="shared" si="4"/>
        <v>0</v>
      </c>
      <c r="EC11" s="848">
        <f t="shared" si="4"/>
        <v>0</v>
      </c>
      <c r="ED11" s="848">
        <f t="shared" si="4"/>
        <v>0</v>
      </c>
      <c r="EE11" s="848">
        <f t="shared" si="4"/>
        <v>0</v>
      </c>
      <c r="EF11" s="848">
        <f t="shared" si="4"/>
        <v>0</v>
      </c>
      <c r="EG11" s="848">
        <f t="shared" si="4"/>
        <v>0</v>
      </c>
      <c r="EH11" s="848">
        <f t="shared" ref="EH11:EL11" si="5">SUM(EH13:EH18)</f>
        <v>0</v>
      </c>
      <c r="EI11" s="848">
        <f t="shared" si="5"/>
        <v>0</v>
      </c>
      <c r="EJ11" s="848">
        <f t="shared" si="5"/>
        <v>0</v>
      </c>
      <c r="EK11" s="848">
        <f t="shared" si="5"/>
        <v>0</v>
      </c>
      <c r="EL11" s="848">
        <f t="shared" si="5"/>
        <v>0</v>
      </c>
    </row>
    <row r="12" spans="2:142">
      <c r="B12" s="1000"/>
      <c r="C12" s="1001"/>
      <c r="D12" s="1001"/>
      <c r="F12" s="1001"/>
      <c r="G12" s="1001"/>
      <c r="H12" s="1067"/>
      <c r="I12" s="833"/>
      <c r="J12" s="214"/>
      <c r="K12" s="214"/>
      <c r="L12" s="214"/>
      <c r="M12" s="214"/>
      <c r="N12" s="214"/>
      <c r="O12" s="214"/>
      <c r="P12" s="214"/>
      <c r="Q12" s="214"/>
      <c r="R12" s="214"/>
      <c r="S12" s="214"/>
      <c r="T12" s="214"/>
      <c r="U12" s="214"/>
      <c r="V12" s="214"/>
      <c r="W12" s="214"/>
      <c r="X12" s="214"/>
      <c r="Y12" s="214"/>
      <c r="Z12" s="214"/>
      <c r="AA12" s="214"/>
      <c r="AB12" s="214"/>
      <c r="AC12" s="214"/>
      <c r="AD12" s="214"/>
      <c r="AE12" s="214"/>
      <c r="AF12" s="214"/>
      <c r="AG12" s="214"/>
      <c r="AH12" s="214"/>
      <c r="AI12" s="214"/>
      <c r="AJ12" s="214"/>
      <c r="AK12" s="214"/>
      <c r="AL12" s="214"/>
      <c r="AM12" s="214"/>
      <c r="AN12" s="214"/>
      <c r="AO12" s="214"/>
      <c r="AP12" s="214"/>
      <c r="AQ12" s="214"/>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N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c r="CM12" s="214"/>
      <c r="CN12" s="214"/>
      <c r="CO12" s="214"/>
      <c r="CP12" s="214"/>
      <c r="CQ12" s="214"/>
      <c r="CR12" s="214"/>
      <c r="CS12" s="214"/>
      <c r="CT12" s="214"/>
      <c r="CU12" s="214"/>
      <c r="CV12" s="214"/>
      <c r="CW12" s="214"/>
      <c r="CX12" s="214"/>
      <c r="CY12" s="214"/>
      <c r="CZ12" s="214"/>
      <c r="DA12" s="214"/>
      <c r="DB12" s="214"/>
      <c r="DC12" s="214"/>
      <c r="DD12" s="214"/>
      <c r="DE12" s="214"/>
      <c r="DF12" s="214"/>
      <c r="DG12" s="214"/>
      <c r="DH12" s="214"/>
      <c r="DI12" s="214"/>
      <c r="DJ12" s="214"/>
      <c r="DK12" s="214"/>
      <c r="DL12" s="214"/>
      <c r="DM12" s="214"/>
      <c r="DN12" s="214"/>
      <c r="DO12" s="214"/>
      <c r="DP12" s="214"/>
      <c r="DQ12" s="214"/>
      <c r="DR12" s="214"/>
      <c r="DS12" s="214"/>
      <c r="DT12" s="214"/>
      <c r="DU12" s="214"/>
      <c r="DV12" s="214"/>
      <c r="DW12" s="214"/>
      <c r="DX12" s="214"/>
      <c r="DY12" s="214"/>
      <c r="DZ12" s="214"/>
      <c r="EA12" s="214"/>
      <c r="EB12" s="214"/>
      <c r="EC12" s="214"/>
      <c r="ED12" s="214"/>
      <c r="EE12" s="214"/>
      <c r="EF12" s="214"/>
      <c r="EG12" s="214"/>
      <c r="EH12" s="214"/>
      <c r="EI12" s="214"/>
      <c r="EJ12" s="214"/>
      <c r="EK12" s="214"/>
      <c r="EL12" s="214"/>
    </row>
    <row r="13" spans="2:142" ht="13.5">
      <c r="B13" s="1000"/>
      <c r="C13" s="911" t="s">
        <v>2158</v>
      </c>
      <c r="D13" s="881"/>
      <c r="F13" s="1001"/>
      <c r="G13" s="1001"/>
      <c r="H13" s="848">
        <f t="shared" ref="H13:H18" si="6">SUM(J13:EL13)</f>
        <v>178660.62558264786</v>
      </c>
      <c r="I13" s="833"/>
      <c r="J13" s="848">
        <v>0</v>
      </c>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1883.4785149999996</v>
      </c>
      <c r="AN13" s="848">
        <v>624.64944599999967</v>
      </c>
      <c r="AO13" s="848">
        <v>1918.7257289319998</v>
      </c>
      <c r="AP13" s="848">
        <v>1937.5705645994999</v>
      </c>
      <c r="AQ13" s="848">
        <v>1290.5324231334998</v>
      </c>
      <c r="AR13" s="848">
        <v>1937.5705645994999</v>
      </c>
      <c r="AS13" s="848">
        <v>1937.5705645994999</v>
      </c>
      <c r="AT13" s="848">
        <v>643.49428166749976</v>
      </c>
      <c r="AU13" s="848">
        <v>1937.5705645994999</v>
      </c>
      <c r="AV13" s="848">
        <v>1937.5705645994999</v>
      </c>
      <c r="AW13" s="848">
        <v>1937.5705645994999</v>
      </c>
      <c r="AX13" s="848">
        <v>1939.2961702995001</v>
      </c>
      <c r="AY13" s="848">
        <v>1939.2961702995001</v>
      </c>
      <c r="AZ13" s="848">
        <v>645.21988736749995</v>
      </c>
      <c r="BA13" s="848">
        <v>1975.5303062215958</v>
      </c>
      <c r="BB13" s="848">
        <v>1992.8739002291209</v>
      </c>
      <c r="BC13" s="848">
        <v>1327.7186908020731</v>
      </c>
      <c r="BD13" s="848">
        <v>1992.8739002291209</v>
      </c>
      <c r="BE13" s="848">
        <v>1992.8739002291209</v>
      </c>
      <c r="BF13" s="848">
        <v>662.56348137502505</v>
      </c>
      <c r="BG13" s="848">
        <v>1992.8739002291209</v>
      </c>
      <c r="BH13" s="848">
        <v>1992.8739002291209</v>
      </c>
      <c r="BI13" s="848">
        <v>1992.8739002291209</v>
      </c>
      <c r="BJ13" s="848">
        <v>1994.6512741001211</v>
      </c>
      <c r="BK13" s="848">
        <v>1994.6512741001211</v>
      </c>
      <c r="BL13" s="848">
        <v>664.34085524602528</v>
      </c>
      <c r="BM13" s="848">
        <v>2031.8999658280359</v>
      </c>
      <c r="BN13" s="848">
        <v>2049.7572700509963</v>
      </c>
      <c r="BO13" s="848">
        <v>1365.9777147599912</v>
      </c>
      <c r="BP13" s="848">
        <v>2049.7572700509963</v>
      </c>
      <c r="BQ13" s="848">
        <v>2049.7572700509963</v>
      </c>
      <c r="BR13" s="848">
        <v>682.19815946898575</v>
      </c>
      <c r="BS13" s="848">
        <v>2049.7572700509963</v>
      </c>
      <c r="BT13" s="848">
        <v>2049.7572700509963</v>
      </c>
      <c r="BU13" s="848">
        <v>2049.7572700509963</v>
      </c>
      <c r="BV13" s="848">
        <v>2051.5879651381265</v>
      </c>
      <c r="BW13" s="848">
        <v>2051.5879651381265</v>
      </c>
      <c r="BX13" s="848">
        <v>684.0288545561159</v>
      </c>
      <c r="BY13" s="848">
        <v>2089.8796202344224</v>
      </c>
      <c r="BZ13" s="848">
        <v>2108.2658612463483</v>
      </c>
      <c r="CA13" s="848">
        <v>2108.2658612463483</v>
      </c>
      <c r="CB13" s="848">
        <v>2108.2658612463483</v>
      </c>
      <c r="CC13" s="848">
        <v>2108.2658612463483</v>
      </c>
      <c r="CD13" s="848">
        <v>2108.2658612463483</v>
      </c>
      <c r="CE13" s="848">
        <v>2108.2658612463483</v>
      </c>
      <c r="CF13" s="848">
        <v>2108.2658612463483</v>
      </c>
      <c r="CG13" s="848">
        <v>2108.2658612463483</v>
      </c>
      <c r="CH13" s="848">
        <v>2110.1514771860925</v>
      </c>
      <c r="CI13" s="848">
        <v>2110.1514771860925</v>
      </c>
      <c r="CJ13" s="848">
        <v>704.30071150778508</v>
      </c>
      <c r="CK13" s="848">
        <v>2149.5152986250851</v>
      </c>
      <c r="CL13" s="848">
        <v>2183.2045846059218</v>
      </c>
      <c r="CM13" s="848">
        <v>2183.2045846059218</v>
      </c>
      <c r="CN13" s="848">
        <v>2183.2045846059218</v>
      </c>
      <c r="CO13" s="848">
        <v>2183.2045846059218</v>
      </c>
      <c r="CP13" s="848">
        <v>2183.2045846059218</v>
      </c>
      <c r="CQ13" s="848">
        <v>2183.2045846059218</v>
      </c>
      <c r="CR13" s="848">
        <v>2183.2045846059218</v>
      </c>
      <c r="CS13" s="848">
        <v>2183.2045846059218</v>
      </c>
      <c r="CT13" s="848">
        <v>2183.2042038951622</v>
      </c>
      <c r="CU13" s="848">
        <v>2183.2042038951622</v>
      </c>
      <c r="CV13" s="848">
        <v>737.98961677786269</v>
      </c>
      <c r="CW13" s="848">
        <v>2223.6702123344467</v>
      </c>
      <c r="CX13" s="848">
        <v>2243.8677278411692</v>
      </c>
      <c r="CY13" s="848">
        <v>2243.8677278411692</v>
      </c>
      <c r="CZ13" s="848">
        <v>2243.8677278411692</v>
      </c>
      <c r="DA13" s="848">
        <v>2243.8677278411692</v>
      </c>
      <c r="DB13" s="848">
        <v>2243.8677278411692</v>
      </c>
      <c r="DC13" s="848">
        <v>2243.8677278411692</v>
      </c>
      <c r="DD13" s="848">
        <v>2243.8677278411692</v>
      </c>
      <c r="DE13" s="848">
        <v>2243.8677278411692</v>
      </c>
      <c r="DF13" s="848">
        <v>2245.8099008377826</v>
      </c>
      <c r="DG13" s="848">
        <v>2245.8099008377826</v>
      </c>
      <c r="DH13" s="848">
        <v>760.12930528119841</v>
      </c>
      <c r="DI13" s="848">
        <v>2287.4089575133667</v>
      </c>
      <c r="DJ13" s="848">
        <v>2308.212398485291</v>
      </c>
      <c r="DK13" s="848">
        <v>2308.212398485291</v>
      </c>
      <c r="DL13" s="848">
        <v>2308.212398485291</v>
      </c>
      <c r="DM13" s="848">
        <v>2308.212398485291</v>
      </c>
      <c r="DN13" s="848">
        <v>2308.212398485291</v>
      </c>
      <c r="DO13" s="848">
        <v>2308.212398485291</v>
      </c>
      <c r="DP13" s="848">
        <v>2308.212398485291</v>
      </c>
      <c r="DQ13" s="848">
        <v>2308.212398485291</v>
      </c>
      <c r="DR13" s="848">
        <v>2310.212836671803</v>
      </c>
      <c r="DS13" s="848">
        <v>2310.212836671803</v>
      </c>
      <c r="DT13" s="848">
        <v>782.93318443963472</v>
      </c>
      <c r="DU13" s="848">
        <v>2352.9766669343039</v>
      </c>
      <c r="DV13" s="848">
        <v>2374.4042111353856</v>
      </c>
      <c r="DW13" s="848">
        <v>2374.4042111353856</v>
      </c>
      <c r="DX13" s="848">
        <v>2374.4042111353856</v>
      </c>
      <c r="DY13" s="848">
        <v>2374.4042111353856</v>
      </c>
      <c r="DZ13" s="848">
        <v>2374.4042111353856</v>
      </c>
      <c r="EA13" s="848">
        <v>0</v>
      </c>
      <c r="EB13" s="848">
        <v>0</v>
      </c>
      <c r="EC13" s="848">
        <v>0</v>
      </c>
      <c r="ED13" s="848">
        <v>0</v>
      </c>
      <c r="EE13" s="848">
        <v>0</v>
      </c>
      <c r="EF13" s="848">
        <v>0</v>
      </c>
      <c r="EG13" s="848">
        <v>0</v>
      </c>
      <c r="EH13" s="848">
        <v>0</v>
      </c>
      <c r="EI13" s="848">
        <v>0</v>
      </c>
      <c r="EJ13" s="848">
        <v>0</v>
      </c>
      <c r="EK13" s="848">
        <v>0</v>
      </c>
      <c r="EL13" s="848">
        <v>0</v>
      </c>
    </row>
    <row r="14" spans="2:142" s="833" customFormat="1" ht="13.5">
      <c r="B14" s="1000"/>
      <c r="C14" s="911" t="s">
        <v>1604</v>
      </c>
      <c r="D14" s="881"/>
      <c r="F14" s="1001"/>
      <c r="G14" s="1001"/>
      <c r="H14" s="848">
        <f t="shared" si="6"/>
        <v>94777.874470014664</v>
      </c>
      <c r="J14" s="848">
        <v>0</v>
      </c>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907.13856400000009</v>
      </c>
      <c r="AN14" s="848">
        <v>907.13856400000009</v>
      </c>
      <c r="AO14" s="848">
        <v>924.76217098000006</v>
      </c>
      <c r="AP14" s="848">
        <v>933.04005490000009</v>
      </c>
      <c r="AQ14" s="848">
        <v>933.04005490000009</v>
      </c>
      <c r="AR14" s="848">
        <v>933.04005490000009</v>
      </c>
      <c r="AS14" s="848">
        <v>933.04005490000009</v>
      </c>
      <c r="AT14" s="848">
        <v>933.04005490000009</v>
      </c>
      <c r="AU14" s="848">
        <v>933.04005490000009</v>
      </c>
      <c r="AV14" s="848">
        <v>933.04005490000009</v>
      </c>
      <c r="AW14" s="848">
        <v>933.04005490000009</v>
      </c>
      <c r="AX14" s="848">
        <v>933.83648830000016</v>
      </c>
      <c r="AY14" s="848">
        <v>933.83648830000016</v>
      </c>
      <c r="AZ14" s="848">
        <v>933.83648830000016</v>
      </c>
      <c r="BA14" s="848">
        <v>951.95355627544006</v>
      </c>
      <c r="BB14" s="848">
        <v>959.64497888304004</v>
      </c>
      <c r="BC14" s="848">
        <v>959.64497888304004</v>
      </c>
      <c r="BD14" s="848">
        <v>959.64497888304004</v>
      </c>
      <c r="BE14" s="848">
        <v>959.64497888304004</v>
      </c>
      <c r="BF14" s="848">
        <v>959.64497888304004</v>
      </c>
      <c r="BG14" s="848">
        <v>959.64497888304004</v>
      </c>
      <c r="BH14" s="848">
        <v>959.64497888304004</v>
      </c>
      <c r="BI14" s="848">
        <v>959.64497888304004</v>
      </c>
      <c r="BJ14" s="848">
        <v>960.46530528504002</v>
      </c>
      <c r="BK14" s="848">
        <v>960.46530528504002</v>
      </c>
      <c r="BL14" s="848">
        <v>960.46530528504002</v>
      </c>
      <c r="BM14" s="848">
        <v>979.0896511637925</v>
      </c>
      <c r="BN14" s="848">
        <v>987.00923481098039</v>
      </c>
      <c r="BO14" s="848">
        <v>987.00923481098039</v>
      </c>
      <c r="BP14" s="848">
        <v>987.00923481098039</v>
      </c>
      <c r="BQ14" s="848">
        <v>987.00923481098039</v>
      </c>
      <c r="BR14" s="848">
        <v>987.00923481098039</v>
      </c>
      <c r="BS14" s="848">
        <v>987.00923481098039</v>
      </c>
      <c r="BT14" s="848">
        <v>987.00923481098039</v>
      </c>
      <c r="BU14" s="848">
        <v>987.00923481098039</v>
      </c>
      <c r="BV14" s="848">
        <v>987.85417100504048</v>
      </c>
      <c r="BW14" s="848">
        <v>987.85417100504048</v>
      </c>
      <c r="BX14" s="848">
        <v>987.85417100504048</v>
      </c>
      <c r="BY14" s="848">
        <v>1006.9999985683978</v>
      </c>
      <c r="BZ14" s="848">
        <v>1015.1545158004797</v>
      </c>
      <c r="CA14" s="848">
        <v>1015.1545158004797</v>
      </c>
      <c r="CB14" s="848">
        <v>1015.1545158004797</v>
      </c>
      <c r="CC14" s="848">
        <v>1015.1545158004797</v>
      </c>
      <c r="CD14" s="848">
        <v>1015.1545158004797</v>
      </c>
      <c r="CE14" s="848">
        <v>1015.1545158004797</v>
      </c>
      <c r="CF14" s="848">
        <v>1015.1545158004797</v>
      </c>
      <c r="CG14" s="848">
        <v>1015.1545158004797</v>
      </c>
      <c r="CH14" s="848">
        <v>1016.0248000803615</v>
      </c>
      <c r="CI14" s="848">
        <v>1016.0248000803615</v>
      </c>
      <c r="CJ14" s="848">
        <v>1016.0248000803615</v>
      </c>
      <c r="CK14" s="848">
        <v>1035.7067108154929</v>
      </c>
      <c r="CL14" s="848">
        <v>1063.2180622043529</v>
      </c>
      <c r="CM14" s="848">
        <v>1063.2180622043529</v>
      </c>
      <c r="CN14" s="848">
        <v>1063.2180622043529</v>
      </c>
      <c r="CO14" s="848">
        <v>1063.2180622043529</v>
      </c>
      <c r="CP14" s="848">
        <v>1063.2180622043529</v>
      </c>
      <c r="CQ14" s="848">
        <v>1063.2180622043529</v>
      </c>
      <c r="CR14" s="848">
        <v>1063.2180622043529</v>
      </c>
      <c r="CS14" s="848">
        <v>1063.2180622043529</v>
      </c>
      <c r="CT14" s="848">
        <v>1063.2178864916946</v>
      </c>
      <c r="CU14" s="848">
        <v>1063.2178864916946</v>
      </c>
      <c r="CV14" s="848">
        <v>1063.2178864916946</v>
      </c>
      <c r="CW14" s="848">
        <v>1083.4508907274096</v>
      </c>
      <c r="CX14" s="848">
        <v>1092.7728209612817</v>
      </c>
      <c r="CY14" s="848">
        <v>1092.7728209612817</v>
      </c>
      <c r="CZ14" s="848">
        <v>1092.7728209612817</v>
      </c>
      <c r="DA14" s="848">
        <v>1092.7728209612817</v>
      </c>
      <c r="DB14" s="848">
        <v>1092.7728209612817</v>
      </c>
      <c r="DC14" s="848">
        <v>1092.7728209612817</v>
      </c>
      <c r="DD14" s="848">
        <v>1092.7728209612817</v>
      </c>
      <c r="DE14" s="848">
        <v>1092.7728209612817</v>
      </c>
      <c r="DF14" s="848">
        <v>1093.6692084981803</v>
      </c>
      <c r="DG14" s="848">
        <v>1093.6692084981803</v>
      </c>
      <c r="DH14" s="848">
        <v>1093.6692084981803</v>
      </c>
      <c r="DI14" s="848">
        <v>1114.4687368524953</v>
      </c>
      <c r="DJ14" s="848">
        <v>1124.0703249933831</v>
      </c>
      <c r="DK14" s="848">
        <v>1124.0703249933831</v>
      </c>
      <c r="DL14" s="848">
        <v>1124.0703249933831</v>
      </c>
      <c r="DM14" s="848">
        <v>1124.0703249933831</v>
      </c>
      <c r="DN14" s="848">
        <v>1124.0703249933831</v>
      </c>
      <c r="DO14" s="848">
        <v>1124.0703249933831</v>
      </c>
      <c r="DP14" s="848">
        <v>1124.0703249933831</v>
      </c>
      <c r="DQ14" s="848">
        <v>1124.0703249933831</v>
      </c>
      <c r="DR14" s="848">
        <v>1124.9936041563888</v>
      </c>
      <c r="DS14" s="848">
        <v>1124.9936041563888</v>
      </c>
      <c r="DT14" s="848">
        <v>1124.9936041563888</v>
      </c>
      <c r="DU14" s="848">
        <v>1146.3755193046247</v>
      </c>
      <c r="DV14" s="848">
        <v>1156.2651550897397</v>
      </c>
      <c r="DW14" s="848">
        <v>1156.2651550897397</v>
      </c>
      <c r="DX14" s="848">
        <v>1156.2651550897397</v>
      </c>
      <c r="DY14" s="848">
        <v>1156.2651550897397</v>
      </c>
      <c r="DZ14" s="848">
        <v>1156.2651550897397</v>
      </c>
      <c r="EA14" s="848">
        <v>0</v>
      </c>
      <c r="EB14" s="848">
        <v>0</v>
      </c>
      <c r="EC14" s="848">
        <v>0</v>
      </c>
      <c r="ED14" s="848">
        <v>0</v>
      </c>
      <c r="EE14" s="848">
        <v>0</v>
      </c>
      <c r="EF14" s="848">
        <v>0</v>
      </c>
      <c r="EG14" s="848">
        <v>0</v>
      </c>
      <c r="EH14" s="848">
        <v>0</v>
      </c>
      <c r="EI14" s="848">
        <v>0</v>
      </c>
      <c r="EJ14" s="848">
        <v>0</v>
      </c>
      <c r="EK14" s="848">
        <v>0</v>
      </c>
      <c r="EL14" s="848">
        <v>0</v>
      </c>
    </row>
    <row r="15" spans="2:142" s="833" customFormat="1" ht="13.5">
      <c r="B15" s="1000"/>
      <c r="C15" s="911" t="s">
        <v>1605</v>
      </c>
      <c r="D15" s="1001"/>
      <c r="F15" s="1001"/>
      <c r="G15" s="1001"/>
      <c r="H15" s="848">
        <f t="shared" si="6"/>
        <v>3312</v>
      </c>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36</v>
      </c>
      <c r="AN15" s="848">
        <v>36</v>
      </c>
      <c r="AO15" s="848">
        <v>36</v>
      </c>
      <c r="AP15" s="848">
        <v>36</v>
      </c>
      <c r="AQ15" s="848">
        <v>36</v>
      </c>
      <c r="AR15" s="848">
        <v>36</v>
      </c>
      <c r="AS15" s="848">
        <v>36</v>
      </c>
      <c r="AT15" s="848">
        <v>36</v>
      </c>
      <c r="AU15" s="848">
        <v>36</v>
      </c>
      <c r="AV15" s="848">
        <v>36</v>
      </c>
      <c r="AW15" s="848">
        <v>36</v>
      </c>
      <c r="AX15" s="848">
        <v>36</v>
      </c>
      <c r="AY15" s="848">
        <v>36</v>
      </c>
      <c r="AZ15" s="848">
        <v>36</v>
      </c>
      <c r="BA15" s="848">
        <v>36</v>
      </c>
      <c r="BB15" s="848">
        <v>36</v>
      </c>
      <c r="BC15" s="848">
        <v>36</v>
      </c>
      <c r="BD15" s="848">
        <v>36</v>
      </c>
      <c r="BE15" s="848">
        <v>36</v>
      </c>
      <c r="BF15" s="848">
        <v>36</v>
      </c>
      <c r="BG15" s="848">
        <v>36</v>
      </c>
      <c r="BH15" s="848">
        <v>36</v>
      </c>
      <c r="BI15" s="848">
        <v>36</v>
      </c>
      <c r="BJ15" s="848">
        <v>36</v>
      </c>
      <c r="BK15" s="848">
        <v>36</v>
      </c>
      <c r="BL15" s="848">
        <v>36</v>
      </c>
      <c r="BM15" s="848">
        <v>36</v>
      </c>
      <c r="BN15" s="848">
        <v>36</v>
      </c>
      <c r="BO15" s="848">
        <v>36</v>
      </c>
      <c r="BP15" s="848">
        <v>36</v>
      </c>
      <c r="BQ15" s="848">
        <v>36</v>
      </c>
      <c r="BR15" s="848">
        <v>36</v>
      </c>
      <c r="BS15" s="848">
        <v>36</v>
      </c>
      <c r="BT15" s="848">
        <v>36</v>
      </c>
      <c r="BU15" s="848">
        <v>36</v>
      </c>
      <c r="BV15" s="848">
        <v>36</v>
      </c>
      <c r="BW15" s="848">
        <v>36</v>
      </c>
      <c r="BX15" s="848">
        <v>36</v>
      </c>
      <c r="BY15" s="848">
        <v>36</v>
      </c>
      <c r="BZ15" s="848">
        <v>36</v>
      </c>
      <c r="CA15" s="848">
        <v>36</v>
      </c>
      <c r="CB15" s="848">
        <v>36</v>
      </c>
      <c r="CC15" s="848">
        <v>36</v>
      </c>
      <c r="CD15" s="848">
        <v>36</v>
      </c>
      <c r="CE15" s="848">
        <v>36</v>
      </c>
      <c r="CF15" s="848">
        <v>36</v>
      </c>
      <c r="CG15" s="848">
        <v>36</v>
      </c>
      <c r="CH15" s="848">
        <v>36</v>
      </c>
      <c r="CI15" s="848">
        <v>36</v>
      </c>
      <c r="CJ15" s="848">
        <v>36</v>
      </c>
      <c r="CK15" s="848">
        <v>36</v>
      </c>
      <c r="CL15" s="848">
        <v>36</v>
      </c>
      <c r="CM15" s="848">
        <v>36</v>
      </c>
      <c r="CN15" s="848">
        <v>36</v>
      </c>
      <c r="CO15" s="848">
        <v>36</v>
      </c>
      <c r="CP15" s="848">
        <v>36</v>
      </c>
      <c r="CQ15" s="848">
        <v>36</v>
      </c>
      <c r="CR15" s="848">
        <v>36</v>
      </c>
      <c r="CS15" s="848">
        <v>36</v>
      </c>
      <c r="CT15" s="848">
        <v>36</v>
      </c>
      <c r="CU15" s="848">
        <v>36</v>
      </c>
      <c r="CV15" s="848">
        <v>36</v>
      </c>
      <c r="CW15" s="848">
        <v>36</v>
      </c>
      <c r="CX15" s="848">
        <v>36</v>
      </c>
      <c r="CY15" s="848">
        <v>36</v>
      </c>
      <c r="CZ15" s="848">
        <v>36</v>
      </c>
      <c r="DA15" s="848">
        <v>36</v>
      </c>
      <c r="DB15" s="848">
        <v>36</v>
      </c>
      <c r="DC15" s="848">
        <v>36</v>
      </c>
      <c r="DD15" s="848">
        <v>36</v>
      </c>
      <c r="DE15" s="848">
        <v>36</v>
      </c>
      <c r="DF15" s="848">
        <v>36</v>
      </c>
      <c r="DG15" s="848">
        <v>36</v>
      </c>
      <c r="DH15" s="848">
        <v>36</v>
      </c>
      <c r="DI15" s="848">
        <v>36</v>
      </c>
      <c r="DJ15" s="848">
        <v>36</v>
      </c>
      <c r="DK15" s="848">
        <v>36</v>
      </c>
      <c r="DL15" s="848">
        <v>36</v>
      </c>
      <c r="DM15" s="848">
        <v>36</v>
      </c>
      <c r="DN15" s="848">
        <v>36</v>
      </c>
      <c r="DO15" s="848">
        <v>36</v>
      </c>
      <c r="DP15" s="848">
        <v>36</v>
      </c>
      <c r="DQ15" s="848">
        <v>36</v>
      </c>
      <c r="DR15" s="848">
        <v>36</v>
      </c>
      <c r="DS15" s="848">
        <v>36</v>
      </c>
      <c r="DT15" s="848">
        <v>36</v>
      </c>
      <c r="DU15" s="848">
        <v>36</v>
      </c>
      <c r="DV15" s="848">
        <v>36</v>
      </c>
      <c r="DW15" s="848">
        <v>36</v>
      </c>
      <c r="DX15" s="848">
        <v>36</v>
      </c>
      <c r="DY15" s="848">
        <v>36</v>
      </c>
      <c r="DZ15" s="848">
        <v>36</v>
      </c>
      <c r="EA15" s="848">
        <v>0</v>
      </c>
      <c r="EB15" s="848">
        <v>0</v>
      </c>
      <c r="EC15" s="848">
        <v>0</v>
      </c>
      <c r="ED15" s="848">
        <v>0</v>
      </c>
      <c r="EE15" s="848">
        <v>0</v>
      </c>
      <c r="EF15" s="848">
        <v>0</v>
      </c>
      <c r="EG15" s="848">
        <v>0</v>
      </c>
      <c r="EH15" s="848">
        <v>0</v>
      </c>
      <c r="EI15" s="848">
        <v>0</v>
      </c>
      <c r="EJ15" s="848">
        <v>0</v>
      </c>
      <c r="EK15" s="848">
        <v>0</v>
      </c>
      <c r="EL15" s="848">
        <v>0</v>
      </c>
    </row>
    <row r="16" spans="2:142" s="833" customFormat="1" ht="13.5">
      <c r="B16" s="1000"/>
      <c r="C16" s="911" t="s">
        <v>1606</v>
      </c>
      <c r="D16" s="1068"/>
      <c r="F16" s="1001"/>
      <c r="G16" s="1001"/>
      <c r="H16" s="848">
        <f t="shared" si="6"/>
        <v>2852</v>
      </c>
      <c r="J16" s="848">
        <v>0</v>
      </c>
      <c r="K16" s="848">
        <v>0</v>
      </c>
      <c r="L16" s="848">
        <v>0</v>
      </c>
      <c r="M16" s="848">
        <v>0</v>
      </c>
      <c r="N16" s="848">
        <v>0</v>
      </c>
      <c r="O16" s="848">
        <v>0</v>
      </c>
      <c r="P16" s="848">
        <v>0</v>
      </c>
      <c r="Q16" s="848">
        <v>0</v>
      </c>
      <c r="R16" s="848">
        <v>0</v>
      </c>
      <c r="S16" s="848">
        <v>0</v>
      </c>
      <c r="T16" s="848">
        <v>0</v>
      </c>
      <c r="U16" s="848">
        <v>0</v>
      </c>
      <c r="V16" s="848">
        <v>0</v>
      </c>
      <c r="W16" s="848">
        <v>0</v>
      </c>
      <c r="X16" s="848">
        <v>0</v>
      </c>
      <c r="Y16" s="848">
        <v>0</v>
      </c>
      <c r="Z16" s="848">
        <v>0</v>
      </c>
      <c r="AA16" s="848">
        <v>0</v>
      </c>
      <c r="AB16" s="848">
        <v>0</v>
      </c>
      <c r="AC16" s="848">
        <v>0</v>
      </c>
      <c r="AD16" s="848">
        <v>0</v>
      </c>
      <c r="AE16" s="848">
        <v>0</v>
      </c>
      <c r="AF16" s="848">
        <v>0</v>
      </c>
      <c r="AG16" s="848">
        <v>0</v>
      </c>
      <c r="AH16" s="848">
        <v>0</v>
      </c>
      <c r="AI16" s="848">
        <v>0</v>
      </c>
      <c r="AJ16" s="848">
        <v>0</v>
      </c>
      <c r="AK16" s="848">
        <v>0</v>
      </c>
      <c r="AL16" s="848">
        <v>0</v>
      </c>
      <c r="AM16" s="848">
        <v>31</v>
      </c>
      <c r="AN16" s="848">
        <v>31</v>
      </c>
      <c r="AO16" s="848">
        <v>31</v>
      </c>
      <c r="AP16" s="848">
        <v>31</v>
      </c>
      <c r="AQ16" s="848">
        <v>31</v>
      </c>
      <c r="AR16" s="848">
        <v>31</v>
      </c>
      <c r="AS16" s="848">
        <v>31</v>
      </c>
      <c r="AT16" s="848">
        <v>31</v>
      </c>
      <c r="AU16" s="848">
        <v>31</v>
      </c>
      <c r="AV16" s="848">
        <v>31</v>
      </c>
      <c r="AW16" s="848">
        <v>31</v>
      </c>
      <c r="AX16" s="848">
        <v>31</v>
      </c>
      <c r="AY16" s="848">
        <v>31</v>
      </c>
      <c r="AZ16" s="848">
        <v>31</v>
      </c>
      <c r="BA16" s="848">
        <v>31</v>
      </c>
      <c r="BB16" s="848">
        <v>31</v>
      </c>
      <c r="BC16" s="848">
        <v>31</v>
      </c>
      <c r="BD16" s="848">
        <v>31</v>
      </c>
      <c r="BE16" s="848">
        <v>31</v>
      </c>
      <c r="BF16" s="848">
        <v>31</v>
      </c>
      <c r="BG16" s="848">
        <v>31</v>
      </c>
      <c r="BH16" s="848">
        <v>31</v>
      </c>
      <c r="BI16" s="848">
        <v>31</v>
      </c>
      <c r="BJ16" s="848">
        <v>31</v>
      </c>
      <c r="BK16" s="848">
        <v>31</v>
      </c>
      <c r="BL16" s="848">
        <v>31</v>
      </c>
      <c r="BM16" s="848">
        <v>31</v>
      </c>
      <c r="BN16" s="848">
        <v>31</v>
      </c>
      <c r="BO16" s="848">
        <v>31</v>
      </c>
      <c r="BP16" s="848">
        <v>31</v>
      </c>
      <c r="BQ16" s="848">
        <v>31</v>
      </c>
      <c r="BR16" s="848">
        <v>31</v>
      </c>
      <c r="BS16" s="848">
        <v>31</v>
      </c>
      <c r="BT16" s="848">
        <v>31</v>
      </c>
      <c r="BU16" s="848">
        <v>31</v>
      </c>
      <c r="BV16" s="848">
        <v>31</v>
      </c>
      <c r="BW16" s="848">
        <v>31</v>
      </c>
      <c r="BX16" s="848">
        <v>31</v>
      </c>
      <c r="BY16" s="848">
        <v>31</v>
      </c>
      <c r="BZ16" s="848">
        <v>31</v>
      </c>
      <c r="CA16" s="848">
        <v>31</v>
      </c>
      <c r="CB16" s="848">
        <v>31</v>
      </c>
      <c r="CC16" s="848">
        <v>31</v>
      </c>
      <c r="CD16" s="848">
        <v>31</v>
      </c>
      <c r="CE16" s="848">
        <v>31</v>
      </c>
      <c r="CF16" s="848">
        <v>31</v>
      </c>
      <c r="CG16" s="848">
        <v>31</v>
      </c>
      <c r="CH16" s="848">
        <v>31</v>
      </c>
      <c r="CI16" s="848">
        <v>31</v>
      </c>
      <c r="CJ16" s="848">
        <v>31</v>
      </c>
      <c r="CK16" s="848">
        <v>31</v>
      </c>
      <c r="CL16" s="848">
        <v>31</v>
      </c>
      <c r="CM16" s="848">
        <v>31</v>
      </c>
      <c r="CN16" s="848">
        <v>31</v>
      </c>
      <c r="CO16" s="848">
        <v>31</v>
      </c>
      <c r="CP16" s="848">
        <v>31</v>
      </c>
      <c r="CQ16" s="848">
        <v>31</v>
      </c>
      <c r="CR16" s="848">
        <v>31</v>
      </c>
      <c r="CS16" s="848">
        <v>31</v>
      </c>
      <c r="CT16" s="848">
        <v>31</v>
      </c>
      <c r="CU16" s="848">
        <v>31</v>
      </c>
      <c r="CV16" s="848">
        <v>31</v>
      </c>
      <c r="CW16" s="848">
        <v>31</v>
      </c>
      <c r="CX16" s="848">
        <v>31</v>
      </c>
      <c r="CY16" s="848">
        <v>31</v>
      </c>
      <c r="CZ16" s="848">
        <v>31</v>
      </c>
      <c r="DA16" s="848">
        <v>31</v>
      </c>
      <c r="DB16" s="848">
        <v>31</v>
      </c>
      <c r="DC16" s="848">
        <v>31</v>
      </c>
      <c r="DD16" s="848">
        <v>31</v>
      </c>
      <c r="DE16" s="848">
        <v>31</v>
      </c>
      <c r="DF16" s="848">
        <v>31</v>
      </c>
      <c r="DG16" s="848">
        <v>31</v>
      </c>
      <c r="DH16" s="848">
        <v>31</v>
      </c>
      <c r="DI16" s="848">
        <v>31</v>
      </c>
      <c r="DJ16" s="848">
        <v>31</v>
      </c>
      <c r="DK16" s="848">
        <v>31</v>
      </c>
      <c r="DL16" s="848">
        <v>31</v>
      </c>
      <c r="DM16" s="848">
        <v>31</v>
      </c>
      <c r="DN16" s="848">
        <v>31</v>
      </c>
      <c r="DO16" s="848">
        <v>31</v>
      </c>
      <c r="DP16" s="848">
        <v>31</v>
      </c>
      <c r="DQ16" s="848">
        <v>31</v>
      </c>
      <c r="DR16" s="848">
        <v>31</v>
      </c>
      <c r="DS16" s="848">
        <v>31</v>
      </c>
      <c r="DT16" s="848">
        <v>31</v>
      </c>
      <c r="DU16" s="848">
        <v>31</v>
      </c>
      <c r="DV16" s="848">
        <v>31</v>
      </c>
      <c r="DW16" s="848">
        <v>31</v>
      </c>
      <c r="DX16" s="848">
        <v>31</v>
      </c>
      <c r="DY16" s="848">
        <v>31</v>
      </c>
      <c r="DZ16" s="848">
        <v>31</v>
      </c>
      <c r="EA16" s="848">
        <v>0</v>
      </c>
      <c r="EB16" s="848">
        <v>0</v>
      </c>
      <c r="EC16" s="848">
        <v>0</v>
      </c>
      <c r="ED16" s="848">
        <v>0</v>
      </c>
      <c r="EE16" s="848">
        <v>0</v>
      </c>
      <c r="EF16" s="848">
        <v>0</v>
      </c>
      <c r="EG16" s="848">
        <v>0</v>
      </c>
      <c r="EH16" s="848">
        <v>0</v>
      </c>
      <c r="EI16" s="848">
        <v>0</v>
      </c>
      <c r="EJ16" s="848">
        <v>0</v>
      </c>
      <c r="EK16" s="848">
        <v>0</v>
      </c>
      <c r="EL16" s="848">
        <v>0</v>
      </c>
    </row>
    <row r="17" spans="2:142" ht="13.5">
      <c r="B17" s="1000"/>
      <c r="C17" s="911" t="s">
        <v>2064</v>
      </c>
      <c r="D17" s="1001"/>
      <c r="F17" s="1001"/>
      <c r="G17" s="1001"/>
      <c r="H17" s="848">
        <f>SUM(J17:EL17)</f>
        <v>12067.269365033935</v>
      </c>
      <c r="I17" s="833"/>
      <c r="J17" s="848">
        <v>0</v>
      </c>
      <c r="K17" s="848">
        <v>0</v>
      </c>
      <c r="L17" s="848">
        <v>0</v>
      </c>
      <c r="M17" s="848">
        <v>0</v>
      </c>
      <c r="N17" s="848">
        <v>0</v>
      </c>
      <c r="O17" s="848">
        <v>0</v>
      </c>
      <c r="P17" s="848">
        <v>0</v>
      </c>
      <c r="Q17" s="848">
        <v>0</v>
      </c>
      <c r="R17" s="848">
        <v>0</v>
      </c>
      <c r="S17" s="848">
        <v>0</v>
      </c>
      <c r="T17" s="848">
        <v>0</v>
      </c>
      <c r="U17" s="848">
        <v>0</v>
      </c>
      <c r="V17" s="848">
        <v>0</v>
      </c>
      <c r="W17" s="848">
        <v>0</v>
      </c>
      <c r="X17" s="848">
        <v>0</v>
      </c>
      <c r="Y17" s="848">
        <v>0</v>
      </c>
      <c r="Z17" s="848">
        <v>0</v>
      </c>
      <c r="AA17" s="848">
        <v>0</v>
      </c>
      <c r="AB17" s="848">
        <v>0</v>
      </c>
      <c r="AC17" s="848">
        <v>0</v>
      </c>
      <c r="AD17" s="848">
        <v>0</v>
      </c>
      <c r="AE17" s="848">
        <v>0</v>
      </c>
      <c r="AF17" s="848">
        <v>0</v>
      </c>
      <c r="AG17" s="848">
        <v>0</v>
      </c>
      <c r="AH17" s="848">
        <v>0</v>
      </c>
      <c r="AI17" s="848">
        <v>0</v>
      </c>
      <c r="AJ17" s="848">
        <v>0</v>
      </c>
      <c r="AK17" s="848">
        <v>0</v>
      </c>
      <c r="AL17" s="848">
        <v>7631.1275020000021</v>
      </c>
      <c r="AM17" s="848">
        <v>0</v>
      </c>
      <c r="AN17" s="848">
        <v>0</v>
      </c>
      <c r="AO17" s="848">
        <v>0</v>
      </c>
      <c r="AP17" s="848">
        <v>0</v>
      </c>
      <c r="AQ17" s="848">
        <v>0</v>
      </c>
      <c r="AR17" s="848">
        <v>0</v>
      </c>
      <c r="AS17" s="848">
        <v>0</v>
      </c>
      <c r="AT17" s="848">
        <v>0</v>
      </c>
      <c r="AU17" s="848">
        <v>0</v>
      </c>
      <c r="AV17" s="848">
        <v>0</v>
      </c>
      <c r="AW17" s="848">
        <v>0</v>
      </c>
      <c r="AX17" s="848">
        <v>0</v>
      </c>
      <c r="AY17" s="848">
        <v>0</v>
      </c>
      <c r="AZ17" s="848">
        <v>0</v>
      </c>
      <c r="BA17" s="848">
        <v>0</v>
      </c>
      <c r="BB17" s="848">
        <v>0</v>
      </c>
      <c r="BC17" s="848">
        <v>0</v>
      </c>
      <c r="BD17" s="848">
        <v>0</v>
      </c>
      <c r="BE17" s="848">
        <v>0</v>
      </c>
      <c r="BF17" s="848">
        <v>0</v>
      </c>
      <c r="BG17" s="848">
        <v>0</v>
      </c>
      <c r="BH17" s="848">
        <v>0</v>
      </c>
      <c r="BI17" s="848">
        <v>0</v>
      </c>
      <c r="BJ17" s="848">
        <v>0</v>
      </c>
      <c r="BK17" s="848">
        <v>0</v>
      </c>
      <c r="BL17" s="848">
        <v>0</v>
      </c>
      <c r="BM17" s="848">
        <v>0</v>
      </c>
      <c r="BN17" s="848">
        <v>0</v>
      </c>
      <c r="BO17" s="848">
        <v>0</v>
      </c>
      <c r="BP17" s="848">
        <v>0</v>
      </c>
      <c r="BQ17" s="848">
        <v>0</v>
      </c>
      <c r="BR17" s="848">
        <v>0</v>
      </c>
      <c r="BS17" s="848">
        <v>0</v>
      </c>
      <c r="BT17" s="848">
        <v>0</v>
      </c>
      <c r="BU17" s="848">
        <v>0</v>
      </c>
      <c r="BV17" s="848">
        <v>0</v>
      </c>
      <c r="BW17" s="848">
        <v>0</v>
      </c>
      <c r="BX17" s="848">
        <v>0</v>
      </c>
      <c r="BY17" s="848">
        <v>0</v>
      </c>
      <c r="BZ17" s="848">
        <v>0</v>
      </c>
      <c r="CA17" s="848">
        <v>0</v>
      </c>
      <c r="CB17" s="848">
        <v>0</v>
      </c>
      <c r="CC17" s="848">
        <v>0</v>
      </c>
      <c r="CD17" s="848">
        <v>0</v>
      </c>
      <c r="CE17" s="848">
        <v>0</v>
      </c>
      <c r="CF17" s="848">
        <v>0</v>
      </c>
      <c r="CG17" s="848">
        <v>0</v>
      </c>
      <c r="CH17" s="848">
        <v>0</v>
      </c>
      <c r="CI17" s="848">
        <v>0</v>
      </c>
      <c r="CJ17" s="848">
        <v>0</v>
      </c>
      <c r="CK17" s="848">
        <v>0</v>
      </c>
      <c r="CL17" s="848">
        <v>4033.5039155997229</v>
      </c>
      <c r="CM17" s="848">
        <v>0</v>
      </c>
      <c r="CN17" s="848">
        <v>0</v>
      </c>
      <c r="CO17" s="848">
        <v>0</v>
      </c>
      <c r="CP17" s="848">
        <v>0</v>
      </c>
      <c r="CQ17" s="848">
        <v>0</v>
      </c>
      <c r="CR17" s="848">
        <v>0</v>
      </c>
      <c r="CS17" s="848">
        <v>0</v>
      </c>
      <c r="CT17" s="848">
        <v>402.63794743421022</v>
      </c>
      <c r="CU17" s="848">
        <v>0</v>
      </c>
      <c r="CV17" s="848">
        <v>0</v>
      </c>
      <c r="CW17" s="848">
        <v>0</v>
      </c>
      <c r="CX17" s="848">
        <v>0</v>
      </c>
      <c r="CY17" s="848">
        <v>0</v>
      </c>
      <c r="CZ17" s="848">
        <v>0</v>
      </c>
      <c r="DA17" s="848">
        <v>0</v>
      </c>
      <c r="DB17" s="848">
        <v>0</v>
      </c>
      <c r="DC17" s="848">
        <v>0</v>
      </c>
      <c r="DD17" s="848">
        <v>0</v>
      </c>
      <c r="DE17" s="848">
        <v>0</v>
      </c>
      <c r="DF17" s="848">
        <v>0</v>
      </c>
      <c r="DG17" s="848">
        <v>0</v>
      </c>
      <c r="DH17" s="848">
        <v>0</v>
      </c>
      <c r="DI17" s="848">
        <v>0</v>
      </c>
      <c r="DJ17" s="848">
        <v>0</v>
      </c>
      <c r="DK17" s="848">
        <v>0</v>
      </c>
      <c r="DL17" s="848">
        <v>0</v>
      </c>
      <c r="DM17" s="848">
        <v>0</v>
      </c>
      <c r="DN17" s="848">
        <v>0</v>
      </c>
      <c r="DO17" s="848">
        <v>0</v>
      </c>
      <c r="DP17" s="848">
        <v>0</v>
      </c>
      <c r="DQ17" s="848">
        <v>0</v>
      </c>
      <c r="DR17" s="848">
        <v>0</v>
      </c>
      <c r="DS17" s="848">
        <v>0</v>
      </c>
      <c r="DT17" s="848">
        <v>0</v>
      </c>
      <c r="DU17" s="848">
        <v>0</v>
      </c>
      <c r="DV17" s="848">
        <v>0</v>
      </c>
      <c r="DW17" s="848">
        <v>0</v>
      </c>
      <c r="DX17" s="848">
        <v>0</v>
      </c>
      <c r="DY17" s="848">
        <v>0</v>
      </c>
      <c r="DZ17" s="848">
        <v>0</v>
      </c>
      <c r="EA17" s="848">
        <v>0</v>
      </c>
      <c r="EB17" s="848">
        <v>0</v>
      </c>
      <c r="EC17" s="848">
        <v>0</v>
      </c>
      <c r="ED17" s="848">
        <v>0</v>
      </c>
      <c r="EE17" s="848">
        <v>0</v>
      </c>
      <c r="EF17" s="848">
        <v>0</v>
      </c>
      <c r="EG17" s="848">
        <v>0</v>
      </c>
      <c r="EH17" s="848">
        <v>0</v>
      </c>
      <c r="EI17" s="848">
        <v>0</v>
      </c>
      <c r="EJ17" s="848">
        <v>0</v>
      </c>
      <c r="EK17" s="848">
        <v>0</v>
      </c>
      <c r="EL17" s="848">
        <v>0</v>
      </c>
    </row>
    <row r="18" spans="2:142" ht="13.5">
      <c r="B18" s="1000"/>
      <c r="C18" s="911" t="s">
        <v>2009</v>
      </c>
      <c r="D18" s="1001"/>
      <c r="F18" s="1001"/>
      <c r="G18" s="1001"/>
      <c r="H18" s="848">
        <f t="shared" si="6"/>
        <v>4042.7100745725088</v>
      </c>
      <c r="I18" s="833"/>
      <c r="J18" s="848">
        <f>J140</f>
        <v>0</v>
      </c>
      <c r="K18" s="848">
        <f t="shared" ref="K18:BV18" si="7">K140</f>
        <v>0</v>
      </c>
      <c r="L18" s="848">
        <f t="shared" si="7"/>
        <v>0</v>
      </c>
      <c r="M18" s="848">
        <f t="shared" si="7"/>
        <v>0</v>
      </c>
      <c r="N18" s="848">
        <f t="shared" si="7"/>
        <v>0</v>
      </c>
      <c r="O18" s="848">
        <f t="shared" si="7"/>
        <v>0</v>
      </c>
      <c r="P18" s="848">
        <f t="shared" si="7"/>
        <v>0</v>
      </c>
      <c r="Q18" s="848">
        <f t="shared" si="7"/>
        <v>0</v>
      </c>
      <c r="R18" s="848">
        <f t="shared" si="7"/>
        <v>0</v>
      </c>
      <c r="S18" s="848">
        <f t="shared" si="7"/>
        <v>0</v>
      </c>
      <c r="T18" s="848">
        <f t="shared" si="7"/>
        <v>0</v>
      </c>
      <c r="U18" s="848">
        <f t="shared" si="7"/>
        <v>0</v>
      </c>
      <c r="V18" s="848">
        <f t="shared" si="7"/>
        <v>0</v>
      </c>
      <c r="W18" s="848">
        <f t="shared" si="7"/>
        <v>0</v>
      </c>
      <c r="X18" s="848">
        <f t="shared" si="7"/>
        <v>0</v>
      </c>
      <c r="Y18" s="848">
        <f t="shared" si="7"/>
        <v>0</v>
      </c>
      <c r="Z18" s="848">
        <f t="shared" si="7"/>
        <v>0</v>
      </c>
      <c r="AA18" s="848">
        <f t="shared" si="7"/>
        <v>0</v>
      </c>
      <c r="AB18" s="848">
        <f t="shared" si="7"/>
        <v>0</v>
      </c>
      <c r="AC18" s="848">
        <f t="shared" si="7"/>
        <v>0</v>
      </c>
      <c r="AD18" s="848">
        <f t="shared" si="7"/>
        <v>0</v>
      </c>
      <c r="AE18" s="848">
        <f t="shared" si="7"/>
        <v>0</v>
      </c>
      <c r="AF18" s="848">
        <f t="shared" si="7"/>
        <v>0</v>
      </c>
      <c r="AG18" s="848">
        <f t="shared" si="7"/>
        <v>0</v>
      </c>
      <c r="AH18" s="848">
        <f t="shared" si="7"/>
        <v>0</v>
      </c>
      <c r="AI18" s="848">
        <f t="shared" si="7"/>
        <v>0</v>
      </c>
      <c r="AJ18" s="848">
        <f t="shared" si="7"/>
        <v>0</v>
      </c>
      <c r="AK18" s="848">
        <f t="shared" si="7"/>
        <v>0</v>
      </c>
      <c r="AL18" s="848">
        <f t="shared" si="7"/>
        <v>0</v>
      </c>
      <c r="AM18" s="848">
        <f t="shared" si="7"/>
        <v>53.22681111041652</v>
      </c>
      <c r="AN18" s="848">
        <f t="shared" si="7"/>
        <v>58.067964383604682</v>
      </c>
      <c r="AO18" s="848">
        <f t="shared" si="7"/>
        <v>55.774567073096499</v>
      </c>
      <c r="AP18" s="848">
        <f t="shared" si="7"/>
        <v>44.731311961538687</v>
      </c>
      <c r="AQ18" s="848">
        <f t="shared" si="7"/>
        <v>49.998475672719593</v>
      </c>
      <c r="AR18" s="848">
        <f t="shared" si="7"/>
        <v>46.634752912744631</v>
      </c>
      <c r="AS18" s="848">
        <f t="shared" si="7"/>
        <v>50.427515995145875</v>
      </c>
      <c r="AT18" s="848">
        <f t="shared" si="7"/>
        <v>55.706546798063471</v>
      </c>
      <c r="AU18" s="848">
        <f t="shared" si="7"/>
        <v>83.043552075712157</v>
      </c>
      <c r="AV18" s="848">
        <f t="shared" si="7"/>
        <v>76.865085088635112</v>
      </c>
      <c r="AW18" s="848">
        <f t="shared" si="7"/>
        <v>82.19919416049747</v>
      </c>
      <c r="AX18" s="848">
        <f t="shared" si="7"/>
        <v>75.165951133457057</v>
      </c>
      <c r="AY18" s="848">
        <f t="shared" si="7"/>
        <v>79.400240976536395</v>
      </c>
      <c r="AZ18" s="848">
        <f t="shared" si="7"/>
        <v>84.622671785333139</v>
      </c>
      <c r="BA18" s="848">
        <f t="shared" si="7"/>
        <v>75.241828393195121</v>
      </c>
      <c r="BB18" s="848">
        <f t="shared" si="7"/>
        <v>69.817980262466946</v>
      </c>
      <c r="BC18" s="848">
        <f t="shared" si="7"/>
        <v>75.28850731183266</v>
      </c>
      <c r="BD18" s="848">
        <f t="shared" si="7"/>
        <v>67.259175686994865</v>
      </c>
      <c r="BE18" s="848">
        <f t="shared" si="7"/>
        <v>71.725324877723722</v>
      </c>
      <c r="BF18" s="848">
        <f t="shared" si="7"/>
        <v>77.199825561704571</v>
      </c>
      <c r="BG18" s="848">
        <f t="shared" si="7"/>
        <v>67.893418082830976</v>
      </c>
      <c r="BH18" s="848">
        <f t="shared" si="7"/>
        <v>61.838484754093379</v>
      </c>
      <c r="BI18" s="848">
        <f t="shared" si="7"/>
        <v>67.292387854483309</v>
      </c>
      <c r="BJ18" s="848">
        <f t="shared" si="7"/>
        <v>60.372035797007179</v>
      </c>
      <c r="BK18" s="848">
        <f t="shared" si="7"/>
        <v>64.724718422428879</v>
      </c>
      <c r="BL18" s="848">
        <f t="shared" si="7"/>
        <v>70.066361258303473</v>
      </c>
      <c r="BM18" s="848">
        <f t="shared" si="7"/>
        <v>60.730517181705231</v>
      </c>
      <c r="BN18" s="848">
        <f t="shared" si="7"/>
        <v>55.430420385155934</v>
      </c>
      <c r="BO18" s="848">
        <f t="shared" si="7"/>
        <v>61.026502149094689</v>
      </c>
      <c r="BP18" s="848">
        <f t="shared" si="7"/>
        <v>53.073717865343724</v>
      </c>
      <c r="BQ18" s="848">
        <f t="shared" si="7"/>
        <v>57.665842816594925</v>
      </c>
      <c r="BR18" s="848">
        <f t="shared" si="7"/>
        <v>63.266581710599176</v>
      </c>
      <c r="BS18" s="848">
        <f t="shared" si="7"/>
        <v>36.696573996920087</v>
      </c>
      <c r="BT18" s="848">
        <f t="shared" si="7"/>
        <v>30.736865775798474</v>
      </c>
      <c r="BU18" s="848">
        <f t="shared" si="7"/>
        <v>36.28150263430107</v>
      </c>
      <c r="BV18" s="848">
        <f t="shared" si="7"/>
        <v>31.884881847813826</v>
      </c>
      <c r="BW18" s="848">
        <f t="shared" ref="BW18:EH18" si="8">BW140</f>
        <v>36.331822883036715</v>
      </c>
      <c r="BX18" s="848">
        <f t="shared" si="8"/>
        <v>41.768513290865698</v>
      </c>
      <c r="BY18" s="848">
        <f t="shared" si="8"/>
        <v>34.891454507939251</v>
      </c>
      <c r="BZ18" s="848">
        <f t="shared" si="8"/>
        <v>27.439772009383773</v>
      </c>
      <c r="CA18" s="848">
        <f t="shared" si="8"/>
        <v>33.137626997716048</v>
      </c>
      <c r="CB18" s="848">
        <f t="shared" si="8"/>
        <v>29.139957824981511</v>
      </c>
      <c r="CC18" s="848">
        <f t="shared" si="8"/>
        <v>33.842307851324996</v>
      </c>
      <c r="CD18" s="848">
        <f t="shared" si="8"/>
        <v>39.553501455994649</v>
      </c>
      <c r="CE18" s="848">
        <f t="shared" si="8"/>
        <v>35.695864214007365</v>
      </c>
      <c r="CF18" s="848">
        <f t="shared" si="8"/>
        <v>27.627406050904792</v>
      </c>
      <c r="CG18" s="848">
        <f t="shared" si="8"/>
        <v>33.325651943490236</v>
      </c>
      <c r="CH18" s="848">
        <f t="shared" si="8"/>
        <v>29.075518613804608</v>
      </c>
      <c r="CI18" s="848">
        <f t="shared" si="8"/>
        <v>33.883068247564474</v>
      </c>
      <c r="CJ18" s="848">
        <f t="shared" si="8"/>
        <v>39.473398643952272</v>
      </c>
      <c r="CK18" s="848">
        <f t="shared" si="8"/>
        <v>32.671573001622924</v>
      </c>
      <c r="CL18" s="848">
        <f t="shared" si="8"/>
        <v>25.049473478179412</v>
      </c>
      <c r="CM18" s="848">
        <f t="shared" si="8"/>
        <v>39.380829347633551</v>
      </c>
      <c r="CN18" s="848">
        <f t="shared" si="8"/>
        <v>35.618847806127881</v>
      </c>
      <c r="CO18" s="848">
        <f t="shared" si="8"/>
        <v>40.775725999506527</v>
      </c>
      <c r="CP18" s="848">
        <f t="shared" si="8"/>
        <v>46.736711737547346</v>
      </c>
      <c r="CQ18" s="848">
        <f t="shared" si="8"/>
        <v>25.275220362542409</v>
      </c>
      <c r="CR18" s="848">
        <f t="shared" si="8"/>
        <v>17.419395927817952</v>
      </c>
      <c r="CS18" s="848">
        <f t="shared" si="8"/>
        <v>23.331722644876091</v>
      </c>
      <c r="CT18" s="848">
        <f t="shared" si="8"/>
        <v>21.864046546689853</v>
      </c>
      <c r="CU18" s="848">
        <f t="shared" si="8"/>
        <v>27.715424335888489</v>
      </c>
      <c r="CV18" s="848">
        <f t="shared" si="8"/>
        <v>33.520976244986286</v>
      </c>
      <c r="CW18" s="848">
        <f t="shared" si="8"/>
        <v>29.429391189201699</v>
      </c>
      <c r="CX18" s="848">
        <f t="shared" si="8"/>
        <v>22.354137919151029</v>
      </c>
      <c r="CY18" s="848">
        <f t="shared" si="8"/>
        <v>28.443315795047813</v>
      </c>
      <c r="CZ18" s="848">
        <f t="shared" si="8"/>
        <v>27.386705838845462</v>
      </c>
      <c r="DA18" s="848">
        <f t="shared" si="8"/>
        <v>32.687678608810181</v>
      </c>
      <c r="DB18" s="848">
        <f t="shared" si="8"/>
        <v>38.798384694477093</v>
      </c>
      <c r="DC18" s="848">
        <f t="shared" si="8"/>
        <v>37.916613084489143</v>
      </c>
      <c r="DD18" s="848">
        <f t="shared" si="8"/>
        <v>25.850776641028485</v>
      </c>
      <c r="DE18" s="848">
        <f t="shared" si="8"/>
        <v>31.947239180929177</v>
      </c>
      <c r="DF18" s="848">
        <f t="shared" si="8"/>
        <v>30.656340285298338</v>
      </c>
      <c r="DG18" s="848">
        <f t="shared" si="8"/>
        <v>35.856739466005081</v>
      </c>
      <c r="DH18" s="848">
        <f t="shared" si="8"/>
        <v>41.850181852436727</v>
      </c>
      <c r="DI18" s="848">
        <f t="shared" si="8"/>
        <v>37.863642930149943</v>
      </c>
      <c r="DJ18" s="848">
        <f t="shared" si="8"/>
        <v>23.060811869189518</v>
      </c>
      <c r="DK18" s="848">
        <f t="shared" si="8"/>
        <v>29.328845529644511</v>
      </c>
      <c r="DL18" s="848">
        <f t="shared" si="8"/>
        <v>28.436137445617465</v>
      </c>
      <c r="DM18" s="848">
        <f t="shared" si="8"/>
        <v>33.916680078591924</v>
      </c>
      <c r="DN18" s="848">
        <f t="shared" si="8"/>
        <v>40.207330131149838</v>
      </c>
      <c r="DO18" s="848">
        <f t="shared" si="8"/>
        <v>39.505877371317247</v>
      </c>
      <c r="DP18" s="848">
        <f t="shared" si="8"/>
        <v>26.613120581655881</v>
      </c>
      <c r="DQ18" s="848">
        <f t="shared" si="8"/>
        <v>32.888554885261847</v>
      </c>
      <c r="DR18" s="848">
        <f t="shared" si="8"/>
        <v>31.76910352986086</v>
      </c>
      <c r="DS18" s="848">
        <f t="shared" si="8"/>
        <v>37.147125587408567</v>
      </c>
      <c r="DT18" s="848">
        <f t="shared" si="8"/>
        <v>43.319239249257372</v>
      </c>
      <c r="DU18" s="848">
        <f t="shared" si="8"/>
        <v>39.426158218741257</v>
      </c>
      <c r="DV18" s="848">
        <f t="shared" si="8"/>
        <v>23.737403210101935</v>
      </c>
      <c r="DW18" s="848">
        <f t="shared" si="8"/>
        <v>30.18944872456488</v>
      </c>
      <c r="DX18" s="848">
        <f t="shared" si="8"/>
        <v>29.464276671114167</v>
      </c>
      <c r="DY18" s="848">
        <f t="shared" si="8"/>
        <v>35.129563549522786</v>
      </c>
      <c r="DZ18" s="848">
        <f t="shared" si="8"/>
        <v>41.605342731359528</v>
      </c>
      <c r="EA18" s="848">
        <f t="shared" si="8"/>
        <v>0</v>
      </c>
      <c r="EB18" s="848">
        <f t="shared" si="8"/>
        <v>0</v>
      </c>
      <c r="EC18" s="848">
        <f t="shared" si="8"/>
        <v>0</v>
      </c>
      <c r="ED18" s="848">
        <f t="shared" si="8"/>
        <v>0</v>
      </c>
      <c r="EE18" s="848">
        <f t="shared" si="8"/>
        <v>0</v>
      </c>
      <c r="EF18" s="848">
        <f t="shared" si="8"/>
        <v>0</v>
      </c>
      <c r="EG18" s="848">
        <f t="shared" si="8"/>
        <v>0</v>
      </c>
      <c r="EH18" s="848">
        <f t="shared" si="8"/>
        <v>0</v>
      </c>
      <c r="EI18" s="848">
        <f t="shared" ref="EI18:EL18" si="9">EI140</f>
        <v>0</v>
      </c>
      <c r="EJ18" s="848">
        <f t="shared" si="9"/>
        <v>0</v>
      </c>
      <c r="EK18" s="848">
        <f t="shared" si="9"/>
        <v>0</v>
      </c>
      <c r="EL18" s="848">
        <f t="shared" si="9"/>
        <v>0</v>
      </c>
    </row>
    <row r="19" spans="2:142">
      <c r="B19" s="1000"/>
      <c r="C19" s="1001"/>
      <c r="D19" s="1001"/>
      <c r="F19" s="1001"/>
      <c r="G19" s="1001"/>
      <c r="H19" s="848"/>
      <c r="I19" s="833"/>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8"/>
      <c r="CD19" s="848"/>
      <c r="CE19" s="848"/>
      <c r="CF19" s="848"/>
      <c r="CG19" s="848"/>
      <c r="CH19" s="848"/>
      <c r="CI19" s="848"/>
      <c r="CJ19" s="848"/>
      <c r="CK19" s="848"/>
      <c r="CL19" s="848"/>
      <c r="CM19" s="848"/>
      <c r="CN19" s="848"/>
      <c r="CO19" s="848"/>
      <c r="CP19" s="848"/>
      <c r="CQ19" s="848"/>
      <c r="CR19" s="848"/>
      <c r="CS19" s="848"/>
      <c r="CT19" s="848"/>
      <c r="CU19" s="848"/>
      <c r="CV19" s="848"/>
      <c r="CW19" s="848"/>
      <c r="CX19" s="848"/>
      <c r="CY19" s="848"/>
      <c r="CZ19" s="848"/>
      <c r="DA19" s="848"/>
      <c r="DB19" s="848"/>
      <c r="DC19" s="848"/>
      <c r="DD19" s="848"/>
      <c r="DE19" s="848"/>
      <c r="DF19" s="848"/>
      <c r="DG19" s="848"/>
      <c r="DH19" s="848"/>
      <c r="DI19" s="848"/>
      <c r="DJ19" s="848"/>
      <c r="DK19" s="848"/>
      <c r="DL19" s="848"/>
      <c r="DM19" s="848"/>
      <c r="DN19" s="848"/>
      <c r="DO19" s="848"/>
      <c r="DP19" s="848"/>
      <c r="DQ19" s="848"/>
      <c r="DR19" s="848"/>
      <c r="DS19" s="848"/>
      <c r="DT19" s="848"/>
      <c r="DU19" s="848"/>
      <c r="DV19" s="848"/>
      <c r="DW19" s="848"/>
      <c r="DX19" s="848"/>
      <c r="DY19" s="848"/>
      <c r="DZ19" s="848"/>
      <c r="EA19" s="848"/>
      <c r="EB19" s="848"/>
      <c r="EC19" s="848"/>
      <c r="ED19" s="848"/>
      <c r="EE19" s="848"/>
      <c r="EF19" s="848"/>
      <c r="EG19" s="848"/>
      <c r="EH19" s="848"/>
      <c r="EI19" s="848"/>
      <c r="EJ19" s="848"/>
      <c r="EK19" s="848"/>
      <c r="EL19" s="848"/>
    </row>
    <row r="20" spans="2:142" ht="13.5">
      <c r="B20" s="1000"/>
      <c r="C20" s="1001" t="s">
        <v>2065</v>
      </c>
      <c r="D20" s="1001"/>
      <c r="F20" s="1001"/>
      <c r="G20" s="1001"/>
      <c r="H20" s="848">
        <f>SUM(J20:EL20)</f>
        <v>273490.03126481827</v>
      </c>
      <c r="I20" s="833"/>
      <c r="J20" s="848">
        <f t="shared" ref="J20:BU20" si="10">SUM(J22:J50)</f>
        <v>0</v>
      </c>
      <c r="K20" s="848">
        <f t="shared" si="10"/>
        <v>0</v>
      </c>
      <c r="L20" s="848">
        <f t="shared" si="10"/>
        <v>0</v>
      </c>
      <c r="M20" s="848">
        <f t="shared" si="10"/>
        <v>0</v>
      </c>
      <c r="N20" s="848">
        <f t="shared" si="10"/>
        <v>0</v>
      </c>
      <c r="O20" s="848">
        <f t="shared" si="10"/>
        <v>0</v>
      </c>
      <c r="P20" s="848">
        <f t="shared" si="10"/>
        <v>0</v>
      </c>
      <c r="Q20" s="848">
        <f t="shared" si="10"/>
        <v>0</v>
      </c>
      <c r="R20" s="848">
        <f t="shared" si="10"/>
        <v>0</v>
      </c>
      <c r="S20" s="848">
        <f t="shared" si="10"/>
        <v>0</v>
      </c>
      <c r="T20" s="848">
        <f t="shared" si="10"/>
        <v>0</v>
      </c>
      <c r="U20" s="848">
        <f t="shared" si="10"/>
        <v>0</v>
      </c>
      <c r="V20" s="848">
        <f t="shared" si="10"/>
        <v>0</v>
      </c>
      <c r="W20" s="848">
        <f t="shared" si="10"/>
        <v>0</v>
      </c>
      <c r="X20" s="848">
        <f t="shared" si="10"/>
        <v>0</v>
      </c>
      <c r="Y20" s="848">
        <f t="shared" si="10"/>
        <v>0</v>
      </c>
      <c r="Z20" s="848">
        <f t="shared" si="10"/>
        <v>0</v>
      </c>
      <c r="AA20" s="848">
        <f t="shared" si="10"/>
        <v>0</v>
      </c>
      <c r="AB20" s="848">
        <f t="shared" si="10"/>
        <v>0</v>
      </c>
      <c r="AC20" s="848">
        <f t="shared" si="10"/>
        <v>0</v>
      </c>
      <c r="AD20" s="848">
        <f t="shared" si="10"/>
        <v>0</v>
      </c>
      <c r="AE20" s="848">
        <f t="shared" si="10"/>
        <v>0</v>
      </c>
      <c r="AF20" s="848">
        <f t="shared" si="10"/>
        <v>0</v>
      </c>
      <c r="AG20" s="848">
        <f t="shared" si="10"/>
        <v>0</v>
      </c>
      <c r="AH20" s="848">
        <f t="shared" si="10"/>
        <v>0</v>
      </c>
      <c r="AI20" s="848">
        <f t="shared" si="10"/>
        <v>0</v>
      </c>
      <c r="AJ20" s="848">
        <f t="shared" si="10"/>
        <v>0</v>
      </c>
      <c r="AK20" s="848">
        <f t="shared" si="10"/>
        <v>0</v>
      </c>
      <c r="AL20" s="848">
        <f t="shared" si="10"/>
        <v>1145.532563</v>
      </c>
      <c r="AM20" s="848">
        <f t="shared" si="10"/>
        <v>587.09031898009971</v>
      </c>
      <c r="AN20" s="848">
        <f t="shared" si="10"/>
        <v>2757.6866834275361</v>
      </c>
      <c r="AO20" s="848">
        <f t="shared" si="10"/>
        <v>800.75863353284319</v>
      </c>
      <c r="AP20" s="848">
        <f t="shared" si="10"/>
        <v>454.10335009420265</v>
      </c>
      <c r="AQ20" s="848">
        <f t="shared" si="10"/>
        <v>3955.1578784942026</v>
      </c>
      <c r="AR20" s="848">
        <f t="shared" si="10"/>
        <v>1163.7190928596465</v>
      </c>
      <c r="AS20" s="848">
        <f t="shared" si="10"/>
        <v>454.10335009420265</v>
      </c>
      <c r="AT20" s="848">
        <f t="shared" si="10"/>
        <v>3909.4783500942026</v>
      </c>
      <c r="AU20" s="848">
        <f t="shared" si="10"/>
        <v>1126.3183253721895</v>
      </c>
      <c r="AV20" s="848">
        <f t="shared" si="10"/>
        <v>454.10335009420265</v>
      </c>
      <c r="AW20" s="848">
        <f t="shared" si="10"/>
        <v>6395.766466639403</v>
      </c>
      <c r="AX20" s="848">
        <f t="shared" si="10"/>
        <v>982.83948505487115</v>
      </c>
      <c r="AY20" s="848">
        <f t="shared" si="10"/>
        <v>512.76611135359553</v>
      </c>
      <c r="AZ20" s="848">
        <f t="shared" si="10"/>
        <v>6233.4838756790859</v>
      </c>
      <c r="BA20" s="848">
        <f t="shared" si="10"/>
        <v>813.17279363975456</v>
      </c>
      <c r="BB20" s="848">
        <f t="shared" si="10"/>
        <v>463.48387567908611</v>
      </c>
      <c r="BC20" s="848">
        <f t="shared" si="10"/>
        <v>6283.7313569190865</v>
      </c>
      <c r="BD20" s="848">
        <f t="shared" si="10"/>
        <v>943.02644324930532</v>
      </c>
      <c r="BE20" s="848">
        <f t="shared" si="10"/>
        <v>463.48387567908611</v>
      </c>
      <c r="BF20" s="848">
        <f t="shared" si="10"/>
        <v>6233.4838756790859</v>
      </c>
      <c r="BG20" s="848">
        <f t="shared" si="10"/>
        <v>1133.7802949890386</v>
      </c>
      <c r="BH20" s="848">
        <f t="shared" si="10"/>
        <v>463.48387567908611</v>
      </c>
      <c r="BI20" s="848">
        <f t="shared" si="10"/>
        <v>6408.5802545551905</v>
      </c>
      <c r="BJ20" s="848">
        <f t="shared" si="10"/>
        <v>993.20095497975456</v>
      </c>
      <c r="BK20" s="848">
        <f t="shared" si="10"/>
        <v>522.85273658778249</v>
      </c>
      <c r="BL20" s="848">
        <f t="shared" si="10"/>
        <v>6243.0776785565276</v>
      </c>
      <c r="BM20" s="848">
        <f t="shared" si="10"/>
        <v>822.76659651719638</v>
      </c>
      <c r="BN20" s="848">
        <f t="shared" si="10"/>
        <v>473.07767855652793</v>
      </c>
      <c r="BO20" s="848">
        <f t="shared" si="10"/>
        <v>6298.3499079205276</v>
      </c>
      <c r="BP20" s="848">
        <f t="shared" si="10"/>
        <v>952.62024612674713</v>
      </c>
      <c r="BQ20" s="848">
        <f t="shared" si="10"/>
        <v>473.07767855652793</v>
      </c>
      <c r="BR20" s="848">
        <f t="shared" si="10"/>
        <v>6243.0776785565276</v>
      </c>
      <c r="BS20" s="848">
        <f t="shared" si="10"/>
        <v>1141.1230249972712</v>
      </c>
      <c r="BT20" s="848">
        <f t="shared" si="10"/>
        <v>473.07767855652793</v>
      </c>
      <c r="BU20" s="848">
        <f t="shared" si="10"/>
        <v>5250.4259850101544</v>
      </c>
      <c r="BV20" s="848">
        <f t="shared" ref="BV20:EG20" si="11">SUM(BV22:BV50)</f>
        <v>1003.7953210839963</v>
      </c>
      <c r="BW20" s="848">
        <f t="shared" si="11"/>
        <v>533.16256326828693</v>
      </c>
      <c r="BX20" s="848">
        <f t="shared" si="11"/>
        <v>5081.6397546567196</v>
      </c>
      <c r="BY20" s="848">
        <f t="shared" si="11"/>
        <v>832.57867261738829</v>
      </c>
      <c r="BZ20" s="848">
        <f t="shared" si="11"/>
        <v>482.88975465671996</v>
      </c>
      <c r="CA20" s="848">
        <f t="shared" si="11"/>
        <v>5142.4392069571204</v>
      </c>
      <c r="CB20" s="848">
        <f t="shared" si="11"/>
        <v>962.43232222693905</v>
      </c>
      <c r="CC20" s="848">
        <f t="shared" si="11"/>
        <v>482.88975465671996</v>
      </c>
      <c r="CD20" s="848">
        <f t="shared" si="11"/>
        <v>5081.6397546567196</v>
      </c>
      <c r="CE20" s="848">
        <f t="shared" si="11"/>
        <v>1155.9761595500718</v>
      </c>
      <c r="CF20" s="848">
        <f t="shared" si="11"/>
        <v>482.88975465671996</v>
      </c>
      <c r="CG20" s="848">
        <f t="shared" si="11"/>
        <v>5263.8100272394186</v>
      </c>
      <c r="CH20" s="848">
        <f t="shared" si="11"/>
        <v>914.62797167552424</v>
      </c>
      <c r="CI20" s="848">
        <f t="shared" si="11"/>
        <v>543.70075524787205</v>
      </c>
      <c r="CJ20" s="848">
        <f t="shared" si="11"/>
        <v>5091.6752185501891</v>
      </c>
      <c r="CK20" s="848">
        <f t="shared" si="11"/>
        <v>842.61413651085775</v>
      </c>
      <c r="CL20" s="848">
        <f t="shared" si="11"/>
        <v>492.9252185501893</v>
      </c>
      <c r="CM20" s="848">
        <f t="shared" si="11"/>
        <v>5158.5546160806298</v>
      </c>
      <c r="CN20" s="848">
        <f t="shared" si="11"/>
        <v>873.73996179465382</v>
      </c>
      <c r="CO20" s="848">
        <f t="shared" si="11"/>
        <v>492.9252185501893</v>
      </c>
      <c r="CP20" s="848">
        <f t="shared" si="11"/>
        <v>5091.6752185501891</v>
      </c>
      <c r="CQ20" s="848">
        <f t="shared" si="11"/>
        <v>1166.4935958405563</v>
      </c>
      <c r="CR20" s="848">
        <f t="shared" si="11"/>
        <v>492.9252185501893</v>
      </c>
      <c r="CS20" s="848">
        <f t="shared" si="11"/>
        <v>4041.2388965845421</v>
      </c>
      <c r="CT20" s="848">
        <f t="shared" si="11"/>
        <v>929.26274555241162</v>
      </c>
      <c r="CU20" s="848">
        <f t="shared" si="11"/>
        <v>554.47259835580473</v>
      </c>
      <c r="CV20" s="848">
        <f t="shared" si="11"/>
        <v>3865.6893062911449</v>
      </c>
      <c r="CW20" s="848">
        <f t="shared" si="11"/>
        <v>856.67206387537624</v>
      </c>
      <c r="CX20" s="848">
        <f t="shared" si="11"/>
        <v>503.18930629114499</v>
      </c>
      <c r="CY20" s="848">
        <f t="shared" si="11"/>
        <v>3939.2566435746289</v>
      </c>
      <c r="CZ20" s="848">
        <f t="shared" si="11"/>
        <v>886.5603250582293</v>
      </c>
      <c r="DA20" s="848">
        <f t="shared" si="11"/>
        <v>503.18930629114499</v>
      </c>
      <c r="DB20" s="848">
        <f t="shared" si="11"/>
        <v>3865.6893062911449</v>
      </c>
      <c r="DC20" s="848">
        <f t="shared" si="11"/>
        <v>1173.6784437692163</v>
      </c>
      <c r="DD20" s="848">
        <f t="shared" si="11"/>
        <v>503.18930629114499</v>
      </c>
      <c r="DE20" s="848">
        <f t="shared" si="11"/>
        <v>4055.2192578861846</v>
      </c>
      <c r="DF20" s="848">
        <f t="shared" si="11"/>
        <v>940.94384288202696</v>
      </c>
      <c r="DG20" s="848">
        <f t="shared" si="11"/>
        <v>565.48350331477457</v>
      </c>
      <c r="DH20" s="848">
        <f t="shared" si="11"/>
        <v>3876.1873783294682</v>
      </c>
      <c r="DI20" s="848">
        <f t="shared" si="11"/>
        <v>867.28982418026544</v>
      </c>
      <c r="DJ20" s="848">
        <f t="shared" si="11"/>
        <v>513.68737832946829</v>
      </c>
      <c r="DK20" s="848">
        <f t="shared" si="11"/>
        <v>3957.1114493413006</v>
      </c>
      <c r="DL20" s="848">
        <f t="shared" si="11"/>
        <v>897.05839709655243</v>
      </c>
      <c r="DM20" s="848">
        <f t="shared" si="11"/>
        <v>513.68737832946829</v>
      </c>
      <c r="DN20" s="848">
        <f t="shared" si="11"/>
        <v>3876.1873783294682</v>
      </c>
      <c r="DO20" s="848">
        <f t="shared" si="11"/>
        <v>1180.3342059962999</v>
      </c>
      <c r="DP20" s="848">
        <f t="shared" si="11"/>
        <v>513.68737832946829</v>
      </c>
      <c r="DQ20" s="848">
        <f t="shared" si="11"/>
        <v>4069.5079289564087</v>
      </c>
      <c r="DR20" s="848">
        <f t="shared" si="11"/>
        <v>952.52495673515182</v>
      </c>
      <c r="DS20" s="848">
        <f t="shared" si="11"/>
        <v>576.73900872817512</v>
      </c>
      <c r="DT20" s="848">
        <f t="shared" si="11"/>
        <v>3886.9249224930159</v>
      </c>
      <c r="DU20" s="848">
        <f t="shared" si="11"/>
        <v>878.02736834381301</v>
      </c>
      <c r="DV20" s="848">
        <f t="shared" si="11"/>
        <v>524.42492249301586</v>
      </c>
      <c r="DW20" s="848">
        <f t="shared" si="11"/>
        <v>3975.9414006060315</v>
      </c>
      <c r="DX20" s="848">
        <f t="shared" si="11"/>
        <v>907.79594126009999</v>
      </c>
      <c r="DY20" s="848">
        <f t="shared" si="11"/>
        <v>524.42492249301586</v>
      </c>
      <c r="DZ20" s="848">
        <f t="shared" si="11"/>
        <v>82120.89177024996</v>
      </c>
      <c r="EA20" s="848">
        <f t="shared" si="11"/>
        <v>0</v>
      </c>
      <c r="EB20" s="848">
        <f t="shared" si="11"/>
        <v>0</v>
      </c>
      <c r="EC20" s="848">
        <f t="shared" si="11"/>
        <v>0</v>
      </c>
      <c r="ED20" s="848">
        <f t="shared" si="11"/>
        <v>0</v>
      </c>
      <c r="EE20" s="848">
        <f t="shared" si="11"/>
        <v>0</v>
      </c>
      <c r="EF20" s="848">
        <f t="shared" si="11"/>
        <v>0</v>
      </c>
      <c r="EG20" s="848">
        <f t="shared" si="11"/>
        <v>0</v>
      </c>
      <c r="EH20" s="848">
        <f t="shared" ref="EH20:EL20" si="12">SUM(EH22:EH50)</f>
        <v>0</v>
      </c>
      <c r="EI20" s="848">
        <f t="shared" si="12"/>
        <v>0</v>
      </c>
      <c r="EJ20" s="848">
        <f t="shared" si="12"/>
        <v>0</v>
      </c>
      <c r="EK20" s="848">
        <f t="shared" si="12"/>
        <v>0</v>
      </c>
      <c r="EL20" s="848">
        <f t="shared" si="12"/>
        <v>0</v>
      </c>
    </row>
    <row r="21" spans="2:142">
      <c r="B21" s="1000"/>
      <c r="C21" s="1001"/>
      <c r="D21" s="1001"/>
      <c r="F21" s="1001"/>
      <c r="G21" s="1001"/>
      <c r="H21" s="1067"/>
      <c r="I21" s="833"/>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row>
    <row r="22" spans="2:142" ht="13.5">
      <c r="B22" s="1000"/>
      <c r="C22" s="911" t="s">
        <v>790</v>
      </c>
      <c r="D22" s="911"/>
      <c r="F22" s="1001"/>
      <c r="G22" s="1001"/>
      <c r="H22" s="848">
        <f>SUM(J22:EL22)</f>
        <v>9781.3418666666639</v>
      </c>
      <c r="I22" s="833"/>
      <c r="J22" s="848">
        <v>0</v>
      </c>
      <c r="K22" s="848">
        <v>0</v>
      </c>
      <c r="L22" s="848">
        <v>0</v>
      </c>
      <c r="M22" s="848">
        <v>0</v>
      </c>
      <c r="N22" s="848">
        <v>0</v>
      </c>
      <c r="O22" s="848">
        <v>0</v>
      </c>
      <c r="P22" s="848">
        <v>0</v>
      </c>
      <c r="Q22" s="848">
        <v>0</v>
      </c>
      <c r="R22" s="848">
        <v>0</v>
      </c>
      <c r="S22" s="848">
        <v>0</v>
      </c>
      <c r="T22" s="848">
        <v>0</v>
      </c>
      <c r="U22" s="848">
        <v>0</v>
      </c>
      <c r="V22" s="848">
        <v>0</v>
      </c>
      <c r="W22" s="848">
        <v>0</v>
      </c>
      <c r="X22" s="848">
        <v>0</v>
      </c>
      <c r="Y22" s="848">
        <v>0</v>
      </c>
      <c r="Z22" s="848">
        <v>0</v>
      </c>
      <c r="AA22" s="848">
        <v>0</v>
      </c>
      <c r="AB22" s="848">
        <v>0</v>
      </c>
      <c r="AC22" s="848">
        <v>0</v>
      </c>
      <c r="AD22" s="848">
        <v>0</v>
      </c>
      <c r="AE22" s="848">
        <v>0</v>
      </c>
      <c r="AF22" s="848">
        <v>0</v>
      </c>
      <c r="AG22" s="848">
        <v>0</v>
      </c>
      <c r="AH22" s="848">
        <v>0</v>
      </c>
      <c r="AI22" s="848">
        <v>0</v>
      </c>
      <c r="AJ22" s="848">
        <v>0</v>
      </c>
      <c r="AK22" s="848">
        <v>0</v>
      </c>
      <c r="AL22" s="848">
        <v>0</v>
      </c>
      <c r="AM22" s="848">
        <v>0</v>
      </c>
      <c r="AN22" s="848">
        <v>0</v>
      </c>
      <c r="AO22" s="848">
        <v>318.95679999999999</v>
      </c>
      <c r="AP22" s="848">
        <v>0</v>
      </c>
      <c r="AQ22" s="848">
        <v>0</v>
      </c>
      <c r="AR22" s="848">
        <v>318.95679999999999</v>
      </c>
      <c r="AS22" s="848">
        <v>0</v>
      </c>
      <c r="AT22" s="848">
        <v>0</v>
      </c>
      <c r="AU22" s="848">
        <v>318.95679999999999</v>
      </c>
      <c r="AV22" s="848">
        <v>0</v>
      </c>
      <c r="AW22" s="848">
        <v>0</v>
      </c>
      <c r="AX22" s="848">
        <v>318.95679999999999</v>
      </c>
      <c r="AY22" s="848">
        <v>0</v>
      </c>
      <c r="AZ22" s="848">
        <v>0</v>
      </c>
      <c r="BA22" s="848">
        <v>318.95679999999999</v>
      </c>
      <c r="BB22" s="848">
        <v>0</v>
      </c>
      <c r="BC22" s="848">
        <v>0</v>
      </c>
      <c r="BD22" s="848">
        <v>318.95679999999999</v>
      </c>
      <c r="BE22" s="848">
        <v>0</v>
      </c>
      <c r="BF22" s="848">
        <v>0</v>
      </c>
      <c r="BG22" s="848">
        <v>318.95679999999999</v>
      </c>
      <c r="BH22" s="848">
        <v>0</v>
      </c>
      <c r="BI22" s="848">
        <v>0</v>
      </c>
      <c r="BJ22" s="848">
        <v>318.95679999999999</v>
      </c>
      <c r="BK22" s="848">
        <v>0</v>
      </c>
      <c r="BL22" s="848">
        <v>0</v>
      </c>
      <c r="BM22" s="848">
        <v>318.95679999999999</v>
      </c>
      <c r="BN22" s="848">
        <v>0</v>
      </c>
      <c r="BO22" s="848">
        <v>0</v>
      </c>
      <c r="BP22" s="848">
        <v>318.95679999999999</v>
      </c>
      <c r="BQ22" s="848">
        <v>0</v>
      </c>
      <c r="BR22" s="848">
        <v>0</v>
      </c>
      <c r="BS22" s="848">
        <v>318.95679999999999</v>
      </c>
      <c r="BT22" s="848">
        <v>0</v>
      </c>
      <c r="BU22" s="848">
        <v>0</v>
      </c>
      <c r="BV22" s="848">
        <v>318.95679999999999</v>
      </c>
      <c r="BW22" s="848">
        <v>0</v>
      </c>
      <c r="BX22" s="848">
        <v>0</v>
      </c>
      <c r="BY22" s="848">
        <v>318.95679999999999</v>
      </c>
      <c r="BZ22" s="848">
        <v>0</v>
      </c>
      <c r="CA22" s="848">
        <v>0</v>
      </c>
      <c r="CB22" s="848">
        <v>318.95679999999999</v>
      </c>
      <c r="CC22" s="848">
        <v>0</v>
      </c>
      <c r="CD22" s="848">
        <v>0</v>
      </c>
      <c r="CE22" s="848">
        <v>318.95679999999999</v>
      </c>
      <c r="CF22" s="848">
        <v>0</v>
      </c>
      <c r="CG22" s="848">
        <v>0</v>
      </c>
      <c r="CH22" s="848">
        <v>318.95679999999999</v>
      </c>
      <c r="CI22" s="848">
        <v>0</v>
      </c>
      <c r="CJ22" s="848">
        <v>0</v>
      </c>
      <c r="CK22" s="848">
        <v>318.95679999999999</v>
      </c>
      <c r="CL22" s="848">
        <v>0</v>
      </c>
      <c r="CM22" s="848">
        <v>0</v>
      </c>
      <c r="CN22" s="848">
        <v>318.95679999999999</v>
      </c>
      <c r="CO22" s="848">
        <v>0</v>
      </c>
      <c r="CP22" s="848">
        <v>0</v>
      </c>
      <c r="CQ22" s="848">
        <v>318.95679999999999</v>
      </c>
      <c r="CR22" s="848">
        <v>0</v>
      </c>
      <c r="CS22" s="848">
        <v>0</v>
      </c>
      <c r="CT22" s="848">
        <v>318.95679999999999</v>
      </c>
      <c r="CU22" s="848">
        <v>0</v>
      </c>
      <c r="CV22" s="848">
        <v>0</v>
      </c>
      <c r="CW22" s="848">
        <v>318.95679999999999</v>
      </c>
      <c r="CX22" s="848">
        <v>0</v>
      </c>
      <c r="CY22" s="848">
        <v>0</v>
      </c>
      <c r="CZ22" s="848">
        <v>318.95679999999999</v>
      </c>
      <c r="DA22" s="848">
        <v>0</v>
      </c>
      <c r="DB22" s="848">
        <v>0</v>
      </c>
      <c r="DC22" s="848">
        <v>318.95679999999999</v>
      </c>
      <c r="DD22" s="848">
        <v>0</v>
      </c>
      <c r="DE22" s="848">
        <v>0</v>
      </c>
      <c r="DF22" s="848">
        <v>318.95679999999999</v>
      </c>
      <c r="DG22" s="848">
        <v>0</v>
      </c>
      <c r="DH22" s="848">
        <v>0</v>
      </c>
      <c r="DI22" s="848">
        <v>318.95679999999999</v>
      </c>
      <c r="DJ22" s="848">
        <v>0</v>
      </c>
      <c r="DK22" s="848">
        <v>0</v>
      </c>
      <c r="DL22" s="848">
        <v>318.95679999999999</v>
      </c>
      <c r="DM22" s="848">
        <v>0</v>
      </c>
      <c r="DN22" s="848">
        <v>0</v>
      </c>
      <c r="DO22" s="848">
        <v>318.95679999999999</v>
      </c>
      <c r="DP22" s="848">
        <v>0</v>
      </c>
      <c r="DQ22" s="848">
        <v>0</v>
      </c>
      <c r="DR22" s="848">
        <v>318.95679999999999</v>
      </c>
      <c r="DS22" s="848">
        <v>0</v>
      </c>
      <c r="DT22" s="848">
        <v>0</v>
      </c>
      <c r="DU22" s="848">
        <v>318.95679999999999</v>
      </c>
      <c r="DV22" s="848">
        <v>0</v>
      </c>
      <c r="DW22" s="848">
        <v>0</v>
      </c>
      <c r="DX22" s="848">
        <v>318.95679999999999</v>
      </c>
      <c r="DY22" s="848">
        <v>0</v>
      </c>
      <c r="DZ22" s="848">
        <v>212.63786666666419</v>
      </c>
      <c r="EA22" s="848">
        <v>0</v>
      </c>
      <c r="EB22" s="848">
        <v>0</v>
      </c>
      <c r="EC22" s="848">
        <v>0</v>
      </c>
      <c r="ED22" s="848">
        <v>0</v>
      </c>
      <c r="EE22" s="848">
        <v>0</v>
      </c>
      <c r="EF22" s="848">
        <v>0</v>
      </c>
      <c r="EG22" s="848">
        <v>0</v>
      </c>
      <c r="EH22" s="848">
        <v>0</v>
      </c>
      <c r="EI22" s="848">
        <v>0</v>
      </c>
      <c r="EJ22" s="848">
        <v>0</v>
      </c>
      <c r="EK22" s="848">
        <v>0</v>
      </c>
      <c r="EL22" s="848">
        <v>0</v>
      </c>
    </row>
    <row r="23" spans="2:142" ht="13.5">
      <c r="B23" s="1000"/>
      <c r="C23" s="911" t="s">
        <v>791</v>
      </c>
      <c r="D23" s="911"/>
      <c r="F23" s="1001"/>
      <c r="G23" s="1001"/>
      <c r="H23" s="848">
        <f>SUM(J23:EL23)</f>
        <v>230</v>
      </c>
      <c r="I23" s="833"/>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7.5</v>
      </c>
      <c r="AP23" s="214">
        <v>0</v>
      </c>
      <c r="AQ23" s="214">
        <v>0</v>
      </c>
      <c r="AR23" s="214">
        <v>7.5</v>
      </c>
      <c r="AS23" s="214">
        <v>0</v>
      </c>
      <c r="AT23" s="214">
        <v>0</v>
      </c>
      <c r="AU23" s="214">
        <v>7.5</v>
      </c>
      <c r="AV23" s="214">
        <v>0</v>
      </c>
      <c r="AW23" s="214">
        <v>0</v>
      </c>
      <c r="AX23" s="214">
        <v>7.5</v>
      </c>
      <c r="AY23" s="214">
        <v>0</v>
      </c>
      <c r="AZ23" s="214">
        <v>0</v>
      </c>
      <c r="BA23" s="214">
        <v>7.5</v>
      </c>
      <c r="BB23" s="214">
        <v>0</v>
      </c>
      <c r="BC23" s="214">
        <v>0</v>
      </c>
      <c r="BD23" s="214">
        <v>7.5</v>
      </c>
      <c r="BE23" s="214">
        <v>0</v>
      </c>
      <c r="BF23" s="214">
        <v>0</v>
      </c>
      <c r="BG23" s="214">
        <v>7.5</v>
      </c>
      <c r="BH23" s="214">
        <v>0</v>
      </c>
      <c r="BI23" s="214">
        <v>0</v>
      </c>
      <c r="BJ23" s="214">
        <v>7.5</v>
      </c>
      <c r="BK23" s="214">
        <v>0</v>
      </c>
      <c r="BL23" s="214">
        <v>0</v>
      </c>
      <c r="BM23" s="214">
        <v>7.5</v>
      </c>
      <c r="BN23" s="214">
        <v>0</v>
      </c>
      <c r="BO23" s="214">
        <v>0</v>
      </c>
      <c r="BP23" s="214">
        <v>7.5</v>
      </c>
      <c r="BQ23" s="214">
        <v>0</v>
      </c>
      <c r="BR23" s="214">
        <v>0</v>
      </c>
      <c r="BS23" s="214">
        <v>7.5</v>
      </c>
      <c r="BT23" s="214">
        <v>0</v>
      </c>
      <c r="BU23" s="214">
        <v>0</v>
      </c>
      <c r="BV23" s="214">
        <v>7.5</v>
      </c>
      <c r="BW23" s="214">
        <v>0</v>
      </c>
      <c r="BX23" s="214">
        <v>0</v>
      </c>
      <c r="BY23" s="214">
        <v>7.5</v>
      </c>
      <c r="BZ23" s="214">
        <v>0</v>
      </c>
      <c r="CA23" s="214">
        <v>0</v>
      </c>
      <c r="CB23" s="214">
        <v>7.5</v>
      </c>
      <c r="CC23" s="214">
        <v>0</v>
      </c>
      <c r="CD23" s="214">
        <v>0</v>
      </c>
      <c r="CE23" s="214">
        <v>7.5</v>
      </c>
      <c r="CF23" s="214">
        <v>0</v>
      </c>
      <c r="CG23" s="214">
        <v>0</v>
      </c>
      <c r="CH23" s="214">
        <v>7.5</v>
      </c>
      <c r="CI23" s="214">
        <v>0</v>
      </c>
      <c r="CJ23" s="214">
        <v>0</v>
      </c>
      <c r="CK23" s="214">
        <v>7.5</v>
      </c>
      <c r="CL23" s="214">
        <v>0</v>
      </c>
      <c r="CM23" s="214">
        <v>0</v>
      </c>
      <c r="CN23" s="214">
        <v>7.5</v>
      </c>
      <c r="CO23" s="214">
        <v>0</v>
      </c>
      <c r="CP23" s="214">
        <v>0</v>
      </c>
      <c r="CQ23" s="214">
        <v>7.5</v>
      </c>
      <c r="CR23" s="214">
        <v>0</v>
      </c>
      <c r="CS23" s="214">
        <v>0</v>
      </c>
      <c r="CT23" s="214">
        <v>7.5</v>
      </c>
      <c r="CU23" s="214">
        <v>0</v>
      </c>
      <c r="CV23" s="214">
        <v>0</v>
      </c>
      <c r="CW23" s="214">
        <v>7.5</v>
      </c>
      <c r="CX23" s="214">
        <v>0</v>
      </c>
      <c r="CY23" s="214">
        <v>0</v>
      </c>
      <c r="CZ23" s="214">
        <v>7.5</v>
      </c>
      <c r="DA23" s="214">
        <v>0</v>
      </c>
      <c r="DB23" s="214">
        <v>0</v>
      </c>
      <c r="DC23" s="214">
        <v>7.5</v>
      </c>
      <c r="DD23" s="214">
        <v>0</v>
      </c>
      <c r="DE23" s="214">
        <v>0</v>
      </c>
      <c r="DF23" s="214">
        <v>7.5</v>
      </c>
      <c r="DG23" s="214">
        <v>0</v>
      </c>
      <c r="DH23" s="214">
        <v>0</v>
      </c>
      <c r="DI23" s="214">
        <v>7.5</v>
      </c>
      <c r="DJ23" s="214">
        <v>0</v>
      </c>
      <c r="DK23" s="214">
        <v>0</v>
      </c>
      <c r="DL23" s="214">
        <v>7.5</v>
      </c>
      <c r="DM23" s="214">
        <v>0</v>
      </c>
      <c r="DN23" s="214">
        <v>0</v>
      </c>
      <c r="DO23" s="214">
        <v>7.5</v>
      </c>
      <c r="DP23" s="214">
        <v>0</v>
      </c>
      <c r="DQ23" s="214">
        <v>0</v>
      </c>
      <c r="DR23" s="214">
        <v>7.5</v>
      </c>
      <c r="DS23" s="214">
        <v>0</v>
      </c>
      <c r="DT23" s="214">
        <v>0</v>
      </c>
      <c r="DU23" s="214">
        <v>7.5</v>
      </c>
      <c r="DV23" s="214">
        <v>0</v>
      </c>
      <c r="DW23" s="214">
        <v>0</v>
      </c>
      <c r="DX23" s="214">
        <v>7.5</v>
      </c>
      <c r="DY23" s="214">
        <v>0</v>
      </c>
      <c r="DZ23" s="214">
        <v>5</v>
      </c>
      <c r="EA23" s="214">
        <v>0</v>
      </c>
      <c r="EB23" s="214">
        <v>0</v>
      </c>
      <c r="EC23" s="214">
        <v>0</v>
      </c>
      <c r="ED23" s="214">
        <v>0</v>
      </c>
      <c r="EE23" s="214">
        <v>0</v>
      </c>
      <c r="EF23" s="214">
        <v>0</v>
      </c>
      <c r="EG23" s="214">
        <v>0</v>
      </c>
      <c r="EH23" s="214">
        <v>0</v>
      </c>
      <c r="EI23" s="214">
        <v>0</v>
      </c>
      <c r="EJ23" s="214">
        <v>0</v>
      </c>
      <c r="EK23" s="214">
        <v>0</v>
      </c>
      <c r="EL23" s="214">
        <v>0</v>
      </c>
    </row>
    <row r="24" spans="2:142" ht="13.5">
      <c r="B24" s="1000"/>
      <c r="C24" s="911" t="s">
        <v>792</v>
      </c>
      <c r="D24" s="911"/>
      <c r="F24" s="1001"/>
      <c r="G24" s="1001"/>
      <c r="H24" s="848">
        <f t="shared" ref="H24:H55" si="13">SUM(J24:EL24)</f>
        <v>429.33333333333383</v>
      </c>
      <c r="I24" s="833"/>
      <c r="J24" s="848">
        <v>0</v>
      </c>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0</v>
      </c>
      <c r="AN24" s="848">
        <v>0</v>
      </c>
      <c r="AO24" s="848">
        <v>14</v>
      </c>
      <c r="AP24" s="848">
        <v>0</v>
      </c>
      <c r="AQ24" s="848">
        <v>0</v>
      </c>
      <c r="AR24" s="848">
        <v>14</v>
      </c>
      <c r="AS24" s="848">
        <v>0</v>
      </c>
      <c r="AT24" s="848">
        <v>0</v>
      </c>
      <c r="AU24" s="848">
        <v>14</v>
      </c>
      <c r="AV24" s="848">
        <v>0</v>
      </c>
      <c r="AW24" s="848">
        <v>0</v>
      </c>
      <c r="AX24" s="848">
        <v>14</v>
      </c>
      <c r="AY24" s="848">
        <v>0</v>
      </c>
      <c r="AZ24" s="848">
        <v>0</v>
      </c>
      <c r="BA24" s="848">
        <v>14</v>
      </c>
      <c r="BB24" s="848">
        <v>0</v>
      </c>
      <c r="BC24" s="848">
        <v>0</v>
      </c>
      <c r="BD24" s="848">
        <v>14</v>
      </c>
      <c r="BE24" s="848">
        <v>0</v>
      </c>
      <c r="BF24" s="848">
        <v>0</v>
      </c>
      <c r="BG24" s="848">
        <v>14</v>
      </c>
      <c r="BH24" s="848">
        <v>0</v>
      </c>
      <c r="BI24" s="848">
        <v>0</v>
      </c>
      <c r="BJ24" s="848">
        <v>14</v>
      </c>
      <c r="BK24" s="848">
        <v>0</v>
      </c>
      <c r="BL24" s="848">
        <v>0</v>
      </c>
      <c r="BM24" s="848">
        <v>14</v>
      </c>
      <c r="BN24" s="848">
        <v>0</v>
      </c>
      <c r="BO24" s="848">
        <v>0</v>
      </c>
      <c r="BP24" s="848">
        <v>14</v>
      </c>
      <c r="BQ24" s="848">
        <v>0</v>
      </c>
      <c r="BR24" s="848">
        <v>0</v>
      </c>
      <c r="BS24" s="848">
        <v>14</v>
      </c>
      <c r="BT24" s="848">
        <v>0</v>
      </c>
      <c r="BU24" s="848">
        <v>0</v>
      </c>
      <c r="BV24" s="848">
        <v>14</v>
      </c>
      <c r="BW24" s="848">
        <v>0</v>
      </c>
      <c r="BX24" s="848">
        <v>0</v>
      </c>
      <c r="BY24" s="848">
        <v>14</v>
      </c>
      <c r="BZ24" s="848">
        <v>0</v>
      </c>
      <c r="CA24" s="848">
        <v>0</v>
      </c>
      <c r="CB24" s="848">
        <v>14</v>
      </c>
      <c r="CC24" s="848">
        <v>0</v>
      </c>
      <c r="CD24" s="848">
        <v>0</v>
      </c>
      <c r="CE24" s="848">
        <v>14</v>
      </c>
      <c r="CF24" s="848">
        <v>0</v>
      </c>
      <c r="CG24" s="848">
        <v>0</v>
      </c>
      <c r="CH24" s="848">
        <v>14</v>
      </c>
      <c r="CI24" s="848">
        <v>0</v>
      </c>
      <c r="CJ24" s="848">
        <v>0</v>
      </c>
      <c r="CK24" s="848">
        <v>14</v>
      </c>
      <c r="CL24" s="848">
        <v>0</v>
      </c>
      <c r="CM24" s="848">
        <v>0</v>
      </c>
      <c r="CN24" s="848">
        <v>14</v>
      </c>
      <c r="CO24" s="848">
        <v>0</v>
      </c>
      <c r="CP24" s="848">
        <v>0</v>
      </c>
      <c r="CQ24" s="848">
        <v>14</v>
      </c>
      <c r="CR24" s="848">
        <v>0</v>
      </c>
      <c r="CS24" s="848">
        <v>0</v>
      </c>
      <c r="CT24" s="848">
        <v>14</v>
      </c>
      <c r="CU24" s="848">
        <v>0</v>
      </c>
      <c r="CV24" s="848">
        <v>0</v>
      </c>
      <c r="CW24" s="848">
        <v>14</v>
      </c>
      <c r="CX24" s="848">
        <v>0</v>
      </c>
      <c r="CY24" s="848">
        <v>0</v>
      </c>
      <c r="CZ24" s="848">
        <v>14</v>
      </c>
      <c r="DA24" s="848">
        <v>0</v>
      </c>
      <c r="DB24" s="848">
        <v>0</v>
      </c>
      <c r="DC24" s="848">
        <v>14</v>
      </c>
      <c r="DD24" s="848">
        <v>0</v>
      </c>
      <c r="DE24" s="848">
        <v>0</v>
      </c>
      <c r="DF24" s="848">
        <v>14</v>
      </c>
      <c r="DG24" s="848">
        <v>0</v>
      </c>
      <c r="DH24" s="848">
        <v>0</v>
      </c>
      <c r="DI24" s="848">
        <v>14</v>
      </c>
      <c r="DJ24" s="848">
        <v>0</v>
      </c>
      <c r="DK24" s="848">
        <v>0</v>
      </c>
      <c r="DL24" s="848">
        <v>14</v>
      </c>
      <c r="DM24" s="848">
        <v>0</v>
      </c>
      <c r="DN24" s="848">
        <v>0</v>
      </c>
      <c r="DO24" s="848">
        <v>14</v>
      </c>
      <c r="DP24" s="848">
        <v>0</v>
      </c>
      <c r="DQ24" s="848">
        <v>0</v>
      </c>
      <c r="DR24" s="848">
        <v>14</v>
      </c>
      <c r="DS24" s="848">
        <v>0</v>
      </c>
      <c r="DT24" s="848">
        <v>0</v>
      </c>
      <c r="DU24" s="848">
        <v>14</v>
      </c>
      <c r="DV24" s="848">
        <v>0</v>
      </c>
      <c r="DW24" s="848">
        <v>0</v>
      </c>
      <c r="DX24" s="848">
        <v>14</v>
      </c>
      <c r="DY24" s="848">
        <v>0</v>
      </c>
      <c r="DZ24" s="848">
        <v>9.333333333333826</v>
      </c>
      <c r="EA24" s="848">
        <v>0</v>
      </c>
      <c r="EB24" s="848">
        <v>0</v>
      </c>
      <c r="EC24" s="848">
        <v>0</v>
      </c>
      <c r="ED24" s="848">
        <v>0</v>
      </c>
      <c r="EE24" s="848">
        <v>0</v>
      </c>
      <c r="EF24" s="848">
        <v>0</v>
      </c>
      <c r="EG24" s="848">
        <v>0</v>
      </c>
      <c r="EH24" s="848">
        <v>0</v>
      </c>
      <c r="EI24" s="848">
        <v>0</v>
      </c>
      <c r="EJ24" s="848">
        <v>0</v>
      </c>
      <c r="EK24" s="848">
        <v>0</v>
      </c>
      <c r="EL24" s="848">
        <v>0</v>
      </c>
    </row>
    <row r="25" spans="2:142" ht="13.5">
      <c r="B25" s="1000"/>
      <c r="C25" s="911" t="s">
        <v>1586</v>
      </c>
      <c r="D25" s="911"/>
      <c r="F25" s="1001"/>
      <c r="G25" s="1001"/>
      <c r="H25" s="848">
        <f t="shared" si="13"/>
        <v>76.666666666666671</v>
      </c>
      <c r="I25" s="833"/>
      <c r="J25" s="848">
        <v>0</v>
      </c>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0</v>
      </c>
      <c r="AN25" s="848">
        <v>0</v>
      </c>
      <c r="AO25" s="848">
        <v>2.5</v>
      </c>
      <c r="AP25" s="848">
        <v>0</v>
      </c>
      <c r="AQ25" s="848">
        <v>0</v>
      </c>
      <c r="AR25" s="848">
        <v>2.5</v>
      </c>
      <c r="AS25" s="848">
        <v>0</v>
      </c>
      <c r="AT25" s="848">
        <v>0</v>
      </c>
      <c r="AU25" s="848">
        <v>2.5</v>
      </c>
      <c r="AV25" s="848">
        <v>0</v>
      </c>
      <c r="AW25" s="848">
        <v>0</v>
      </c>
      <c r="AX25" s="848">
        <v>2.5</v>
      </c>
      <c r="AY25" s="848">
        <v>0</v>
      </c>
      <c r="AZ25" s="848">
        <v>0</v>
      </c>
      <c r="BA25" s="848">
        <v>2.5</v>
      </c>
      <c r="BB25" s="848">
        <v>0</v>
      </c>
      <c r="BC25" s="848">
        <v>0</v>
      </c>
      <c r="BD25" s="848">
        <v>2.5</v>
      </c>
      <c r="BE25" s="848">
        <v>0</v>
      </c>
      <c r="BF25" s="848">
        <v>0</v>
      </c>
      <c r="BG25" s="848">
        <v>2.5</v>
      </c>
      <c r="BH25" s="848">
        <v>0</v>
      </c>
      <c r="BI25" s="848">
        <v>0</v>
      </c>
      <c r="BJ25" s="848">
        <v>2.5</v>
      </c>
      <c r="BK25" s="848">
        <v>0</v>
      </c>
      <c r="BL25" s="848">
        <v>0</v>
      </c>
      <c r="BM25" s="848">
        <v>2.5</v>
      </c>
      <c r="BN25" s="848">
        <v>0</v>
      </c>
      <c r="BO25" s="848">
        <v>0</v>
      </c>
      <c r="BP25" s="848">
        <v>2.5</v>
      </c>
      <c r="BQ25" s="848">
        <v>0</v>
      </c>
      <c r="BR25" s="848">
        <v>0</v>
      </c>
      <c r="BS25" s="848">
        <v>2.5</v>
      </c>
      <c r="BT25" s="848">
        <v>0</v>
      </c>
      <c r="BU25" s="848">
        <v>0</v>
      </c>
      <c r="BV25" s="848">
        <v>2.5</v>
      </c>
      <c r="BW25" s="848">
        <v>0</v>
      </c>
      <c r="BX25" s="848">
        <v>0</v>
      </c>
      <c r="BY25" s="848">
        <v>2.5</v>
      </c>
      <c r="BZ25" s="848">
        <v>0</v>
      </c>
      <c r="CA25" s="848">
        <v>0</v>
      </c>
      <c r="CB25" s="848">
        <v>2.5</v>
      </c>
      <c r="CC25" s="848">
        <v>0</v>
      </c>
      <c r="CD25" s="848">
        <v>0</v>
      </c>
      <c r="CE25" s="848">
        <v>2.5</v>
      </c>
      <c r="CF25" s="848">
        <v>0</v>
      </c>
      <c r="CG25" s="848">
        <v>0</v>
      </c>
      <c r="CH25" s="848">
        <v>2.5</v>
      </c>
      <c r="CI25" s="848">
        <v>0</v>
      </c>
      <c r="CJ25" s="848">
        <v>0</v>
      </c>
      <c r="CK25" s="848">
        <v>2.5</v>
      </c>
      <c r="CL25" s="848">
        <v>0</v>
      </c>
      <c r="CM25" s="848">
        <v>0</v>
      </c>
      <c r="CN25" s="848">
        <v>2.5</v>
      </c>
      <c r="CO25" s="848">
        <v>0</v>
      </c>
      <c r="CP25" s="848">
        <v>0</v>
      </c>
      <c r="CQ25" s="848">
        <v>2.5</v>
      </c>
      <c r="CR25" s="848">
        <v>0</v>
      </c>
      <c r="CS25" s="848">
        <v>0</v>
      </c>
      <c r="CT25" s="848">
        <v>2.5</v>
      </c>
      <c r="CU25" s="848">
        <v>0</v>
      </c>
      <c r="CV25" s="848">
        <v>0</v>
      </c>
      <c r="CW25" s="848">
        <v>2.5</v>
      </c>
      <c r="CX25" s="848">
        <v>0</v>
      </c>
      <c r="CY25" s="848">
        <v>0</v>
      </c>
      <c r="CZ25" s="848">
        <v>2.5</v>
      </c>
      <c r="DA25" s="848">
        <v>0</v>
      </c>
      <c r="DB25" s="848">
        <v>0</v>
      </c>
      <c r="DC25" s="848">
        <v>2.5</v>
      </c>
      <c r="DD25" s="848">
        <v>0</v>
      </c>
      <c r="DE25" s="848">
        <v>0</v>
      </c>
      <c r="DF25" s="848">
        <v>2.5</v>
      </c>
      <c r="DG25" s="848">
        <v>0</v>
      </c>
      <c r="DH25" s="848">
        <v>0</v>
      </c>
      <c r="DI25" s="848">
        <v>2.5</v>
      </c>
      <c r="DJ25" s="848">
        <v>0</v>
      </c>
      <c r="DK25" s="848">
        <v>0</v>
      </c>
      <c r="DL25" s="848">
        <v>2.5</v>
      </c>
      <c r="DM25" s="848">
        <v>0</v>
      </c>
      <c r="DN25" s="848">
        <v>0</v>
      </c>
      <c r="DO25" s="848">
        <v>2.5</v>
      </c>
      <c r="DP25" s="848">
        <v>0</v>
      </c>
      <c r="DQ25" s="848">
        <v>0</v>
      </c>
      <c r="DR25" s="848">
        <v>2.5</v>
      </c>
      <c r="DS25" s="848">
        <v>0</v>
      </c>
      <c r="DT25" s="848">
        <v>0</v>
      </c>
      <c r="DU25" s="848">
        <v>2.5</v>
      </c>
      <c r="DV25" s="848">
        <v>0</v>
      </c>
      <c r="DW25" s="848">
        <v>0</v>
      </c>
      <c r="DX25" s="848">
        <v>2.5</v>
      </c>
      <c r="DY25" s="848">
        <v>0</v>
      </c>
      <c r="DZ25" s="848">
        <v>1.6666666666666714</v>
      </c>
      <c r="EA25" s="848">
        <v>0</v>
      </c>
      <c r="EB25" s="848">
        <v>0</v>
      </c>
      <c r="EC25" s="848">
        <v>0</v>
      </c>
      <c r="ED25" s="848">
        <v>0</v>
      </c>
      <c r="EE25" s="848">
        <v>0</v>
      </c>
      <c r="EF25" s="848">
        <v>0</v>
      </c>
      <c r="EG25" s="848">
        <v>0</v>
      </c>
      <c r="EH25" s="848">
        <v>0</v>
      </c>
      <c r="EI25" s="848">
        <v>0</v>
      </c>
      <c r="EJ25" s="848">
        <v>0</v>
      </c>
      <c r="EK25" s="848">
        <v>0</v>
      </c>
      <c r="EL25" s="848">
        <v>0</v>
      </c>
    </row>
    <row r="26" spans="2:142" ht="13.5">
      <c r="B26" s="1000"/>
      <c r="C26" s="911" t="s">
        <v>793</v>
      </c>
      <c r="D26" s="911"/>
      <c r="F26" s="1001"/>
      <c r="G26" s="1001"/>
      <c r="H26" s="848">
        <f>SUM(J26:EL26)</f>
        <v>460</v>
      </c>
      <c r="I26" s="833"/>
      <c r="J26" s="848">
        <v>0</v>
      </c>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0</v>
      </c>
      <c r="AN26" s="848">
        <v>0</v>
      </c>
      <c r="AO26" s="848">
        <v>0</v>
      </c>
      <c r="AP26" s="848">
        <v>0</v>
      </c>
      <c r="AQ26" s="848">
        <v>0</v>
      </c>
      <c r="AR26" s="848">
        <v>30</v>
      </c>
      <c r="AS26" s="848">
        <v>0</v>
      </c>
      <c r="AT26" s="848">
        <v>0</v>
      </c>
      <c r="AU26" s="848">
        <v>0</v>
      </c>
      <c r="AV26" s="848">
        <v>0</v>
      </c>
      <c r="AW26" s="848">
        <v>0</v>
      </c>
      <c r="AX26" s="848">
        <v>30</v>
      </c>
      <c r="AY26" s="848">
        <v>0</v>
      </c>
      <c r="AZ26" s="848">
        <v>0</v>
      </c>
      <c r="BA26" s="848">
        <v>0</v>
      </c>
      <c r="BB26" s="848">
        <v>0</v>
      </c>
      <c r="BC26" s="848">
        <v>0</v>
      </c>
      <c r="BD26" s="848">
        <v>30</v>
      </c>
      <c r="BE26" s="848">
        <v>0</v>
      </c>
      <c r="BF26" s="848">
        <v>0</v>
      </c>
      <c r="BG26" s="848">
        <v>0</v>
      </c>
      <c r="BH26" s="848">
        <v>0</v>
      </c>
      <c r="BI26" s="848">
        <v>0</v>
      </c>
      <c r="BJ26" s="848">
        <v>30</v>
      </c>
      <c r="BK26" s="848">
        <v>0</v>
      </c>
      <c r="BL26" s="848">
        <v>0</v>
      </c>
      <c r="BM26" s="848">
        <v>0</v>
      </c>
      <c r="BN26" s="848">
        <v>0</v>
      </c>
      <c r="BO26" s="848">
        <v>0</v>
      </c>
      <c r="BP26" s="848">
        <v>30</v>
      </c>
      <c r="BQ26" s="848">
        <v>0</v>
      </c>
      <c r="BR26" s="848">
        <v>0</v>
      </c>
      <c r="BS26" s="848">
        <v>0</v>
      </c>
      <c r="BT26" s="848">
        <v>0</v>
      </c>
      <c r="BU26" s="848">
        <v>0</v>
      </c>
      <c r="BV26" s="848">
        <v>30</v>
      </c>
      <c r="BW26" s="848">
        <v>0</v>
      </c>
      <c r="BX26" s="848">
        <v>0</v>
      </c>
      <c r="BY26" s="848">
        <v>0</v>
      </c>
      <c r="BZ26" s="848">
        <v>0</v>
      </c>
      <c r="CA26" s="848">
        <v>0</v>
      </c>
      <c r="CB26" s="848">
        <v>30</v>
      </c>
      <c r="CC26" s="848">
        <v>0</v>
      </c>
      <c r="CD26" s="848">
        <v>0</v>
      </c>
      <c r="CE26" s="848">
        <v>0</v>
      </c>
      <c r="CF26" s="848">
        <v>0</v>
      </c>
      <c r="CG26" s="848">
        <v>0</v>
      </c>
      <c r="CH26" s="848">
        <v>30</v>
      </c>
      <c r="CI26" s="848">
        <v>0</v>
      </c>
      <c r="CJ26" s="848">
        <v>0</v>
      </c>
      <c r="CK26" s="848">
        <v>0</v>
      </c>
      <c r="CL26" s="848">
        <v>0</v>
      </c>
      <c r="CM26" s="848">
        <v>0</v>
      </c>
      <c r="CN26" s="848">
        <v>30</v>
      </c>
      <c r="CO26" s="848">
        <v>0</v>
      </c>
      <c r="CP26" s="848">
        <v>0</v>
      </c>
      <c r="CQ26" s="848">
        <v>0</v>
      </c>
      <c r="CR26" s="848">
        <v>0</v>
      </c>
      <c r="CS26" s="848">
        <v>0</v>
      </c>
      <c r="CT26" s="848">
        <v>30</v>
      </c>
      <c r="CU26" s="848">
        <v>0</v>
      </c>
      <c r="CV26" s="848">
        <v>0</v>
      </c>
      <c r="CW26" s="848">
        <v>0</v>
      </c>
      <c r="CX26" s="848">
        <v>0</v>
      </c>
      <c r="CY26" s="848">
        <v>0</v>
      </c>
      <c r="CZ26" s="848">
        <v>30</v>
      </c>
      <c r="DA26" s="848">
        <v>0</v>
      </c>
      <c r="DB26" s="848">
        <v>0</v>
      </c>
      <c r="DC26" s="848">
        <v>0</v>
      </c>
      <c r="DD26" s="848">
        <v>0</v>
      </c>
      <c r="DE26" s="848">
        <v>0</v>
      </c>
      <c r="DF26" s="848">
        <v>30</v>
      </c>
      <c r="DG26" s="848">
        <v>0</v>
      </c>
      <c r="DH26" s="848">
        <v>0</v>
      </c>
      <c r="DI26" s="848">
        <v>0</v>
      </c>
      <c r="DJ26" s="848">
        <v>0</v>
      </c>
      <c r="DK26" s="848">
        <v>0</v>
      </c>
      <c r="DL26" s="848">
        <v>30</v>
      </c>
      <c r="DM26" s="848">
        <v>0</v>
      </c>
      <c r="DN26" s="848">
        <v>0</v>
      </c>
      <c r="DO26" s="848">
        <v>0</v>
      </c>
      <c r="DP26" s="848">
        <v>0</v>
      </c>
      <c r="DQ26" s="848">
        <v>0</v>
      </c>
      <c r="DR26" s="848">
        <v>30</v>
      </c>
      <c r="DS26" s="848">
        <v>0</v>
      </c>
      <c r="DT26" s="848">
        <v>0</v>
      </c>
      <c r="DU26" s="848">
        <v>0</v>
      </c>
      <c r="DV26" s="848">
        <v>0</v>
      </c>
      <c r="DW26" s="848">
        <v>0</v>
      </c>
      <c r="DX26" s="848">
        <v>30</v>
      </c>
      <c r="DY26" s="848">
        <v>0</v>
      </c>
      <c r="DZ26" s="848">
        <v>10</v>
      </c>
      <c r="EA26" s="848">
        <v>0</v>
      </c>
      <c r="EB26" s="848">
        <v>0</v>
      </c>
      <c r="EC26" s="848">
        <v>0</v>
      </c>
      <c r="ED26" s="848">
        <v>0</v>
      </c>
      <c r="EE26" s="848">
        <v>0</v>
      </c>
      <c r="EF26" s="848">
        <v>0</v>
      </c>
      <c r="EG26" s="848">
        <v>0</v>
      </c>
      <c r="EH26" s="848">
        <v>0</v>
      </c>
      <c r="EI26" s="848">
        <v>0</v>
      </c>
      <c r="EJ26" s="848">
        <v>0</v>
      </c>
      <c r="EK26" s="848">
        <v>0</v>
      </c>
      <c r="EL26" s="848">
        <v>0</v>
      </c>
    </row>
    <row r="27" spans="2:142" ht="13.5">
      <c r="B27" s="1000"/>
      <c r="C27" s="911" t="s">
        <v>794</v>
      </c>
      <c r="D27" s="911"/>
      <c r="F27" s="1001"/>
      <c r="G27" s="1001"/>
      <c r="H27" s="848">
        <f>SUM(J27:EL27)</f>
        <v>153.33333333333334</v>
      </c>
      <c r="I27" s="833"/>
      <c r="J27" s="848">
        <v>0</v>
      </c>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1.6666666666666667</v>
      </c>
      <c r="AN27" s="848">
        <v>1.6666666666666667</v>
      </c>
      <c r="AO27" s="848">
        <v>1.6666666666666667</v>
      </c>
      <c r="AP27" s="848">
        <v>1.6666666666666667</v>
      </c>
      <c r="AQ27" s="848">
        <v>1.6666666666666667</v>
      </c>
      <c r="AR27" s="848">
        <v>1.6666666666666667</v>
      </c>
      <c r="AS27" s="848">
        <v>1.6666666666666667</v>
      </c>
      <c r="AT27" s="848">
        <v>1.6666666666666667</v>
      </c>
      <c r="AU27" s="848">
        <v>1.6666666666666667</v>
      </c>
      <c r="AV27" s="848">
        <v>1.6666666666666667</v>
      </c>
      <c r="AW27" s="848">
        <v>1.6666666666666667</v>
      </c>
      <c r="AX27" s="848">
        <v>1.6666666666666667</v>
      </c>
      <c r="AY27" s="848">
        <v>1.6666666666666667</v>
      </c>
      <c r="AZ27" s="848">
        <v>1.6666666666666667</v>
      </c>
      <c r="BA27" s="848">
        <v>1.6666666666666667</v>
      </c>
      <c r="BB27" s="848">
        <v>1.6666666666666667</v>
      </c>
      <c r="BC27" s="848">
        <v>1.6666666666666667</v>
      </c>
      <c r="BD27" s="848">
        <v>1.6666666666666667</v>
      </c>
      <c r="BE27" s="848">
        <v>1.6666666666666667</v>
      </c>
      <c r="BF27" s="848">
        <v>1.6666666666666667</v>
      </c>
      <c r="BG27" s="848">
        <v>1.6666666666666667</v>
      </c>
      <c r="BH27" s="848">
        <v>1.6666666666666667</v>
      </c>
      <c r="BI27" s="848">
        <v>1.6666666666666667</v>
      </c>
      <c r="BJ27" s="848">
        <v>1.6666666666666667</v>
      </c>
      <c r="BK27" s="848">
        <v>1.6666666666666667</v>
      </c>
      <c r="BL27" s="848">
        <v>1.6666666666666667</v>
      </c>
      <c r="BM27" s="848">
        <v>1.6666666666666667</v>
      </c>
      <c r="BN27" s="848">
        <v>1.6666666666666667</v>
      </c>
      <c r="BO27" s="848">
        <v>1.6666666666666667</v>
      </c>
      <c r="BP27" s="848">
        <v>1.6666666666666667</v>
      </c>
      <c r="BQ27" s="848">
        <v>1.6666666666666667</v>
      </c>
      <c r="BR27" s="848">
        <v>1.6666666666666667</v>
      </c>
      <c r="BS27" s="848">
        <v>1.6666666666666667</v>
      </c>
      <c r="BT27" s="848">
        <v>1.6666666666666667</v>
      </c>
      <c r="BU27" s="848">
        <v>1.6666666666666667</v>
      </c>
      <c r="BV27" s="848">
        <v>1.6666666666666667</v>
      </c>
      <c r="BW27" s="848">
        <v>1.6666666666666667</v>
      </c>
      <c r="BX27" s="848">
        <v>1.6666666666666667</v>
      </c>
      <c r="BY27" s="848">
        <v>1.6666666666666667</v>
      </c>
      <c r="BZ27" s="848">
        <v>1.6666666666666667</v>
      </c>
      <c r="CA27" s="848">
        <v>1.6666666666666667</v>
      </c>
      <c r="CB27" s="848">
        <v>1.6666666666666667</v>
      </c>
      <c r="CC27" s="848">
        <v>1.6666666666666667</v>
      </c>
      <c r="CD27" s="848">
        <v>1.6666666666666667</v>
      </c>
      <c r="CE27" s="848">
        <v>1.6666666666666667</v>
      </c>
      <c r="CF27" s="848">
        <v>1.6666666666666667</v>
      </c>
      <c r="CG27" s="848">
        <v>1.6666666666666667</v>
      </c>
      <c r="CH27" s="848">
        <v>1.6666666666666667</v>
      </c>
      <c r="CI27" s="848">
        <v>1.6666666666666667</v>
      </c>
      <c r="CJ27" s="848">
        <v>1.6666666666666667</v>
      </c>
      <c r="CK27" s="848">
        <v>1.6666666666666667</v>
      </c>
      <c r="CL27" s="848">
        <v>1.6666666666666667</v>
      </c>
      <c r="CM27" s="848">
        <v>1.6666666666666667</v>
      </c>
      <c r="CN27" s="848">
        <v>1.6666666666666667</v>
      </c>
      <c r="CO27" s="848">
        <v>1.6666666666666667</v>
      </c>
      <c r="CP27" s="848">
        <v>1.6666666666666667</v>
      </c>
      <c r="CQ27" s="848">
        <v>1.6666666666666667</v>
      </c>
      <c r="CR27" s="848">
        <v>1.6666666666666667</v>
      </c>
      <c r="CS27" s="848">
        <v>1.6666666666666667</v>
      </c>
      <c r="CT27" s="848">
        <v>1.6666666666666667</v>
      </c>
      <c r="CU27" s="848">
        <v>1.6666666666666667</v>
      </c>
      <c r="CV27" s="848">
        <v>1.6666666666666667</v>
      </c>
      <c r="CW27" s="848">
        <v>1.6666666666666667</v>
      </c>
      <c r="CX27" s="848">
        <v>1.6666666666666667</v>
      </c>
      <c r="CY27" s="848">
        <v>1.6666666666666667</v>
      </c>
      <c r="CZ27" s="848">
        <v>1.6666666666666667</v>
      </c>
      <c r="DA27" s="848">
        <v>1.6666666666666667</v>
      </c>
      <c r="DB27" s="848">
        <v>1.6666666666666667</v>
      </c>
      <c r="DC27" s="848">
        <v>1.6666666666666667</v>
      </c>
      <c r="DD27" s="848">
        <v>1.6666666666666667</v>
      </c>
      <c r="DE27" s="848">
        <v>1.6666666666666667</v>
      </c>
      <c r="DF27" s="848">
        <v>1.6666666666666667</v>
      </c>
      <c r="DG27" s="848">
        <v>1.6666666666666667</v>
      </c>
      <c r="DH27" s="848">
        <v>1.6666666666666667</v>
      </c>
      <c r="DI27" s="848">
        <v>1.6666666666666667</v>
      </c>
      <c r="DJ27" s="848">
        <v>1.6666666666666667</v>
      </c>
      <c r="DK27" s="848">
        <v>1.6666666666666667</v>
      </c>
      <c r="DL27" s="848">
        <v>1.6666666666666667</v>
      </c>
      <c r="DM27" s="848">
        <v>1.6666666666666667</v>
      </c>
      <c r="DN27" s="848">
        <v>1.6666666666666667</v>
      </c>
      <c r="DO27" s="848">
        <v>1.6666666666666667</v>
      </c>
      <c r="DP27" s="848">
        <v>1.6666666666666667</v>
      </c>
      <c r="DQ27" s="848">
        <v>1.6666666666666667</v>
      </c>
      <c r="DR27" s="848">
        <v>1.6666666666666667</v>
      </c>
      <c r="DS27" s="848">
        <v>1.6666666666666667</v>
      </c>
      <c r="DT27" s="848">
        <v>1.6666666666666667</v>
      </c>
      <c r="DU27" s="848">
        <v>1.6666666666666667</v>
      </c>
      <c r="DV27" s="848">
        <v>1.6666666666666667</v>
      </c>
      <c r="DW27" s="848">
        <v>1.6666666666666667</v>
      </c>
      <c r="DX27" s="848">
        <v>1.6666666666666667</v>
      </c>
      <c r="DY27" s="848">
        <v>1.6666666666666667</v>
      </c>
      <c r="DZ27" s="848">
        <v>1.6666666666666572</v>
      </c>
      <c r="EA27" s="848">
        <v>0</v>
      </c>
      <c r="EB27" s="848">
        <v>0</v>
      </c>
      <c r="EC27" s="848">
        <v>0</v>
      </c>
      <c r="ED27" s="848">
        <v>0</v>
      </c>
      <c r="EE27" s="848">
        <v>0</v>
      </c>
      <c r="EF27" s="848">
        <v>0</v>
      </c>
      <c r="EG27" s="848">
        <v>0</v>
      </c>
      <c r="EH27" s="848">
        <v>0</v>
      </c>
      <c r="EI27" s="848">
        <v>0</v>
      </c>
      <c r="EJ27" s="848">
        <v>0</v>
      </c>
      <c r="EK27" s="848">
        <v>0</v>
      </c>
      <c r="EL27" s="848">
        <v>0</v>
      </c>
    </row>
    <row r="28" spans="2:142" ht="13.5">
      <c r="B28" s="1000"/>
      <c r="C28" s="911" t="s">
        <v>783</v>
      </c>
      <c r="D28" s="911"/>
      <c r="F28" s="1001"/>
      <c r="G28" s="1001"/>
      <c r="H28" s="848">
        <f t="shared" si="13"/>
        <v>3965.2270186638279</v>
      </c>
      <c r="I28" s="833"/>
      <c r="J28" s="848">
        <v>0</v>
      </c>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39.621109059954293</v>
      </c>
      <c r="AN28" s="848">
        <v>39.621109059954293</v>
      </c>
      <c r="AO28" s="848">
        <v>39.621109059954293</v>
      </c>
      <c r="AP28" s="848">
        <v>39.621109059954293</v>
      </c>
      <c r="AQ28" s="848">
        <v>39.621109059954293</v>
      </c>
      <c r="AR28" s="848">
        <v>39.621109059954293</v>
      </c>
      <c r="AS28" s="848">
        <v>39.621109059954293</v>
      </c>
      <c r="AT28" s="848">
        <v>39.621109059954293</v>
      </c>
      <c r="AU28" s="848">
        <v>39.621109059954293</v>
      </c>
      <c r="AV28" s="848">
        <v>39.621109059954293</v>
      </c>
      <c r="AW28" s="848">
        <v>39.621109059954293</v>
      </c>
      <c r="AX28" s="848">
        <v>39.621109059954293</v>
      </c>
      <c r="AY28" s="848">
        <v>40.611636786453147</v>
      </c>
      <c r="AZ28" s="848">
        <v>40.611636786453147</v>
      </c>
      <c r="BA28" s="848">
        <v>40.611636786453147</v>
      </c>
      <c r="BB28" s="848">
        <v>40.611636786453147</v>
      </c>
      <c r="BC28" s="848">
        <v>40.611636786453147</v>
      </c>
      <c r="BD28" s="848">
        <v>40.611636786453147</v>
      </c>
      <c r="BE28" s="848">
        <v>40.611636786453147</v>
      </c>
      <c r="BF28" s="848">
        <v>40.611636786453147</v>
      </c>
      <c r="BG28" s="848">
        <v>40.611636786453147</v>
      </c>
      <c r="BH28" s="848">
        <v>40.611636786453147</v>
      </c>
      <c r="BI28" s="848">
        <v>40.611636786453147</v>
      </c>
      <c r="BJ28" s="848">
        <v>40.611636786453147</v>
      </c>
      <c r="BK28" s="848">
        <v>41.626927706114479</v>
      </c>
      <c r="BL28" s="848">
        <v>41.626927706114479</v>
      </c>
      <c r="BM28" s="848">
        <v>41.626927706114479</v>
      </c>
      <c r="BN28" s="848">
        <v>41.626927706114479</v>
      </c>
      <c r="BO28" s="848">
        <v>41.626927706114479</v>
      </c>
      <c r="BP28" s="848">
        <v>41.626927706114479</v>
      </c>
      <c r="BQ28" s="848">
        <v>41.626927706114479</v>
      </c>
      <c r="BR28" s="848">
        <v>41.626927706114479</v>
      </c>
      <c r="BS28" s="848">
        <v>41.626927706114479</v>
      </c>
      <c r="BT28" s="848">
        <v>41.626927706114479</v>
      </c>
      <c r="BU28" s="848">
        <v>41.626927706114479</v>
      </c>
      <c r="BV28" s="848">
        <v>41.626927706114479</v>
      </c>
      <c r="BW28" s="848">
        <v>42.667600898767333</v>
      </c>
      <c r="BX28" s="848">
        <v>42.667600898767333</v>
      </c>
      <c r="BY28" s="848">
        <v>42.667600898767333</v>
      </c>
      <c r="BZ28" s="848">
        <v>42.667600898767333</v>
      </c>
      <c r="CA28" s="848">
        <v>42.667600898767333</v>
      </c>
      <c r="CB28" s="848">
        <v>42.667600898767333</v>
      </c>
      <c r="CC28" s="848">
        <v>42.667600898767333</v>
      </c>
      <c r="CD28" s="848">
        <v>42.667600898767333</v>
      </c>
      <c r="CE28" s="848">
        <v>42.667600898767333</v>
      </c>
      <c r="CF28" s="848">
        <v>42.667600898767333</v>
      </c>
      <c r="CG28" s="848">
        <v>42.667600898767333</v>
      </c>
      <c r="CH28" s="848">
        <v>42.667600898767333</v>
      </c>
      <c r="CI28" s="848">
        <v>43.734290921236514</v>
      </c>
      <c r="CJ28" s="848">
        <v>43.734290921236514</v>
      </c>
      <c r="CK28" s="848">
        <v>43.734290921236514</v>
      </c>
      <c r="CL28" s="848">
        <v>43.734290921236514</v>
      </c>
      <c r="CM28" s="848">
        <v>43.734290921236514</v>
      </c>
      <c r="CN28" s="848">
        <v>43.734290921236514</v>
      </c>
      <c r="CO28" s="848">
        <v>43.734290921236514</v>
      </c>
      <c r="CP28" s="848">
        <v>43.734290921236514</v>
      </c>
      <c r="CQ28" s="848">
        <v>43.734290921236514</v>
      </c>
      <c r="CR28" s="848">
        <v>43.734290921236514</v>
      </c>
      <c r="CS28" s="848">
        <v>43.734290921236514</v>
      </c>
      <c r="CT28" s="848">
        <v>43.734290921236514</v>
      </c>
      <c r="CU28" s="848">
        <v>44.827648194267425</v>
      </c>
      <c r="CV28" s="848">
        <v>44.827648194267425</v>
      </c>
      <c r="CW28" s="848">
        <v>44.827648194267425</v>
      </c>
      <c r="CX28" s="848">
        <v>44.827648194267425</v>
      </c>
      <c r="CY28" s="848">
        <v>44.827648194267425</v>
      </c>
      <c r="CZ28" s="848">
        <v>44.827648194267425</v>
      </c>
      <c r="DA28" s="848">
        <v>44.827648194267425</v>
      </c>
      <c r="DB28" s="848">
        <v>44.827648194267425</v>
      </c>
      <c r="DC28" s="848">
        <v>44.827648194267425</v>
      </c>
      <c r="DD28" s="848">
        <v>44.827648194267425</v>
      </c>
      <c r="DE28" s="848">
        <v>44.827648194267425</v>
      </c>
      <c r="DF28" s="848">
        <v>44.827648194267425</v>
      </c>
      <c r="DG28" s="848">
        <v>45.948339399124109</v>
      </c>
      <c r="DH28" s="848">
        <v>45.948339399124109</v>
      </c>
      <c r="DI28" s="848">
        <v>45.948339399124109</v>
      </c>
      <c r="DJ28" s="848">
        <v>45.948339399124109</v>
      </c>
      <c r="DK28" s="848">
        <v>45.948339399124109</v>
      </c>
      <c r="DL28" s="848">
        <v>45.948339399124109</v>
      </c>
      <c r="DM28" s="848">
        <v>45.948339399124109</v>
      </c>
      <c r="DN28" s="848">
        <v>45.948339399124109</v>
      </c>
      <c r="DO28" s="848">
        <v>45.948339399124109</v>
      </c>
      <c r="DP28" s="848">
        <v>45.948339399124109</v>
      </c>
      <c r="DQ28" s="848">
        <v>45.948339399124109</v>
      </c>
      <c r="DR28" s="848">
        <v>45.948339399124109</v>
      </c>
      <c r="DS28" s="848">
        <v>47.09704788410221</v>
      </c>
      <c r="DT28" s="848">
        <v>47.09704788410221</v>
      </c>
      <c r="DU28" s="848">
        <v>47.09704788410221</v>
      </c>
      <c r="DV28" s="848">
        <v>47.09704788410221</v>
      </c>
      <c r="DW28" s="848">
        <v>47.09704788410221</v>
      </c>
      <c r="DX28" s="848">
        <v>47.09704788410221</v>
      </c>
      <c r="DY28" s="848">
        <v>47.09704788410221</v>
      </c>
      <c r="DZ28" s="848">
        <v>47.09704788410221</v>
      </c>
      <c r="EA28" s="848">
        <v>0</v>
      </c>
      <c r="EB28" s="848">
        <v>0</v>
      </c>
      <c r="EC28" s="848">
        <v>0</v>
      </c>
      <c r="ED28" s="848">
        <v>0</v>
      </c>
      <c r="EE28" s="848">
        <v>0</v>
      </c>
      <c r="EF28" s="848">
        <v>0</v>
      </c>
      <c r="EG28" s="848">
        <v>0</v>
      </c>
      <c r="EH28" s="848">
        <v>0</v>
      </c>
      <c r="EI28" s="848">
        <v>0</v>
      </c>
      <c r="EJ28" s="848">
        <v>0</v>
      </c>
      <c r="EK28" s="848">
        <v>0</v>
      </c>
      <c r="EL28" s="848">
        <v>0</v>
      </c>
    </row>
    <row r="29" spans="2:142" ht="13.5">
      <c r="B29" s="1000"/>
      <c r="C29" s="911" t="s">
        <v>784</v>
      </c>
      <c r="D29" s="911"/>
      <c r="F29" s="1001"/>
      <c r="G29" s="1001"/>
      <c r="H29" s="848">
        <f t="shared" si="13"/>
        <v>20185.23342502426</v>
      </c>
      <c r="I29" s="833"/>
      <c r="J29" s="848">
        <v>0</v>
      </c>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201.69370660724996</v>
      </c>
      <c r="AN29" s="848">
        <v>201.69370660724996</v>
      </c>
      <c r="AO29" s="848">
        <v>201.69370660724996</v>
      </c>
      <c r="AP29" s="848">
        <v>201.69370660724996</v>
      </c>
      <c r="AQ29" s="848">
        <v>201.69370660724996</v>
      </c>
      <c r="AR29" s="848">
        <v>201.69370660724996</v>
      </c>
      <c r="AS29" s="848">
        <v>201.69370660724996</v>
      </c>
      <c r="AT29" s="848">
        <v>201.69370660724996</v>
      </c>
      <c r="AU29" s="848">
        <v>201.69370660724996</v>
      </c>
      <c r="AV29" s="848">
        <v>201.69370660724996</v>
      </c>
      <c r="AW29" s="848">
        <v>201.69370660724996</v>
      </c>
      <c r="AX29" s="848">
        <v>201.69370660724996</v>
      </c>
      <c r="AY29" s="848">
        <v>206.73604927243119</v>
      </c>
      <c r="AZ29" s="848">
        <v>206.73604927243119</v>
      </c>
      <c r="BA29" s="848">
        <v>206.73604927243119</v>
      </c>
      <c r="BB29" s="848">
        <v>206.73604927243119</v>
      </c>
      <c r="BC29" s="848">
        <v>206.73604927243119</v>
      </c>
      <c r="BD29" s="848">
        <v>206.73604927243119</v>
      </c>
      <c r="BE29" s="848">
        <v>206.73604927243119</v>
      </c>
      <c r="BF29" s="848">
        <v>206.73604927243119</v>
      </c>
      <c r="BG29" s="848">
        <v>206.73604927243119</v>
      </c>
      <c r="BH29" s="848">
        <v>206.73604927243119</v>
      </c>
      <c r="BI29" s="848">
        <v>206.73604927243119</v>
      </c>
      <c r="BJ29" s="848">
        <v>206.73604927243119</v>
      </c>
      <c r="BK29" s="848">
        <v>211.90445050424196</v>
      </c>
      <c r="BL29" s="848">
        <v>211.90445050424196</v>
      </c>
      <c r="BM29" s="848">
        <v>211.90445050424196</v>
      </c>
      <c r="BN29" s="848">
        <v>211.90445050424196</v>
      </c>
      <c r="BO29" s="848">
        <v>211.90445050424196</v>
      </c>
      <c r="BP29" s="848">
        <v>211.90445050424196</v>
      </c>
      <c r="BQ29" s="848">
        <v>211.90445050424196</v>
      </c>
      <c r="BR29" s="848">
        <v>211.90445050424196</v>
      </c>
      <c r="BS29" s="848">
        <v>211.90445050424196</v>
      </c>
      <c r="BT29" s="848">
        <v>211.90445050424196</v>
      </c>
      <c r="BU29" s="848">
        <v>211.90445050424196</v>
      </c>
      <c r="BV29" s="848">
        <v>211.90445050424196</v>
      </c>
      <c r="BW29" s="848">
        <v>217.20206176684803</v>
      </c>
      <c r="BX29" s="848">
        <v>217.20206176684803</v>
      </c>
      <c r="BY29" s="848">
        <v>217.20206176684803</v>
      </c>
      <c r="BZ29" s="848">
        <v>217.20206176684803</v>
      </c>
      <c r="CA29" s="848">
        <v>217.20206176684803</v>
      </c>
      <c r="CB29" s="848">
        <v>217.20206176684803</v>
      </c>
      <c r="CC29" s="848">
        <v>217.20206176684803</v>
      </c>
      <c r="CD29" s="848">
        <v>217.20206176684803</v>
      </c>
      <c r="CE29" s="848">
        <v>217.20206176684803</v>
      </c>
      <c r="CF29" s="848">
        <v>217.20206176684803</v>
      </c>
      <c r="CG29" s="848">
        <v>217.20206176684803</v>
      </c>
      <c r="CH29" s="848">
        <v>217.20206176684803</v>
      </c>
      <c r="CI29" s="848">
        <v>222.6321133110192</v>
      </c>
      <c r="CJ29" s="848">
        <v>222.6321133110192</v>
      </c>
      <c r="CK29" s="848">
        <v>222.6321133110192</v>
      </c>
      <c r="CL29" s="848">
        <v>222.6321133110192</v>
      </c>
      <c r="CM29" s="848">
        <v>222.6321133110192</v>
      </c>
      <c r="CN29" s="848">
        <v>222.6321133110192</v>
      </c>
      <c r="CO29" s="848">
        <v>222.6321133110192</v>
      </c>
      <c r="CP29" s="848">
        <v>222.6321133110192</v>
      </c>
      <c r="CQ29" s="848">
        <v>222.6321133110192</v>
      </c>
      <c r="CR29" s="848">
        <v>222.6321133110192</v>
      </c>
      <c r="CS29" s="848">
        <v>222.6321133110192</v>
      </c>
      <c r="CT29" s="848">
        <v>222.6321133110192</v>
      </c>
      <c r="CU29" s="848">
        <v>228.19791614379466</v>
      </c>
      <c r="CV29" s="848">
        <v>228.19791614379466</v>
      </c>
      <c r="CW29" s="848">
        <v>228.19791614379466</v>
      </c>
      <c r="CX29" s="848">
        <v>228.19791614379466</v>
      </c>
      <c r="CY29" s="848">
        <v>228.19791614379466</v>
      </c>
      <c r="CZ29" s="848">
        <v>228.19791614379466</v>
      </c>
      <c r="DA29" s="848">
        <v>228.19791614379466</v>
      </c>
      <c r="DB29" s="848">
        <v>228.19791614379466</v>
      </c>
      <c r="DC29" s="848">
        <v>228.19791614379466</v>
      </c>
      <c r="DD29" s="848">
        <v>228.19791614379466</v>
      </c>
      <c r="DE29" s="848">
        <v>228.19791614379466</v>
      </c>
      <c r="DF29" s="848">
        <v>228.19791614379466</v>
      </c>
      <c r="DG29" s="848">
        <v>233.9028640473895</v>
      </c>
      <c r="DH29" s="848">
        <v>233.9028640473895</v>
      </c>
      <c r="DI29" s="848">
        <v>233.9028640473895</v>
      </c>
      <c r="DJ29" s="848">
        <v>233.9028640473895</v>
      </c>
      <c r="DK29" s="848">
        <v>233.9028640473895</v>
      </c>
      <c r="DL29" s="848">
        <v>233.9028640473895</v>
      </c>
      <c r="DM29" s="848">
        <v>233.9028640473895</v>
      </c>
      <c r="DN29" s="848">
        <v>233.9028640473895</v>
      </c>
      <c r="DO29" s="848">
        <v>233.9028640473895</v>
      </c>
      <c r="DP29" s="848">
        <v>233.9028640473895</v>
      </c>
      <c r="DQ29" s="848">
        <v>233.9028640473895</v>
      </c>
      <c r="DR29" s="848">
        <v>233.9028640473895</v>
      </c>
      <c r="DS29" s="848">
        <v>239.75043564857427</v>
      </c>
      <c r="DT29" s="848">
        <v>239.75043564857427</v>
      </c>
      <c r="DU29" s="848">
        <v>239.75043564857427</v>
      </c>
      <c r="DV29" s="848">
        <v>239.75043564857427</v>
      </c>
      <c r="DW29" s="848">
        <v>239.75043564857427</v>
      </c>
      <c r="DX29" s="848">
        <v>239.75043564857427</v>
      </c>
      <c r="DY29" s="848">
        <v>239.75043564857427</v>
      </c>
      <c r="DZ29" s="848">
        <v>239.75043564857427</v>
      </c>
      <c r="EA29" s="848">
        <v>0</v>
      </c>
      <c r="EB29" s="848">
        <v>0</v>
      </c>
      <c r="EC29" s="848">
        <v>0</v>
      </c>
      <c r="ED29" s="848">
        <v>0</v>
      </c>
      <c r="EE29" s="848">
        <v>0</v>
      </c>
      <c r="EF29" s="848">
        <v>0</v>
      </c>
      <c r="EG29" s="848">
        <v>0</v>
      </c>
      <c r="EH29" s="848">
        <v>0</v>
      </c>
      <c r="EI29" s="848">
        <v>0</v>
      </c>
      <c r="EJ29" s="848">
        <v>0</v>
      </c>
      <c r="EK29" s="848">
        <v>0</v>
      </c>
      <c r="EL29" s="848">
        <v>0</v>
      </c>
    </row>
    <row r="30" spans="2:142" ht="13.5">
      <c r="B30" s="1000"/>
      <c r="C30" s="911" t="s">
        <v>381</v>
      </c>
      <c r="D30" s="911"/>
      <c r="F30" s="1001"/>
      <c r="G30" s="1001"/>
      <c r="H30" s="848">
        <f t="shared" si="13"/>
        <v>14954.834298747683</v>
      </c>
      <c r="I30" s="833"/>
      <c r="J30" s="848">
        <v>0</v>
      </c>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151.97865504249998</v>
      </c>
      <c r="AN30" s="848">
        <v>151.97865504249998</v>
      </c>
      <c r="AO30" s="848">
        <v>151.97865504249998</v>
      </c>
      <c r="AP30" s="848">
        <v>151.97865504249998</v>
      </c>
      <c r="AQ30" s="848">
        <v>151.97865504249998</v>
      </c>
      <c r="AR30" s="848">
        <v>151.97865504249998</v>
      </c>
      <c r="AS30" s="848">
        <v>151.97865504249998</v>
      </c>
      <c r="AT30" s="848">
        <v>151.97865504249998</v>
      </c>
      <c r="AU30" s="848">
        <v>151.97865504249998</v>
      </c>
      <c r="AV30" s="848">
        <v>151.97865504249998</v>
      </c>
      <c r="AW30" s="848">
        <v>151.97865504249998</v>
      </c>
      <c r="AX30" s="848">
        <v>151.97865504249998</v>
      </c>
      <c r="AY30" s="848">
        <v>155.01822814334997</v>
      </c>
      <c r="AZ30" s="848">
        <v>155.01822814334997</v>
      </c>
      <c r="BA30" s="848">
        <v>155.01822814334997</v>
      </c>
      <c r="BB30" s="848">
        <v>155.01822814334997</v>
      </c>
      <c r="BC30" s="848">
        <v>155.01822814334997</v>
      </c>
      <c r="BD30" s="848">
        <v>155.01822814334997</v>
      </c>
      <c r="BE30" s="848">
        <v>155.01822814334997</v>
      </c>
      <c r="BF30" s="848">
        <v>155.01822814334997</v>
      </c>
      <c r="BG30" s="848">
        <v>155.01822814334997</v>
      </c>
      <c r="BH30" s="848">
        <v>155.01822814334997</v>
      </c>
      <c r="BI30" s="848">
        <v>155.01822814334997</v>
      </c>
      <c r="BJ30" s="848">
        <v>155.01822814334997</v>
      </c>
      <c r="BK30" s="848">
        <v>158.11859270621699</v>
      </c>
      <c r="BL30" s="848">
        <v>158.11859270621699</v>
      </c>
      <c r="BM30" s="848">
        <v>158.11859270621699</v>
      </c>
      <c r="BN30" s="848">
        <v>158.11859270621699</v>
      </c>
      <c r="BO30" s="848">
        <v>158.11859270621699</v>
      </c>
      <c r="BP30" s="848">
        <v>158.11859270621699</v>
      </c>
      <c r="BQ30" s="848">
        <v>158.11859270621699</v>
      </c>
      <c r="BR30" s="848">
        <v>158.11859270621699</v>
      </c>
      <c r="BS30" s="848">
        <v>158.11859270621699</v>
      </c>
      <c r="BT30" s="848">
        <v>158.11859270621699</v>
      </c>
      <c r="BU30" s="848">
        <v>158.11859270621699</v>
      </c>
      <c r="BV30" s="848">
        <v>158.11859270621699</v>
      </c>
      <c r="BW30" s="848">
        <v>161.28096456034132</v>
      </c>
      <c r="BX30" s="848">
        <v>161.28096456034132</v>
      </c>
      <c r="BY30" s="848">
        <v>161.28096456034132</v>
      </c>
      <c r="BZ30" s="848">
        <v>161.28096456034132</v>
      </c>
      <c r="CA30" s="848">
        <v>161.28096456034132</v>
      </c>
      <c r="CB30" s="848">
        <v>161.28096456034132</v>
      </c>
      <c r="CC30" s="848">
        <v>161.28096456034132</v>
      </c>
      <c r="CD30" s="848">
        <v>161.28096456034132</v>
      </c>
      <c r="CE30" s="848">
        <v>161.28096456034132</v>
      </c>
      <c r="CF30" s="848">
        <v>161.28096456034132</v>
      </c>
      <c r="CG30" s="848">
        <v>161.28096456034132</v>
      </c>
      <c r="CH30" s="848">
        <v>161.28096456034132</v>
      </c>
      <c r="CI30" s="848">
        <v>164.50658385154813</v>
      </c>
      <c r="CJ30" s="848">
        <v>164.50658385154813</v>
      </c>
      <c r="CK30" s="848">
        <v>164.50658385154813</v>
      </c>
      <c r="CL30" s="848">
        <v>164.50658385154813</v>
      </c>
      <c r="CM30" s="848">
        <v>164.50658385154813</v>
      </c>
      <c r="CN30" s="848">
        <v>164.50658385154813</v>
      </c>
      <c r="CO30" s="848">
        <v>164.50658385154813</v>
      </c>
      <c r="CP30" s="848">
        <v>164.50658385154813</v>
      </c>
      <c r="CQ30" s="848">
        <v>164.50658385154813</v>
      </c>
      <c r="CR30" s="848">
        <v>164.50658385154813</v>
      </c>
      <c r="CS30" s="848">
        <v>164.50658385154813</v>
      </c>
      <c r="CT30" s="848">
        <v>164.50658385154813</v>
      </c>
      <c r="CU30" s="848">
        <v>167.79671552857911</v>
      </c>
      <c r="CV30" s="848">
        <v>167.79671552857911</v>
      </c>
      <c r="CW30" s="848">
        <v>167.79671552857911</v>
      </c>
      <c r="CX30" s="848">
        <v>167.79671552857911</v>
      </c>
      <c r="CY30" s="848">
        <v>167.79671552857911</v>
      </c>
      <c r="CZ30" s="848">
        <v>167.79671552857911</v>
      </c>
      <c r="DA30" s="848">
        <v>167.79671552857911</v>
      </c>
      <c r="DB30" s="848">
        <v>167.79671552857911</v>
      </c>
      <c r="DC30" s="848">
        <v>167.79671552857911</v>
      </c>
      <c r="DD30" s="848">
        <v>167.79671552857911</v>
      </c>
      <c r="DE30" s="848">
        <v>167.79671552857911</v>
      </c>
      <c r="DF30" s="848">
        <v>167.79671552857911</v>
      </c>
      <c r="DG30" s="848">
        <v>171.15264983915071</v>
      </c>
      <c r="DH30" s="848">
        <v>171.15264983915071</v>
      </c>
      <c r="DI30" s="848">
        <v>171.15264983915071</v>
      </c>
      <c r="DJ30" s="848">
        <v>171.15264983915071</v>
      </c>
      <c r="DK30" s="848">
        <v>171.15264983915071</v>
      </c>
      <c r="DL30" s="848">
        <v>171.15264983915071</v>
      </c>
      <c r="DM30" s="848">
        <v>171.15264983915071</v>
      </c>
      <c r="DN30" s="848">
        <v>171.15264983915071</v>
      </c>
      <c r="DO30" s="848">
        <v>171.15264983915071</v>
      </c>
      <c r="DP30" s="848">
        <v>171.15264983915071</v>
      </c>
      <c r="DQ30" s="848">
        <v>171.15264983915071</v>
      </c>
      <c r="DR30" s="848">
        <v>171.15264983915071</v>
      </c>
      <c r="DS30" s="848">
        <v>174.57570283593367</v>
      </c>
      <c r="DT30" s="848">
        <v>174.57570283593367</v>
      </c>
      <c r="DU30" s="848">
        <v>174.57570283593367</v>
      </c>
      <c r="DV30" s="848">
        <v>174.57570283593367</v>
      </c>
      <c r="DW30" s="848">
        <v>174.57570283593367</v>
      </c>
      <c r="DX30" s="848">
        <v>174.57570283593367</v>
      </c>
      <c r="DY30" s="848">
        <v>174.57570283593367</v>
      </c>
      <c r="DZ30" s="848">
        <v>174.57570283593367</v>
      </c>
      <c r="EA30" s="848">
        <v>0</v>
      </c>
      <c r="EB30" s="848">
        <v>0</v>
      </c>
      <c r="EC30" s="848">
        <v>0</v>
      </c>
      <c r="ED30" s="848">
        <v>0</v>
      </c>
      <c r="EE30" s="848">
        <v>0</v>
      </c>
      <c r="EF30" s="848">
        <v>0</v>
      </c>
      <c r="EG30" s="848">
        <v>0</v>
      </c>
      <c r="EH30" s="848">
        <v>0</v>
      </c>
      <c r="EI30" s="848">
        <v>0</v>
      </c>
      <c r="EJ30" s="848">
        <v>0</v>
      </c>
      <c r="EK30" s="848">
        <v>0</v>
      </c>
      <c r="EL30" s="848">
        <v>0</v>
      </c>
    </row>
    <row r="31" spans="2:142" ht="13.5">
      <c r="B31" s="1000"/>
      <c r="C31" s="911" t="s">
        <v>382</v>
      </c>
      <c r="D31" s="911"/>
      <c r="F31" s="1001"/>
      <c r="G31" s="1001"/>
      <c r="H31" s="848">
        <f t="shared" si="13"/>
        <v>386.85540630212569</v>
      </c>
      <c r="I31" s="833"/>
      <c r="J31" s="848">
        <v>0</v>
      </c>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48.794292747039123</v>
      </c>
      <c r="AN31" s="848">
        <v>0</v>
      </c>
      <c r="AO31" s="848">
        <v>0</v>
      </c>
      <c r="AP31" s="848">
        <v>0</v>
      </c>
      <c r="AQ31" s="848">
        <v>0</v>
      </c>
      <c r="AR31" s="848">
        <v>0</v>
      </c>
      <c r="AS31" s="848">
        <v>0</v>
      </c>
      <c r="AT31" s="848">
        <v>0</v>
      </c>
      <c r="AU31" s="848">
        <v>0</v>
      </c>
      <c r="AV31" s="848">
        <v>0</v>
      </c>
      <c r="AW31" s="848">
        <v>0</v>
      </c>
      <c r="AX31" s="848">
        <v>0</v>
      </c>
      <c r="AY31" s="848">
        <v>49.282235674509515</v>
      </c>
      <c r="AZ31" s="848">
        <v>0</v>
      </c>
      <c r="BA31" s="848">
        <v>0</v>
      </c>
      <c r="BB31" s="848">
        <v>0</v>
      </c>
      <c r="BC31" s="848">
        <v>0</v>
      </c>
      <c r="BD31" s="848">
        <v>0</v>
      </c>
      <c r="BE31" s="848">
        <v>0</v>
      </c>
      <c r="BF31" s="848">
        <v>0</v>
      </c>
      <c r="BG31" s="848">
        <v>0</v>
      </c>
      <c r="BH31" s="848">
        <v>0</v>
      </c>
      <c r="BI31" s="848">
        <v>0</v>
      </c>
      <c r="BJ31" s="848">
        <v>0</v>
      </c>
      <c r="BK31" s="848">
        <v>49.775058031254623</v>
      </c>
      <c r="BL31" s="848">
        <v>0</v>
      </c>
      <c r="BM31" s="848">
        <v>0</v>
      </c>
      <c r="BN31" s="848">
        <v>0</v>
      </c>
      <c r="BO31" s="848">
        <v>0</v>
      </c>
      <c r="BP31" s="848">
        <v>0</v>
      </c>
      <c r="BQ31" s="848">
        <v>0</v>
      </c>
      <c r="BR31" s="848">
        <v>0</v>
      </c>
      <c r="BS31" s="848">
        <v>0</v>
      </c>
      <c r="BT31" s="848">
        <v>0</v>
      </c>
      <c r="BU31" s="848">
        <v>0</v>
      </c>
      <c r="BV31" s="848">
        <v>0</v>
      </c>
      <c r="BW31" s="848">
        <v>50.272808611567164</v>
      </c>
      <c r="BX31" s="848">
        <v>0</v>
      </c>
      <c r="BY31" s="848">
        <v>0</v>
      </c>
      <c r="BZ31" s="848">
        <v>0</v>
      </c>
      <c r="CA31" s="848">
        <v>0</v>
      </c>
      <c r="CB31" s="848">
        <v>0</v>
      </c>
      <c r="CC31" s="848">
        <v>0</v>
      </c>
      <c r="CD31" s="848">
        <v>0</v>
      </c>
      <c r="CE31" s="848">
        <v>0</v>
      </c>
      <c r="CF31" s="848">
        <v>0</v>
      </c>
      <c r="CG31" s="848">
        <v>0</v>
      </c>
      <c r="CH31" s="848">
        <v>0</v>
      </c>
      <c r="CI31" s="848">
        <v>50.775536697682817</v>
      </c>
      <c r="CJ31" s="848">
        <v>0</v>
      </c>
      <c r="CK31" s="848">
        <v>0</v>
      </c>
      <c r="CL31" s="848">
        <v>0</v>
      </c>
      <c r="CM31" s="848">
        <v>0</v>
      </c>
      <c r="CN31" s="848">
        <v>0</v>
      </c>
      <c r="CO31" s="848">
        <v>0</v>
      </c>
      <c r="CP31" s="848">
        <v>0</v>
      </c>
      <c r="CQ31" s="848">
        <v>0</v>
      </c>
      <c r="CR31" s="848">
        <v>0</v>
      </c>
      <c r="CS31" s="848">
        <v>0</v>
      </c>
      <c r="CT31" s="848">
        <v>0</v>
      </c>
      <c r="CU31" s="848">
        <v>51.283292064659655</v>
      </c>
      <c r="CV31" s="848">
        <v>0</v>
      </c>
      <c r="CW31" s="848">
        <v>0</v>
      </c>
      <c r="CX31" s="848">
        <v>0</v>
      </c>
      <c r="CY31" s="848">
        <v>0</v>
      </c>
      <c r="CZ31" s="848">
        <v>0</v>
      </c>
      <c r="DA31" s="848">
        <v>0</v>
      </c>
      <c r="DB31" s="848">
        <v>0</v>
      </c>
      <c r="DC31" s="848">
        <v>0</v>
      </c>
      <c r="DD31" s="848">
        <v>0</v>
      </c>
      <c r="DE31" s="848">
        <v>0</v>
      </c>
      <c r="DF31" s="848">
        <v>0</v>
      </c>
      <c r="DG31" s="848">
        <v>51.796124985306271</v>
      </c>
      <c r="DH31" s="848">
        <v>0</v>
      </c>
      <c r="DI31" s="848">
        <v>0</v>
      </c>
      <c r="DJ31" s="848">
        <v>0</v>
      </c>
      <c r="DK31" s="848">
        <v>0</v>
      </c>
      <c r="DL31" s="848">
        <v>0</v>
      </c>
      <c r="DM31" s="848">
        <v>0</v>
      </c>
      <c r="DN31" s="848">
        <v>0</v>
      </c>
      <c r="DO31" s="848">
        <v>0</v>
      </c>
      <c r="DP31" s="848">
        <v>0</v>
      </c>
      <c r="DQ31" s="848">
        <v>0</v>
      </c>
      <c r="DR31" s="848">
        <v>0</v>
      </c>
      <c r="DS31" s="848">
        <v>52.314086235159294</v>
      </c>
      <c r="DT31" s="848">
        <v>0</v>
      </c>
      <c r="DU31" s="848">
        <v>0</v>
      </c>
      <c r="DV31" s="848">
        <v>0</v>
      </c>
      <c r="DW31" s="848">
        <v>0</v>
      </c>
      <c r="DX31" s="848">
        <v>0</v>
      </c>
      <c r="DY31" s="848">
        <v>0</v>
      </c>
      <c r="DZ31" s="848">
        <v>-17.438028745052804</v>
      </c>
      <c r="EA31" s="848">
        <v>0</v>
      </c>
      <c r="EB31" s="848">
        <v>0</v>
      </c>
      <c r="EC31" s="848">
        <v>0</v>
      </c>
      <c r="ED31" s="848">
        <v>0</v>
      </c>
      <c r="EE31" s="848">
        <v>0</v>
      </c>
      <c r="EF31" s="848">
        <v>0</v>
      </c>
      <c r="EG31" s="848">
        <v>0</v>
      </c>
      <c r="EH31" s="848">
        <v>0</v>
      </c>
      <c r="EI31" s="848">
        <v>0</v>
      </c>
      <c r="EJ31" s="848">
        <v>0</v>
      </c>
      <c r="EK31" s="848">
        <v>0</v>
      </c>
      <c r="EL31" s="848">
        <v>0</v>
      </c>
    </row>
    <row r="32" spans="2:142" ht="13.5">
      <c r="B32" s="1000"/>
      <c r="C32" s="911" t="s">
        <v>383</v>
      </c>
      <c r="D32" s="911"/>
      <c r="F32" s="1001"/>
      <c r="G32" s="1001"/>
      <c r="H32" s="848">
        <f t="shared" si="13"/>
        <v>5301.7504781215612</v>
      </c>
      <c r="I32" s="833"/>
      <c r="J32" s="848">
        <v>0</v>
      </c>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56.670006964999999</v>
      </c>
      <c r="AN32" s="848">
        <v>56.670006964999999</v>
      </c>
      <c r="AO32" s="848">
        <v>56.670006964999999</v>
      </c>
      <c r="AP32" s="848">
        <v>56.670006964999999</v>
      </c>
      <c r="AQ32" s="848">
        <v>56.670006964999999</v>
      </c>
      <c r="AR32" s="848">
        <v>56.670006964999999</v>
      </c>
      <c r="AS32" s="848">
        <v>56.670006964999999</v>
      </c>
      <c r="AT32" s="848">
        <v>56.670006964999999</v>
      </c>
      <c r="AU32" s="848">
        <v>56.670006964999999</v>
      </c>
      <c r="AV32" s="848">
        <v>56.670006964999999</v>
      </c>
      <c r="AW32" s="848">
        <v>56.670006964999999</v>
      </c>
      <c r="AX32" s="848">
        <v>56.670006964999999</v>
      </c>
      <c r="AY32" s="848">
        <v>56.95335699982499</v>
      </c>
      <c r="AZ32" s="848">
        <v>56.95335699982499</v>
      </c>
      <c r="BA32" s="848">
        <v>56.95335699982499</v>
      </c>
      <c r="BB32" s="848">
        <v>56.95335699982499</v>
      </c>
      <c r="BC32" s="848">
        <v>56.95335699982499</v>
      </c>
      <c r="BD32" s="848">
        <v>56.95335699982499</v>
      </c>
      <c r="BE32" s="848">
        <v>56.95335699982499</v>
      </c>
      <c r="BF32" s="848">
        <v>56.95335699982499</v>
      </c>
      <c r="BG32" s="848">
        <v>56.95335699982499</v>
      </c>
      <c r="BH32" s="848">
        <v>56.95335699982499</v>
      </c>
      <c r="BI32" s="848">
        <v>56.95335699982499</v>
      </c>
      <c r="BJ32" s="848">
        <v>56.95335699982499</v>
      </c>
      <c r="BK32" s="848">
        <v>57.238123784824111</v>
      </c>
      <c r="BL32" s="848">
        <v>57.238123784824111</v>
      </c>
      <c r="BM32" s="848">
        <v>57.238123784824111</v>
      </c>
      <c r="BN32" s="848">
        <v>57.238123784824111</v>
      </c>
      <c r="BO32" s="848">
        <v>57.238123784824111</v>
      </c>
      <c r="BP32" s="848">
        <v>57.238123784824111</v>
      </c>
      <c r="BQ32" s="848">
        <v>57.238123784824111</v>
      </c>
      <c r="BR32" s="848">
        <v>57.238123784824111</v>
      </c>
      <c r="BS32" s="848">
        <v>57.238123784824111</v>
      </c>
      <c r="BT32" s="848">
        <v>57.238123784824111</v>
      </c>
      <c r="BU32" s="848">
        <v>57.238123784824111</v>
      </c>
      <c r="BV32" s="848">
        <v>57.238123784824111</v>
      </c>
      <c r="BW32" s="848">
        <v>57.524314403748221</v>
      </c>
      <c r="BX32" s="848">
        <v>57.524314403748221</v>
      </c>
      <c r="BY32" s="848">
        <v>57.524314403748221</v>
      </c>
      <c r="BZ32" s="848">
        <v>57.524314403748221</v>
      </c>
      <c r="CA32" s="848">
        <v>57.524314403748221</v>
      </c>
      <c r="CB32" s="848">
        <v>57.524314403748221</v>
      </c>
      <c r="CC32" s="848">
        <v>57.524314403748221</v>
      </c>
      <c r="CD32" s="848">
        <v>57.524314403748221</v>
      </c>
      <c r="CE32" s="848">
        <v>57.524314403748221</v>
      </c>
      <c r="CF32" s="848">
        <v>57.524314403748221</v>
      </c>
      <c r="CG32" s="848">
        <v>57.524314403748221</v>
      </c>
      <c r="CH32" s="848">
        <v>57.524314403748221</v>
      </c>
      <c r="CI32" s="848">
        <v>57.81193597576695</v>
      </c>
      <c r="CJ32" s="848">
        <v>57.81193597576695</v>
      </c>
      <c r="CK32" s="848">
        <v>57.81193597576695</v>
      </c>
      <c r="CL32" s="848">
        <v>57.81193597576695</v>
      </c>
      <c r="CM32" s="848">
        <v>57.81193597576695</v>
      </c>
      <c r="CN32" s="848">
        <v>57.81193597576695</v>
      </c>
      <c r="CO32" s="848">
        <v>57.81193597576695</v>
      </c>
      <c r="CP32" s="848">
        <v>57.81193597576695</v>
      </c>
      <c r="CQ32" s="848">
        <v>57.81193597576695</v>
      </c>
      <c r="CR32" s="848">
        <v>57.81193597576695</v>
      </c>
      <c r="CS32" s="848">
        <v>57.81193597576695</v>
      </c>
      <c r="CT32" s="848">
        <v>57.81193597576695</v>
      </c>
      <c r="CU32" s="848">
        <v>58.100995655645775</v>
      </c>
      <c r="CV32" s="848">
        <v>58.100995655645775</v>
      </c>
      <c r="CW32" s="848">
        <v>58.100995655645775</v>
      </c>
      <c r="CX32" s="848">
        <v>58.100995655645775</v>
      </c>
      <c r="CY32" s="848">
        <v>58.100995655645775</v>
      </c>
      <c r="CZ32" s="848">
        <v>58.100995655645775</v>
      </c>
      <c r="DA32" s="848">
        <v>58.100995655645775</v>
      </c>
      <c r="DB32" s="848">
        <v>58.100995655645775</v>
      </c>
      <c r="DC32" s="848">
        <v>58.100995655645775</v>
      </c>
      <c r="DD32" s="848">
        <v>58.100995655645775</v>
      </c>
      <c r="DE32" s="848">
        <v>58.100995655645775</v>
      </c>
      <c r="DF32" s="848">
        <v>58.100995655645775</v>
      </c>
      <c r="DG32" s="848">
        <v>58.391500633923989</v>
      </c>
      <c r="DH32" s="848">
        <v>58.391500633923989</v>
      </c>
      <c r="DI32" s="848">
        <v>58.391500633923989</v>
      </c>
      <c r="DJ32" s="848">
        <v>58.391500633923989</v>
      </c>
      <c r="DK32" s="848">
        <v>58.391500633923989</v>
      </c>
      <c r="DL32" s="848">
        <v>58.391500633923989</v>
      </c>
      <c r="DM32" s="848">
        <v>58.391500633923989</v>
      </c>
      <c r="DN32" s="848">
        <v>58.391500633923989</v>
      </c>
      <c r="DO32" s="848">
        <v>58.391500633923989</v>
      </c>
      <c r="DP32" s="848">
        <v>58.391500633923989</v>
      </c>
      <c r="DQ32" s="848">
        <v>58.391500633923989</v>
      </c>
      <c r="DR32" s="848">
        <v>58.391500633923989</v>
      </c>
      <c r="DS32" s="848">
        <v>58.683458137093602</v>
      </c>
      <c r="DT32" s="848">
        <v>58.683458137093602</v>
      </c>
      <c r="DU32" s="848">
        <v>58.683458137093602</v>
      </c>
      <c r="DV32" s="848">
        <v>58.683458137093602</v>
      </c>
      <c r="DW32" s="848">
        <v>58.683458137093602</v>
      </c>
      <c r="DX32" s="848">
        <v>58.683458137093602</v>
      </c>
      <c r="DY32" s="848">
        <v>58.683458137093602</v>
      </c>
      <c r="DZ32" s="848">
        <v>58.683458137093602</v>
      </c>
      <c r="EA32" s="848">
        <v>0</v>
      </c>
      <c r="EB32" s="848">
        <v>0</v>
      </c>
      <c r="EC32" s="848">
        <v>0</v>
      </c>
      <c r="ED32" s="848">
        <v>0</v>
      </c>
      <c r="EE32" s="848">
        <v>0</v>
      </c>
      <c r="EF32" s="848">
        <v>0</v>
      </c>
      <c r="EG32" s="848">
        <v>0</v>
      </c>
      <c r="EH32" s="848">
        <v>0</v>
      </c>
      <c r="EI32" s="848">
        <v>0</v>
      </c>
      <c r="EJ32" s="848">
        <v>0</v>
      </c>
      <c r="EK32" s="848">
        <v>0</v>
      </c>
      <c r="EL32" s="848">
        <v>0</v>
      </c>
    </row>
    <row r="33" spans="2:142" ht="13.5">
      <c r="B33" s="1000"/>
      <c r="C33" s="911" t="s">
        <v>384</v>
      </c>
      <c r="D33" s="911"/>
      <c r="F33" s="1001"/>
      <c r="G33" s="1001"/>
      <c r="H33" s="848">
        <f t="shared" si="13"/>
        <v>0</v>
      </c>
      <c r="I33" s="833"/>
      <c r="J33" s="848">
        <v>0</v>
      </c>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0</v>
      </c>
      <c r="AP33" s="848">
        <v>0</v>
      </c>
      <c r="AQ33" s="848">
        <v>0</v>
      </c>
      <c r="AR33" s="848">
        <v>0</v>
      </c>
      <c r="AS33" s="848">
        <v>0</v>
      </c>
      <c r="AT33" s="848">
        <v>0</v>
      </c>
      <c r="AU33" s="848">
        <v>0</v>
      </c>
      <c r="AV33" s="848">
        <v>0</v>
      </c>
      <c r="AW33" s="848">
        <v>0</v>
      </c>
      <c r="AX33" s="848">
        <v>0</v>
      </c>
      <c r="AY33" s="848">
        <v>0</v>
      </c>
      <c r="AZ33" s="848">
        <v>0</v>
      </c>
      <c r="BA33" s="848">
        <v>0</v>
      </c>
      <c r="BB33" s="848">
        <v>0</v>
      </c>
      <c r="BC33" s="848">
        <v>0</v>
      </c>
      <c r="BD33" s="848">
        <v>0</v>
      </c>
      <c r="BE33" s="848">
        <v>0</v>
      </c>
      <c r="BF33" s="848">
        <v>0</v>
      </c>
      <c r="BG33" s="848">
        <v>0</v>
      </c>
      <c r="BH33" s="848">
        <v>0</v>
      </c>
      <c r="BI33" s="848">
        <v>0</v>
      </c>
      <c r="BJ33" s="848">
        <v>0</v>
      </c>
      <c r="BK33" s="848">
        <v>0</v>
      </c>
      <c r="BL33" s="848">
        <v>0</v>
      </c>
      <c r="BM33" s="848">
        <v>0</v>
      </c>
      <c r="BN33" s="848">
        <v>0</v>
      </c>
      <c r="BO33" s="848">
        <v>0</v>
      </c>
      <c r="BP33" s="848">
        <v>0</v>
      </c>
      <c r="BQ33" s="848">
        <v>0</v>
      </c>
      <c r="BR33" s="848">
        <v>0</v>
      </c>
      <c r="BS33" s="848">
        <v>0</v>
      </c>
      <c r="BT33" s="848">
        <v>0</v>
      </c>
      <c r="BU33" s="848">
        <v>0</v>
      </c>
      <c r="BV33" s="848">
        <v>0</v>
      </c>
      <c r="BW33" s="848">
        <v>0</v>
      </c>
      <c r="BX33" s="848">
        <v>0</v>
      </c>
      <c r="BY33" s="848">
        <v>0</v>
      </c>
      <c r="BZ33" s="848">
        <v>0</v>
      </c>
      <c r="CA33" s="848">
        <v>0</v>
      </c>
      <c r="CB33" s="848">
        <v>0</v>
      </c>
      <c r="CC33" s="848">
        <v>0</v>
      </c>
      <c r="CD33" s="848">
        <v>0</v>
      </c>
      <c r="CE33" s="848">
        <v>0</v>
      </c>
      <c r="CF33" s="848">
        <v>0</v>
      </c>
      <c r="CG33" s="848">
        <v>0</v>
      </c>
      <c r="CH33" s="848">
        <v>0</v>
      </c>
      <c r="CI33" s="848">
        <v>0</v>
      </c>
      <c r="CJ33" s="848">
        <v>0</v>
      </c>
      <c r="CK33" s="848">
        <v>0</v>
      </c>
      <c r="CL33" s="848">
        <v>0</v>
      </c>
      <c r="CM33" s="848">
        <v>0</v>
      </c>
      <c r="CN33" s="848">
        <v>0</v>
      </c>
      <c r="CO33" s="848">
        <v>0</v>
      </c>
      <c r="CP33" s="848">
        <v>0</v>
      </c>
      <c r="CQ33" s="848">
        <v>0</v>
      </c>
      <c r="CR33" s="848">
        <v>0</v>
      </c>
      <c r="CS33" s="848">
        <v>0</v>
      </c>
      <c r="CT33" s="848">
        <v>0</v>
      </c>
      <c r="CU33" s="848">
        <v>0</v>
      </c>
      <c r="CV33" s="848">
        <v>0</v>
      </c>
      <c r="CW33" s="848">
        <v>0</v>
      </c>
      <c r="CX33" s="848">
        <v>0</v>
      </c>
      <c r="CY33" s="848">
        <v>0</v>
      </c>
      <c r="CZ33" s="848">
        <v>0</v>
      </c>
      <c r="DA33" s="848">
        <v>0</v>
      </c>
      <c r="DB33" s="848">
        <v>0</v>
      </c>
      <c r="DC33" s="848">
        <v>0</v>
      </c>
      <c r="DD33" s="848">
        <v>0</v>
      </c>
      <c r="DE33" s="848">
        <v>0</v>
      </c>
      <c r="DF33" s="848">
        <v>0</v>
      </c>
      <c r="DG33" s="848">
        <v>0</v>
      </c>
      <c r="DH33" s="848">
        <v>0</v>
      </c>
      <c r="DI33" s="848">
        <v>0</v>
      </c>
      <c r="DJ33" s="848">
        <v>0</v>
      </c>
      <c r="DK33" s="848">
        <v>0</v>
      </c>
      <c r="DL33" s="848">
        <v>0</v>
      </c>
      <c r="DM33" s="848">
        <v>0</v>
      </c>
      <c r="DN33" s="848">
        <v>0</v>
      </c>
      <c r="DO33" s="848">
        <v>0</v>
      </c>
      <c r="DP33" s="848">
        <v>0</v>
      </c>
      <c r="DQ33" s="848">
        <v>0</v>
      </c>
      <c r="DR33" s="848">
        <v>0</v>
      </c>
      <c r="DS33" s="848">
        <v>0</v>
      </c>
      <c r="DT33" s="848">
        <v>0</v>
      </c>
      <c r="DU33" s="848">
        <v>0</v>
      </c>
      <c r="DV33" s="848">
        <v>0</v>
      </c>
      <c r="DW33" s="848">
        <v>0</v>
      </c>
      <c r="DX33" s="848">
        <v>0</v>
      </c>
      <c r="DY33" s="848">
        <v>0</v>
      </c>
      <c r="DZ33" s="848">
        <v>0</v>
      </c>
      <c r="EA33" s="848">
        <v>0</v>
      </c>
      <c r="EB33" s="848">
        <v>0</v>
      </c>
      <c r="EC33" s="848">
        <v>0</v>
      </c>
      <c r="ED33" s="848">
        <v>0</v>
      </c>
      <c r="EE33" s="848">
        <v>0</v>
      </c>
      <c r="EF33" s="848">
        <v>0</v>
      </c>
      <c r="EG33" s="848">
        <v>0</v>
      </c>
      <c r="EH33" s="848">
        <v>0</v>
      </c>
      <c r="EI33" s="848">
        <v>0</v>
      </c>
      <c r="EJ33" s="848">
        <v>0</v>
      </c>
      <c r="EK33" s="848">
        <v>0</v>
      </c>
      <c r="EL33" s="848">
        <v>0</v>
      </c>
    </row>
    <row r="34" spans="2:142" ht="13.5">
      <c r="B34" s="1000"/>
      <c r="C34" s="911" t="s">
        <v>385</v>
      </c>
      <c r="D34" s="911"/>
      <c r="F34" s="1001"/>
      <c r="G34" s="1001"/>
      <c r="H34" s="848">
        <f t="shared" si="13"/>
        <v>98.028298737509004</v>
      </c>
      <c r="I34" s="833"/>
      <c r="J34" s="848">
        <v>0</v>
      </c>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1.030363763</v>
      </c>
      <c r="AN34" s="848">
        <v>1.030363763</v>
      </c>
      <c r="AO34" s="848">
        <v>1.030363763</v>
      </c>
      <c r="AP34" s="848">
        <v>1.030363763</v>
      </c>
      <c r="AQ34" s="848">
        <v>1.030363763</v>
      </c>
      <c r="AR34" s="848">
        <v>1.030363763</v>
      </c>
      <c r="AS34" s="848">
        <v>1.030363763</v>
      </c>
      <c r="AT34" s="848">
        <v>1.030363763</v>
      </c>
      <c r="AU34" s="848">
        <v>1.030363763</v>
      </c>
      <c r="AV34" s="848">
        <v>1.030363763</v>
      </c>
      <c r="AW34" s="848">
        <v>1.030363763</v>
      </c>
      <c r="AX34" s="848">
        <v>1.030363763</v>
      </c>
      <c r="AY34" s="848">
        <v>1.0406674006300001</v>
      </c>
      <c r="AZ34" s="848">
        <v>1.0406674006300001</v>
      </c>
      <c r="BA34" s="848">
        <v>1.0406674006300001</v>
      </c>
      <c r="BB34" s="848">
        <v>1.0406674006300001</v>
      </c>
      <c r="BC34" s="848">
        <v>1.0406674006300001</v>
      </c>
      <c r="BD34" s="848">
        <v>1.0406674006300001</v>
      </c>
      <c r="BE34" s="848">
        <v>1.0406674006300001</v>
      </c>
      <c r="BF34" s="848">
        <v>1.0406674006300001</v>
      </c>
      <c r="BG34" s="848">
        <v>1.0406674006300001</v>
      </c>
      <c r="BH34" s="848">
        <v>1.0406674006300001</v>
      </c>
      <c r="BI34" s="848">
        <v>1.0406674006300001</v>
      </c>
      <c r="BJ34" s="848">
        <v>1.0406674006300001</v>
      </c>
      <c r="BK34" s="848">
        <v>1.0510740746363001</v>
      </c>
      <c r="BL34" s="848">
        <v>1.0510740746363001</v>
      </c>
      <c r="BM34" s="848">
        <v>1.0510740746363001</v>
      </c>
      <c r="BN34" s="848">
        <v>1.0510740746363001</v>
      </c>
      <c r="BO34" s="848">
        <v>1.0510740746363001</v>
      </c>
      <c r="BP34" s="848">
        <v>1.0510740746363001</v>
      </c>
      <c r="BQ34" s="848">
        <v>1.0510740746363001</v>
      </c>
      <c r="BR34" s="848">
        <v>1.0510740746363001</v>
      </c>
      <c r="BS34" s="848">
        <v>1.0510740746363001</v>
      </c>
      <c r="BT34" s="848">
        <v>1.0510740746363001</v>
      </c>
      <c r="BU34" s="848">
        <v>1.0510740746363001</v>
      </c>
      <c r="BV34" s="848">
        <v>1.0510740746363001</v>
      </c>
      <c r="BW34" s="848">
        <v>1.0615848153826628</v>
      </c>
      <c r="BX34" s="848">
        <v>1.0615848153826628</v>
      </c>
      <c r="BY34" s="848">
        <v>1.0615848153826628</v>
      </c>
      <c r="BZ34" s="848">
        <v>1.0615848153826628</v>
      </c>
      <c r="CA34" s="848">
        <v>1.0615848153826628</v>
      </c>
      <c r="CB34" s="848">
        <v>1.0615848153826628</v>
      </c>
      <c r="CC34" s="848">
        <v>1.0615848153826628</v>
      </c>
      <c r="CD34" s="848">
        <v>1.0615848153826628</v>
      </c>
      <c r="CE34" s="848">
        <v>1.0615848153826628</v>
      </c>
      <c r="CF34" s="848">
        <v>1.0615848153826628</v>
      </c>
      <c r="CG34" s="848">
        <v>1.0615848153826628</v>
      </c>
      <c r="CH34" s="848">
        <v>1.0615848153826628</v>
      </c>
      <c r="CI34" s="848">
        <v>1.0722006635364896</v>
      </c>
      <c r="CJ34" s="848">
        <v>1.0722006635364896</v>
      </c>
      <c r="CK34" s="848">
        <v>1.0722006635364896</v>
      </c>
      <c r="CL34" s="848">
        <v>1.0722006635364896</v>
      </c>
      <c r="CM34" s="848">
        <v>1.0722006635364896</v>
      </c>
      <c r="CN34" s="848">
        <v>1.0722006635364896</v>
      </c>
      <c r="CO34" s="848">
        <v>1.0722006635364896</v>
      </c>
      <c r="CP34" s="848">
        <v>1.0722006635364896</v>
      </c>
      <c r="CQ34" s="848">
        <v>1.0722006635364896</v>
      </c>
      <c r="CR34" s="848">
        <v>1.0722006635364896</v>
      </c>
      <c r="CS34" s="848">
        <v>1.0722006635364896</v>
      </c>
      <c r="CT34" s="848">
        <v>1.0722006635364896</v>
      </c>
      <c r="CU34" s="848">
        <v>1.0829226701718544</v>
      </c>
      <c r="CV34" s="848">
        <v>1.0829226701718544</v>
      </c>
      <c r="CW34" s="848">
        <v>1.0829226701718544</v>
      </c>
      <c r="CX34" s="848">
        <v>1.0829226701718544</v>
      </c>
      <c r="CY34" s="848">
        <v>1.0829226701718544</v>
      </c>
      <c r="CZ34" s="848">
        <v>1.0829226701718544</v>
      </c>
      <c r="DA34" s="848">
        <v>1.0829226701718544</v>
      </c>
      <c r="DB34" s="848">
        <v>1.0829226701718544</v>
      </c>
      <c r="DC34" s="848">
        <v>1.0829226701718544</v>
      </c>
      <c r="DD34" s="848">
        <v>1.0829226701718544</v>
      </c>
      <c r="DE34" s="848">
        <v>1.0829226701718544</v>
      </c>
      <c r="DF34" s="848">
        <v>1.0829226701718544</v>
      </c>
      <c r="DG34" s="848">
        <v>1.0937518968735731</v>
      </c>
      <c r="DH34" s="848">
        <v>1.0937518968735731</v>
      </c>
      <c r="DI34" s="848">
        <v>1.0937518968735731</v>
      </c>
      <c r="DJ34" s="848">
        <v>1.0937518968735731</v>
      </c>
      <c r="DK34" s="848">
        <v>1.0937518968735731</v>
      </c>
      <c r="DL34" s="848">
        <v>1.0937518968735731</v>
      </c>
      <c r="DM34" s="848">
        <v>1.0937518968735731</v>
      </c>
      <c r="DN34" s="848">
        <v>1.0937518968735731</v>
      </c>
      <c r="DO34" s="848">
        <v>1.0937518968735731</v>
      </c>
      <c r="DP34" s="848">
        <v>1.0937518968735731</v>
      </c>
      <c r="DQ34" s="848">
        <v>1.0937518968735731</v>
      </c>
      <c r="DR34" s="848">
        <v>1.0937518968735731</v>
      </c>
      <c r="DS34" s="848">
        <v>1.1046894158423086</v>
      </c>
      <c r="DT34" s="848">
        <v>1.1046894158423086</v>
      </c>
      <c r="DU34" s="848">
        <v>1.1046894158423086</v>
      </c>
      <c r="DV34" s="848">
        <v>1.1046894158423086</v>
      </c>
      <c r="DW34" s="848">
        <v>1.1046894158423086</v>
      </c>
      <c r="DX34" s="848">
        <v>1.1046894158423086</v>
      </c>
      <c r="DY34" s="848">
        <v>1.1046894158423086</v>
      </c>
      <c r="DZ34" s="848">
        <v>1.1046894158423086</v>
      </c>
      <c r="EA34" s="848">
        <v>0</v>
      </c>
      <c r="EB34" s="848">
        <v>0</v>
      </c>
      <c r="EC34" s="848">
        <v>0</v>
      </c>
      <c r="ED34" s="848">
        <v>0</v>
      </c>
      <c r="EE34" s="848">
        <v>0</v>
      </c>
      <c r="EF34" s="848">
        <v>0</v>
      </c>
      <c r="EG34" s="848">
        <v>0</v>
      </c>
      <c r="EH34" s="848">
        <v>0</v>
      </c>
      <c r="EI34" s="848">
        <v>0</v>
      </c>
      <c r="EJ34" s="848">
        <v>0</v>
      </c>
      <c r="EK34" s="848">
        <v>0</v>
      </c>
      <c r="EL34" s="848">
        <v>0</v>
      </c>
    </row>
    <row r="35" spans="2:142" ht="13.5">
      <c r="B35" s="1000"/>
      <c r="C35" s="911" t="s">
        <v>386</v>
      </c>
      <c r="D35" s="911"/>
      <c r="F35" s="1001"/>
      <c r="G35" s="1001"/>
      <c r="H35" s="848">
        <f t="shared" si="13"/>
        <v>137.27127320397986</v>
      </c>
      <c r="I35" s="833"/>
      <c r="J35" s="848">
        <v>0</v>
      </c>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1.4428419898318015</v>
      </c>
      <c r="AN35" s="848">
        <v>1.4428419898318015</v>
      </c>
      <c r="AO35" s="848">
        <v>1.4428419898318015</v>
      </c>
      <c r="AP35" s="848">
        <v>1.4428419898318015</v>
      </c>
      <c r="AQ35" s="848">
        <v>1.4428419898318015</v>
      </c>
      <c r="AR35" s="848">
        <v>1.4428419898318015</v>
      </c>
      <c r="AS35" s="848">
        <v>1.4428419898318015</v>
      </c>
      <c r="AT35" s="848">
        <v>1.4428419898318015</v>
      </c>
      <c r="AU35" s="848">
        <v>1.4428419898318015</v>
      </c>
      <c r="AV35" s="848">
        <v>1.4428419898318015</v>
      </c>
      <c r="AW35" s="848">
        <v>1.4428419898318015</v>
      </c>
      <c r="AX35" s="848">
        <v>1.4428419898318015</v>
      </c>
      <c r="AY35" s="848">
        <v>1.4572704097301195</v>
      </c>
      <c r="AZ35" s="848">
        <v>1.4572704097301195</v>
      </c>
      <c r="BA35" s="848">
        <v>1.4572704097301195</v>
      </c>
      <c r="BB35" s="848">
        <v>1.4572704097301195</v>
      </c>
      <c r="BC35" s="848">
        <v>1.4572704097301195</v>
      </c>
      <c r="BD35" s="848">
        <v>1.4572704097301195</v>
      </c>
      <c r="BE35" s="848">
        <v>1.4572704097301195</v>
      </c>
      <c r="BF35" s="848">
        <v>1.4572704097301195</v>
      </c>
      <c r="BG35" s="848">
        <v>1.4572704097301195</v>
      </c>
      <c r="BH35" s="848">
        <v>1.4572704097301195</v>
      </c>
      <c r="BI35" s="848">
        <v>1.4572704097301195</v>
      </c>
      <c r="BJ35" s="848">
        <v>1.4572704097301195</v>
      </c>
      <c r="BK35" s="848">
        <v>1.4718431138274206</v>
      </c>
      <c r="BL35" s="848">
        <v>1.4718431138274206</v>
      </c>
      <c r="BM35" s="848">
        <v>1.4718431138274206</v>
      </c>
      <c r="BN35" s="848">
        <v>1.4718431138274206</v>
      </c>
      <c r="BO35" s="848">
        <v>1.4718431138274206</v>
      </c>
      <c r="BP35" s="848">
        <v>1.4718431138274206</v>
      </c>
      <c r="BQ35" s="848">
        <v>1.4718431138274206</v>
      </c>
      <c r="BR35" s="848">
        <v>1.4718431138274206</v>
      </c>
      <c r="BS35" s="848">
        <v>1.4718431138274206</v>
      </c>
      <c r="BT35" s="848">
        <v>1.4718431138274206</v>
      </c>
      <c r="BU35" s="848">
        <v>1.4718431138274206</v>
      </c>
      <c r="BV35" s="848">
        <v>1.4718431138274206</v>
      </c>
      <c r="BW35" s="848">
        <v>1.4865615449656948</v>
      </c>
      <c r="BX35" s="848">
        <v>1.4865615449656948</v>
      </c>
      <c r="BY35" s="848">
        <v>1.4865615449656948</v>
      </c>
      <c r="BZ35" s="848">
        <v>1.4865615449656948</v>
      </c>
      <c r="CA35" s="848">
        <v>1.4865615449656948</v>
      </c>
      <c r="CB35" s="848">
        <v>1.4865615449656948</v>
      </c>
      <c r="CC35" s="848">
        <v>1.4865615449656948</v>
      </c>
      <c r="CD35" s="848">
        <v>1.4865615449656948</v>
      </c>
      <c r="CE35" s="848">
        <v>1.4865615449656948</v>
      </c>
      <c r="CF35" s="848">
        <v>1.4865615449656948</v>
      </c>
      <c r="CG35" s="848">
        <v>1.4865615449656948</v>
      </c>
      <c r="CH35" s="848">
        <v>1.4865615449656948</v>
      </c>
      <c r="CI35" s="848">
        <v>1.501427160415352</v>
      </c>
      <c r="CJ35" s="848">
        <v>1.501427160415352</v>
      </c>
      <c r="CK35" s="848">
        <v>1.501427160415352</v>
      </c>
      <c r="CL35" s="848">
        <v>1.501427160415352</v>
      </c>
      <c r="CM35" s="848">
        <v>1.501427160415352</v>
      </c>
      <c r="CN35" s="848">
        <v>1.501427160415352</v>
      </c>
      <c r="CO35" s="848">
        <v>1.501427160415352</v>
      </c>
      <c r="CP35" s="848">
        <v>1.501427160415352</v>
      </c>
      <c r="CQ35" s="848">
        <v>1.501427160415352</v>
      </c>
      <c r="CR35" s="848">
        <v>1.501427160415352</v>
      </c>
      <c r="CS35" s="848">
        <v>1.501427160415352</v>
      </c>
      <c r="CT35" s="848">
        <v>1.501427160415352</v>
      </c>
      <c r="CU35" s="848">
        <v>1.5164414320195052</v>
      </c>
      <c r="CV35" s="848">
        <v>1.5164414320195052</v>
      </c>
      <c r="CW35" s="848">
        <v>1.5164414320195052</v>
      </c>
      <c r="CX35" s="848">
        <v>1.5164414320195052</v>
      </c>
      <c r="CY35" s="848">
        <v>1.5164414320195052</v>
      </c>
      <c r="CZ35" s="848">
        <v>1.5164414320195052</v>
      </c>
      <c r="DA35" s="848">
        <v>1.5164414320195052</v>
      </c>
      <c r="DB35" s="848">
        <v>1.5164414320195052</v>
      </c>
      <c r="DC35" s="848">
        <v>1.5164414320195052</v>
      </c>
      <c r="DD35" s="848">
        <v>1.5164414320195052</v>
      </c>
      <c r="DE35" s="848">
        <v>1.5164414320195052</v>
      </c>
      <c r="DF35" s="848">
        <v>1.5164414320195052</v>
      </c>
      <c r="DG35" s="848">
        <v>1.5316058463397006</v>
      </c>
      <c r="DH35" s="848">
        <v>1.5316058463397006</v>
      </c>
      <c r="DI35" s="848">
        <v>1.5316058463397006</v>
      </c>
      <c r="DJ35" s="848">
        <v>1.5316058463397006</v>
      </c>
      <c r="DK35" s="848">
        <v>1.5316058463397006</v>
      </c>
      <c r="DL35" s="848">
        <v>1.5316058463397006</v>
      </c>
      <c r="DM35" s="848">
        <v>1.5316058463397006</v>
      </c>
      <c r="DN35" s="848">
        <v>1.5316058463397006</v>
      </c>
      <c r="DO35" s="848">
        <v>1.5316058463397006</v>
      </c>
      <c r="DP35" s="848">
        <v>1.5316058463397006</v>
      </c>
      <c r="DQ35" s="848">
        <v>1.5316058463397006</v>
      </c>
      <c r="DR35" s="848">
        <v>1.5316058463397006</v>
      </c>
      <c r="DS35" s="848">
        <v>1.5469219048030971</v>
      </c>
      <c r="DT35" s="848">
        <v>1.5469219048030971</v>
      </c>
      <c r="DU35" s="848">
        <v>1.5469219048030971</v>
      </c>
      <c r="DV35" s="848">
        <v>1.5469219048030971</v>
      </c>
      <c r="DW35" s="848">
        <v>1.5469219048030971</v>
      </c>
      <c r="DX35" s="848">
        <v>1.5469219048030971</v>
      </c>
      <c r="DY35" s="848">
        <v>1.5469219048030971</v>
      </c>
      <c r="DZ35" s="848">
        <v>1.5469219048030971</v>
      </c>
      <c r="EA35" s="848">
        <v>0</v>
      </c>
      <c r="EB35" s="848">
        <v>0</v>
      </c>
      <c r="EC35" s="848">
        <v>0</v>
      </c>
      <c r="ED35" s="848">
        <v>0</v>
      </c>
      <c r="EE35" s="848">
        <v>0</v>
      </c>
      <c r="EF35" s="848">
        <v>0</v>
      </c>
      <c r="EG35" s="848">
        <v>0</v>
      </c>
      <c r="EH35" s="848">
        <v>0</v>
      </c>
      <c r="EI35" s="848">
        <v>0</v>
      </c>
      <c r="EJ35" s="848">
        <v>0</v>
      </c>
      <c r="EK35" s="848">
        <v>0</v>
      </c>
      <c r="EL35" s="848">
        <v>0</v>
      </c>
    </row>
    <row r="36" spans="2:142" s="833" customFormat="1" ht="13.5">
      <c r="B36" s="1000"/>
      <c r="C36" s="911" t="s">
        <v>935</v>
      </c>
      <c r="D36" s="911"/>
      <c r="F36" s="1001"/>
      <c r="G36" s="1001"/>
      <c r="H36" s="848">
        <f t="shared" si="13"/>
        <v>887.01688554237785</v>
      </c>
      <c r="J36" s="848">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0</v>
      </c>
      <c r="AN36" s="848">
        <v>0</v>
      </c>
      <c r="AO36" s="848">
        <v>0</v>
      </c>
      <c r="AP36" s="848">
        <v>0</v>
      </c>
      <c r="AQ36" s="848">
        <v>45.679528399999995</v>
      </c>
      <c r="AR36" s="848">
        <v>0</v>
      </c>
      <c r="AS36" s="848">
        <v>0</v>
      </c>
      <c r="AT36" s="848">
        <v>0</v>
      </c>
      <c r="AU36" s="848">
        <v>0</v>
      </c>
      <c r="AV36" s="848">
        <v>0</v>
      </c>
      <c r="AW36" s="848">
        <v>0</v>
      </c>
      <c r="AX36" s="848">
        <v>49.047217000000003</v>
      </c>
      <c r="AY36" s="848">
        <v>0</v>
      </c>
      <c r="AZ36" s="848">
        <v>0</v>
      </c>
      <c r="BA36" s="848">
        <v>0</v>
      </c>
      <c r="BB36" s="848">
        <v>0</v>
      </c>
      <c r="BC36" s="848">
        <v>50.247481239999999</v>
      </c>
      <c r="BD36" s="848">
        <v>0</v>
      </c>
      <c r="BE36" s="848">
        <v>0</v>
      </c>
      <c r="BF36" s="848">
        <v>0</v>
      </c>
      <c r="BG36" s="848">
        <v>0</v>
      </c>
      <c r="BH36" s="848">
        <v>0</v>
      </c>
      <c r="BI36" s="848">
        <v>0</v>
      </c>
      <c r="BJ36" s="848">
        <v>50.028161340000004</v>
      </c>
      <c r="BK36" s="848">
        <v>0</v>
      </c>
      <c r="BL36" s="848">
        <v>0</v>
      </c>
      <c r="BM36" s="848">
        <v>0</v>
      </c>
      <c r="BN36" s="848">
        <v>0</v>
      </c>
      <c r="BO36" s="848">
        <v>55.272229364000005</v>
      </c>
      <c r="BP36" s="848">
        <v>0</v>
      </c>
      <c r="BQ36" s="848">
        <v>0</v>
      </c>
      <c r="BR36" s="848">
        <v>0</v>
      </c>
      <c r="BS36" s="848">
        <v>0</v>
      </c>
      <c r="BT36" s="848">
        <v>0</v>
      </c>
      <c r="BU36" s="848">
        <v>0</v>
      </c>
      <c r="BV36" s="848">
        <v>51.028724566800001</v>
      </c>
      <c r="BW36" s="848">
        <v>0</v>
      </c>
      <c r="BX36" s="848">
        <v>0</v>
      </c>
      <c r="BY36" s="848">
        <v>0</v>
      </c>
      <c r="BZ36" s="848">
        <v>0</v>
      </c>
      <c r="CA36" s="848">
        <v>60.799452300400013</v>
      </c>
      <c r="CB36" s="848">
        <v>0</v>
      </c>
      <c r="CC36" s="848">
        <v>0</v>
      </c>
      <c r="CD36" s="848">
        <v>0</v>
      </c>
      <c r="CE36" s="848">
        <v>0</v>
      </c>
      <c r="CF36" s="848">
        <v>0</v>
      </c>
      <c r="CG36" s="848">
        <v>0</v>
      </c>
      <c r="CH36" s="848">
        <v>52.049299058136</v>
      </c>
      <c r="CI36" s="848">
        <v>0</v>
      </c>
      <c r="CJ36" s="848">
        <v>0</v>
      </c>
      <c r="CK36" s="848">
        <v>0</v>
      </c>
      <c r="CL36" s="848">
        <v>0</v>
      </c>
      <c r="CM36" s="848">
        <v>66.879397530440016</v>
      </c>
      <c r="CN36" s="848">
        <v>0</v>
      </c>
      <c r="CO36" s="848">
        <v>0</v>
      </c>
      <c r="CP36" s="848">
        <v>0</v>
      </c>
      <c r="CQ36" s="848">
        <v>0</v>
      </c>
      <c r="CR36" s="848">
        <v>0</v>
      </c>
      <c r="CS36" s="848">
        <v>0</v>
      </c>
      <c r="CT36" s="848">
        <v>53.09028503929872</v>
      </c>
      <c r="CU36" s="848">
        <v>0</v>
      </c>
      <c r="CV36" s="848">
        <v>0</v>
      </c>
      <c r="CW36" s="848">
        <v>0</v>
      </c>
      <c r="CX36" s="848">
        <v>0</v>
      </c>
      <c r="CY36" s="848">
        <v>73.567337283484022</v>
      </c>
      <c r="CZ36" s="848">
        <v>0</v>
      </c>
      <c r="DA36" s="848">
        <v>0</v>
      </c>
      <c r="DB36" s="848">
        <v>0</v>
      </c>
      <c r="DC36" s="848">
        <v>0</v>
      </c>
      <c r="DD36" s="848">
        <v>0</v>
      </c>
      <c r="DE36" s="848">
        <v>0</v>
      </c>
      <c r="DF36" s="848">
        <v>54.152090740084702</v>
      </c>
      <c r="DG36" s="848">
        <v>0</v>
      </c>
      <c r="DH36" s="848">
        <v>0</v>
      </c>
      <c r="DI36" s="848">
        <v>0</v>
      </c>
      <c r="DJ36" s="848">
        <v>0</v>
      </c>
      <c r="DK36" s="848">
        <v>80.924071011832424</v>
      </c>
      <c r="DL36" s="848">
        <v>0</v>
      </c>
      <c r="DM36" s="848">
        <v>0</v>
      </c>
      <c r="DN36" s="848">
        <v>0</v>
      </c>
      <c r="DO36" s="848">
        <v>0</v>
      </c>
      <c r="DP36" s="848">
        <v>0</v>
      </c>
      <c r="DQ36" s="848">
        <v>0</v>
      </c>
      <c r="DR36" s="848">
        <v>55.235132554886398</v>
      </c>
      <c r="DS36" s="848">
        <v>0</v>
      </c>
      <c r="DT36" s="848">
        <v>0</v>
      </c>
      <c r="DU36" s="848">
        <v>0</v>
      </c>
      <c r="DV36" s="848">
        <v>0</v>
      </c>
      <c r="DW36" s="848">
        <v>89.01647811301568</v>
      </c>
      <c r="DX36" s="848">
        <v>0</v>
      </c>
      <c r="DY36" s="848">
        <v>0</v>
      </c>
      <c r="DZ36" s="848">
        <v>0</v>
      </c>
      <c r="EA36" s="848">
        <v>0</v>
      </c>
      <c r="EB36" s="848">
        <v>0</v>
      </c>
      <c r="EC36" s="848">
        <v>0</v>
      </c>
      <c r="ED36" s="848">
        <v>0</v>
      </c>
      <c r="EE36" s="848">
        <v>0</v>
      </c>
      <c r="EF36" s="848">
        <v>0</v>
      </c>
      <c r="EG36" s="848">
        <v>0</v>
      </c>
      <c r="EH36" s="848">
        <v>0</v>
      </c>
      <c r="EI36" s="848">
        <v>0</v>
      </c>
      <c r="EJ36" s="848">
        <v>0</v>
      </c>
      <c r="EK36" s="848">
        <v>0</v>
      </c>
      <c r="EL36" s="848">
        <v>0</v>
      </c>
    </row>
    <row r="37" spans="2:142" ht="13.5">
      <c r="B37" s="1000"/>
      <c r="C37" s="911" t="s">
        <v>2159</v>
      </c>
      <c r="D37" s="911"/>
      <c r="F37" s="1001"/>
      <c r="G37" s="1001"/>
      <c r="H37" s="848">
        <f t="shared" si="13"/>
        <v>3849.1973326407187</v>
      </c>
      <c r="I37" s="833"/>
      <c r="J37" s="848">
        <v>0</v>
      </c>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84.192676138857962</v>
      </c>
      <c r="AN37" s="848">
        <v>0</v>
      </c>
      <c r="AO37" s="848">
        <v>0</v>
      </c>
      <c r="AP37" s="848">
        <v>0</v>
      </c>
      <c r="AQ37" s="848">
        <v>0</v>
      </c>
      <c r="AR37" s="848">
        <v>0</v>
      </c>
      <c r="AS37" s="848">
        <v>0</v>
      </c>
      <c r="AT37" s="848">
        <v>0</v>
      </c>
      <c r="AU37" s="848">
        <v>322.59923251254315</v>
      </c>
      <c r="AV37" s="848">
        <v>0</v>
      </c>
      <c r="AW37" s="848">
        <v>171.66311654520001</v>
      </c>
      <c r="AX37" s="848">
        <v>0</v>
      </c>
      <c r="AY37" s="848">
        <v>0</v>
      </c>
      <c r="AZ37" s="848">
        <v>0</v>
      </c>
      <c r="BA37" s="848">
        <v>0</v>
      </c>
      <c r="BB37" s="848">
        <v>0</v>
      </c>
      <c r="BC37" s="848">
        <v>0</v>
      </c>
      <c r="BD37" s="848">
        <v>0</v>
      </c>
      <c r="BE37" s="848">
        <v>0</v>
      </c>
      <c r="BF37" s="848">
        <v>0</v>
      </c>
      <c r="BG37" s="848">
        <v>320.68067654450874</v>
      </c>
      <c r="BH37" s="848">
        <v>0</v>
      </c>
      <c r="BI37" s="848">
        <v>175.09637887610398</v>
      </c>
      <c r="BJ37" s="848">
        <v>0</v>
      </c>
      <c r="BK37" s="848">
        <v>0</v>
      </c>
      <c r="BL37" s="848">
        <v>0</v>
      </c>
      <c r="BM37" s="848">
        <v>0</v>
      </c>
      <c r="BN37" s="848">
        <v>0</v>
      </c>
      <c r="BO37" s="848">
        <v>0</v>
      </c>
      <c r="BP37" s="848">
        <v>0</v>
      </c>
      <c r="BQ37" s="848">
        <v>0</v>
      </c>
      <c r="BR37" s="848">
        <v>0</v>
      </c>
      <c r="BS37" s="848">
        <v>318.42960367529952</v>
      </c>
      <c r="BT37" s="848">
        <v>0</v>
      </c>
      <c r="BU37" s="848">
        <v>178.59830645362607</v>
      </c>
      <c r="BV37" s="848">
        <v>0</v>
      </c>
      <c r="BW37" s="848">
        <v>0</v>
      </c>
      <c r="BX37" s="848">
        <v>0</v>
      </c>
      <c r="BY37" s="848">
        <v>0</v>
      </c>
      <c r="BZ37" s="848">
        <v>0</v>
      </c>
      <c r="CA37" s="848">
        <v>0</v>
      </c>
      <c r="CB37" s="848">
        <v>0</v>
      </c>
      <c r="CC37" s="848">
        <v>0</v>
      </c>
      <c r="CD37" s="848">
        <v>0</v>
      </c>
      <c r="CE37" s="848">
        <v>323.47066212790821</v>
      </c>
      <c r="CF37" s="848">
        <v>0</v>
      </c>
      <c r="CG37" s="848">
        <v>182.1702725826986</v>
      </c>
      <c r="CH37" s="848">
        <v>0</v>
      </c>
      <c r="CI37" s="848">
        <v>0</v>
      </c>
      <c r="CJ37" s="848">
        <v>0</v>
      </c>
      <c r="CK37" s="848">
        <v>0</v>
      </c>
      <c r="CL37" s="848">
        <v>0</v>
      </c>
      <c r="CM37" s="848">
        <v>0</v>
      </c>
      <c r="CN37" s="848">
        <v>0</v>
      </c>
      <c r="CO37" s="848">
        <v>0</v>
      </c>
      <c r="CP37" s="848">
        <v>0</v>
      </c>
      <c r="CQ37" s="848">
        <v>320.43298795747529</v>
      </c>
      <c r="CR37" s="848">
        <v>0</v>
      </c>
      <c r="CS37" s="848">
        <v>185.81367803435256</v>
      </c>
      <c r="CT37" s="848">
        <v>0</v>
      </c>
      <c r="CU37" s="848">
        <v>0</v>
      </c>
      <c r="CV37" s="848">
        <v>0</v>
      </c>
      <c r="CW37" s="848">
        <v>0</v>
      </c>
      <c r="CX37" s="848">
        <v>0</v>
      </c>
      <c r="CY37" s="848">
        <v>0</v>
      </c>
      <c r="CZ37" s="848">
        <v>0</v>
      </c>
      <c r="DA37" s="848">
        <v>0</v>
      </c>
      <c r="DB37" s="848">
        <v>0</v>
      </c>
      <c r="DC37" s="848">
        <v>317.00240516913055</v>
      </c>
      <c r="DD37" s="848">
        <v>0</v>
      </c>
      <c r="DE37" s="848">
        <v>189.52995159503968</v>
      </c>
      <c r="DF37" s="848">
        <v>0</v>
      </c>
      <c r="DG37" s="848">
        <v>0</v>
      </c>
      <c r="DH37" s="848">
        <v>0</v>
      </c>
      <c r="DI37" s="848">
        <v>0</v>
      </c>
      <c r="DJ37" s="848">
        <v>0</v>
      </c>
      <c r="DK37" s="848">
        <v>0</v>
      </c>
      <c r="DL37" s="848">
        <v>0</v>
      </c>
      <c r="DM37" s="848">
        <v>0</v>
      </c>
      <c r="DN37" s="848">
        <v>0</v>
      </c>
      <c r="DO37" s="848">
        <v>313.16009535789107</v>
      </c>
      <c r="DP37" s="848">
        <v>0</v>
      </c>
      <c r="DQ37" s="848">
        <v>193.32055062694045</v>
      </c>
      <c r="DR37" s="848">
        <v>0</v>
      </c>
      <c r="DS37" s="848">
        <v>0</v>
      </c>
      <c r="DT37" s="848">
        <v>0</v>
      </c>
      <c r="DU37" s="848">
        <v>0</v>
      </c>
      <c r="DV37" s="848">
        <v>0</v>
      </c>
      <c r="DW37" s="848">
        <v>0</v>
      </c>
      <c r="DX37" s="848">
        <v>0</v>
      </c>
      <c r="DY37" s="848">
        <v>0</v>
      </c>
      <c r="DZ37" s="848">
        <v>253.03673844314312</v>
      </c>
      <c r="EA37" s="848">
        <v>0</v>
      </c>
      <c r="EB37" s="848">
        <v>0</v>
      </c>
      <c r="EC37" s="848">
        <v>0</v>
      </c>
      <c r="ED37" s="848">
        <v>0</v>
      </c>
      <c r="EE37" s="848">
        <v>0</v>
      </c>
      <c r="EF37" s="848">
        <v>0</v>
      </c>
      <c r="EG37" s="848">
        <v>0</v>
      </c>
      <c r="EH37" s="848">
        <v>0</v>
      </c>
      <c r="EI37" s="848">
        <v>0</v>
      </c>
      <c r="EJ37" s="848">
        <v>0</v>
      </c>
      <c r="EK37" s="848">
        <v>0</v>
      </c>
      <c r="EL37" s="848">
        <v>0</v>
      </c>
    </row>
    <row r="38" spans="2:142" ht="13.5">
      <c r="B38" s="1000"/>
      <c r="C38" s="911" t="s">
        <v>2160</v>
      </c>
      <c r="D38" s="911"/>
      <c r="F38" s="1001"/>
      <c r="G38" s="1001"/>
      <c r="H38" s="848">
        <f>SUM(J38:EL38)</f>
        <v>254.8754124176385</v>
      </c>
      <c r="I38" s="833"/>
      <c r="J38" s="848">
        <v>0</v>
      </c>
      <c r="K38" s="848">
        <v>0</v>
      </c>
      <c r="L38" s="848">
        <v>0</v>
      </c>
      <c r="M38" s="848">
        <v>0</v>
      </c>
      <c r="N38" s="848">
        <v>0</v>
      </c>
      <c r="O38" s="848">
        <v>0</v>
      </c>
      <c r="P38" s="848">
        <v>0</v>
      </c>
      <c r="Q38" s="848">
        <v>0</v>
      </c>
      <c r="R38" s="848">
        <v>0</v>
      </c>
      <c r="S38" s="848">
        <v>0</v>
      </c>
      <c r="T38" s="848">
        <v>0</v>
      </c>
      <c r="U38" s="848">
        <v>0</v>
      </c>
      <c r="V38" s="848">
        <v>0</v>
      </c>
      <c r="W38" s="848">
        <v>0</v>
      </c>
      <c r="X38" s="848">
        <v>0</v>
      </c>
      <c r="Y38" s="848">
        <v>0</v>
      </c>
      <c r="Z38" s="848">
        <v>0</v>
      </c>
      <c r="AA38" s="848">
        <v>0</v>
      </c>
      <c r="AB38" s="848">
        <v>0</v>
      </c>
      <c r="AC38" s="848">
        <v>0</v>
      </c>
      <c r="AD38" s="848">
        <v>0</v>
      </c>
      <c r="AE38" s="848">
        <v>0</v>
      </c>
      <c r="AF38" s="848">
        <v>0</v>
      </c>
      <c r="AG38" s="848">
        <v>0</v>
      </c>
      <c r="AH38" s="848">
        <v>0</v>
      </c>
      <c r="AI38" s="848">
        <v>0</v>
      </c>
      <c r="AJ38" s="848">
        <v>0</v>
      </c>
      <c r="AK38" s="848">
        <v>0</v>
      </c>
      <c r="AL38" s="848">
        <v>0</v>
      </c>
      <c r="AM38" s="848">
        <v>0</v>
      </c>
      <c r="AN38" s="848">
        <v>0</v>
      </c>
      <c r="AO38" s="848">
        <v>3.6984834386405492</v>
      </c>
      <c r="AP38" s="848">
        <v>0</v>
      </c>
      <c r="AQ38" s="848">
        <v>0</v>
      </c>
      <c r="AR38" s="848">
        <v>6.6589427654438387</v>
      </c>
      <c r="AS38" s="848">
        <v>0</v>
      </c>
      <c r="AT38" s="848">
        <v>0</v>
      </c>
      <c r="AU38" s="848">
        <v>6.6589427654438378</v>
      </c>
      <c r="AV38" s="848">
        <v>0</v>
      </c>
      <c r="AW38" s="848">
        <v>0</v>
      </c>
      <c r="AX38" s="848">
        <v>6.7321179606684955</v>
      </c>
      <c r="AY38" s="848">
        <v>0</v>
      </c>
      <c r="AZ38" s="848">
        <v>0</v>
      </c>
      <c r="BA38" s="848">
        <v>6.7321179606684955</v>
      </c>
      <c r="BB38" s="848">
        <v>0</v>
      </c>
      <c r="BC38" s="848">
        <v>0</v>
      </c>
      <c r="BD38" s="848">
        <v>6.5857675702191809</v>
      </c>
      <c r="BE38" s="848">
        <v>0</v>
      </c>
      <c r="BF38" s="848">
        <v>0</v>
      </c>
      <c r="BG38" s="848">
        <v>6.6589427654438378</v>
      </c>
      <c r="BH38" s="848">
        <v>0</v>
      </c>
      <c r="BI38" s="848">
        <v>0</v>
      </c>
      <c r="BJ38" s="848">
        <v>6.7321179606684955</v>
      </c>
      <c r="BK38" s="848">
        <v>0</v>
      </c>
      <c r="BL38" s="848">
        <v>0</v>
      </c>
      <c r="BM38" s="848">
        <v>6.7321179606684955</v>
      </c>
      <c r="BN38" s="848">
        <v>0</v>
      </c>
      <c r="BO38" s="848">
        <v>0</v>
      </c>
      <c r="BP38" s="848">
        <v>6.5857675702191809</v>
      </c>
      <c r="BQ38" s="848">
        <v>0</v>
      </c>
      <c r="BR38" s="848">
        <v>0</v>
      </c>
      <c r="BS38" s="848">
        <v>6.6589427654438378</v>
      </c>
      <c r="BT38" s="848">
        <v>0</v>
      </c>
      <c r="BU38" s="848">
        <v>0</v>
      </c>
      <c r="BV38" s="848">
        <v>6.7321179606684955</v>
      </c>
      <c r="BW38" s="848">
        <v>0</v>
      </c>
      <c r="BX38" s="848">
        <v>0</v>
      </c>
      <c r="BY38" s="848">
        <v>6.7321179606684955</v>
      </c>
      <c r="BZ38" s="848">
        <v>0</v>
      </c>
      <c r="CA38" s="848">
        <v>0</v>
      </c>
      <c r="CB38" s="848">
        <v>6.5857675702191809</v>
      </c>
      <c r="CC38" s="848">
        <v>0</v>
      </c>
      <c r="CD38" s="848">
        <v>0</v>
      </c>
      <c r="CE38" s="848">
        <v>6.6589427654438378</v>
      </c>
      <c r="CF38" s="848">
        <v>0</v>
      </c>
      <c r="CG38" s="848">
        <v>0</v>
      </c>
      <c r="CH38" s="848">
        <v>6.7321179606684955</v>
      </c>
      <c r="CI38" s="848">
        <v>0</v>
      </c>
      <c r="CJ38" s="848">
        <v>0</v>
      </c>
      <c r="CK38" s="848">
        <v>6.7321179606684955</v>
      </c>
      <c r="CL38" s="848">
        <v>0</v>
      </c>
      <c r="CM38" s="848">
        <v>0</v>
      </c>
      <c r="CN38" s="848">
        <v>7.857943244464578</v>
      </c>
      <c r="CO38" s="848">
        <v>0</v>
      </c>
      <c r="CP38" s="848">
        <v>0</v>
      </c>
      <c r="CQ38" s="848">
        <v>10.178589332891814</v>
      </c>
      <c r="CR38" s="848">
        <v>0</v>
      </c>
      <c r="CS38" s="848">
        <v>0</v>
      </c>
      <c r="CT38" s="848">
        <v>10.290441962923593</v>
      </c>
      <c r="CU38" s="848">
        <v>0</v>
      </c>
      <c r="CV38" s="848">
        <v>0</v>
      </c>
      <c r="CW38" s="848">
        <v>10.525957584231001</v>
      </c>
      <c r="CX38" s="848">
        <v>0</v>
      </c>
      <c r="CY38" s="848">
        <v>0</v>
      </c>
      <c r="CZ38" s="848">
        <v>10.414218767084083</v>
      </c>
      <c r="DA38" s="848">
        <v>0</v>
      </c>
      <c r="DB38" s="848">
        <v>0</v>
      </c>
      <c r="DC38" s="848">
        <v>10.529932308940573</v>
      </c>
      <c r="DD38" s="848">
        <v>0</v>
      </c>
      <c r="DE38" s="848">
        <v>0</v>
      </c>
      <c r="DF38" s="848">
        <v>10.645645850797063</v>
      </c>
      <c r="DG38" s="848">
        <v>0</v>
      </c>
      <c r="DH38" s="848">
        <v>0</v>
      </c>
      <c r="DI38" s="848">
        <v>10.645645850797063</v>
      </c>
      <c r="DJ38" s="848">
        <v>0</v>
      </c>
      <c r="DK38" s="848">
        <v>0</v>
      </c>
      <c r="DL38" s="848">
        <v>10.414218767084083</v>
      </c>
      <c r="DM38" s="848">
        <v>0</v>
      </c>
      <c r="DN38" s="848">
        <v>0</v>
      </c>
      <c r="DO38" s="848">
        <v>10.529932308940573</v>
      </c>
      <c r="DP38" s="848">
        <v>0</v>
      </c>
      <c r="DQ38" s="848">
        <v>0</v>
      </c>
      <c r="DR38" s="848">
        <v>10.645645850797063</v>
      </c>
      <c r="DS38" s="848">
        <v>0</v>
      </c>
      <c r="DT38" s="848">
        <v>0</v>
      </c>
      <c r="DU38" s="848">
        <v>10.645645850797063</v>
      </c>
      <c r="DV38" s="848">
        <v>0</v>
      </c>
      <c r="DW38" s="848">
        <v>0</v>
      </c>
      <c r="DX38" s="848">
        <v>10.414218767084083</v>
      </c>
      <c r="DY38" s="848">
        <v>0</v>
      </c>
      <c r="DZ38" s="848">
        <v>10.529932308940658</v>
      </c>
      <c r="EA38" s="848">
        <v>0</v>
      </c>
      <c r="EB38" s="848">
        <v>0</v>
      </c>
      <c r="EC38" s="848">
        <v>0</v>
      </c>
      <c r="ED38" s="848">
        <v>0</v>
      </c>
      <c r="EE38" s="848">
        <v>0</v>
      </c>
      <c r="EF38" s="848">
        <v>0</v>
      </c>
      <c r="EG38" s="848">
        <v>0</v>
      </c>
      <c r="EH38" s="848">
        <v>0</v>
      </c>
      <c r="EI38" s="848">
        <v>0</v>
      </c>
      <c r="EJ38" s="848">
        <v>0</v>
      </c>
      <c r="EK38" s="848">
        <v>0</v>
      </c>
      <c r="EL38" s="848">
        <v>0</v>
      </c>
    </row>
    <row r="39" spans="2:142" s="833" customFormat="1" ht="13.5">
      <c r="B39" s="1000"/>
      <c r="C39" s="911" t="s">
        <v>939</v>
      </c>
      <c r="D39" s="911"/>
      <c r="F39" s="1001"/>
      <c r="G39" s="2341" t="s">
        <v>2161</v>
      </c>
      <c r="H39" s="848">
        <f t="shared" si="13"/>
        <v>1145.532563</v>
      </c>
      <c r="J39" s="848">
        <v>0</v>
      </c>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1145.532563</v>
      </c>
      <c r="AM39" s="848">
        <v>0</v>
      </c>
      <c r="AN39" s="848">
        <v>0</v>
      </c>
      <c r="AO39" s="848">
        <v>0</v>
      </c>
      <c r="AP39" s="848">
        <v>0</v>
      </c>
      <c r="AQ39" s="848">
        <v>0</v>
      </c>
      <c r="AR39" s="848">
        <v>0</v>
      </c>
      <c r="AS39" s="848">
        <v>0</v>
      </c>
      <c r="AT39" s="848">
        <v>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72" t="s">
        <v>2162</v>
      </c>
      <c r="D40" s="1001"/>
      <c r="F40" s="1001"/>
      <c r="G40" s="1001"/>
      <c r="H40" s="848">
        <f>SUM(J40:EL40)</f>
        <v>930</v>
      </c>
      <c r="J40" s="848">
        <v>0</v>
      </c>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2342">
        <v>0</v>
      </c>
      <c r="AM40" s="2342">
        <v>0</v>
      </c>
      <c r="AN40" s="2342">
        <v>0</v>
      </c>
      <c r="AO40" s="2342">
        <v>0</v>
      </c>
      <c r="AP40" s="2342">
        <v>0</v>
      </c>
      <c r="AQ40" s="2342">
        <v>0</v>
      </c>
      <c r="AR40" s="2342">
        <v>330</v>
      </c>
      <c r="AS40" s="2342">
        <v>0</v>
      </c>
      <c r="AT40" s="2342">
        <v>0</v>
      </c>
      <c r="AU40" s="2342">
        <v>0</v>
      </c>
      <c r="AV40" s="2342">
        <v>0</v>
      </c>
      <c r="AW40" s="2342">
        <v>0</v>
      </c>
      <c r="AX40" s="2342">
        <v>100</v>
      </c>
      <c r="AY40" s="2342">
        <v>0</v>
      </c>
      <c r="AZ40" s="2342">
        <v>0</v>
      </c>
      <c r="BA40" s="2342">
        <v>0</v>
      </c>
      <c r="BB40" s="2342">
        <v>0</v>
      </c>
      <c r="BC40" s="2342">
        <v>0</v>
      </c>
      <c r="BD40" s="2342">
        <v>100</v>
      </c>
      <c r="BE40" s="2342">
        <v>0</v>
      </c>
      <c r="BF40" s="2342">
        <v>0</v>
      </c>
      <c r="BG40" s="2342">
        <v>0</v>
      </c>
      <c r="BH40" s="2342">
        <v>0</v>
      </c>
      <c r="BI40" s="2342">
        <v>0</v>
      </c>
      <c r="BJ40" s="2342">
        <v>100</v>
      </c>
      <c r="BK40" s="2342">
        <v>0</v>
      </c>
      <c r="BL40" s="2342">
        <v>0</v>
      </c>
      <c r="BM40" s="2342">
        <v>0</v>
      </c>
      <c r="BN40" s="2342">
        <v>0</v>
      </c>
      <c r="BO40" s="2342">
        <v>0</v>
      </c>
      <c r="BP40" s="2342">
        <v>100</v>
      </c>
      <c r="BQ40" s="2342">
        <v>0</v>
      </c>
      <c r="BR40" s="2342">
        <v>0</v>
      </c>
      <c r="BS40" s="2342">
        <v>0</v>
      </c>
      <c r="BT40" s="2342">
        <v>0</v>
      </c>
      <c r="BU40" s="2342">
        <v>0</v>
      </c>
      <c r="BV40" s="2342">
        <v>100</v>
      </c>
      <c r="BW40" s="2342">
        <v>0</v>
      </c>
      <c r="BX40" s="2342">
        <v>0</v>
      </c>
      <c r="BY40" s="2342">
        <v>0</v>
      </c>
      <c r="BZ40" s="2342">
        <v>0</v>
      </c>
      <c r="CA40" s="2342">
        <v>0</v>
      </c>
      <c r="CB40" s="2342">
        <v>100</v>
      </c>
      <c r="CC40" s="2342">
        <v>0</v>
      </c>
      <c r="CD40" s="2342">
        <v>0</v>
      </c>
      <c r="CE40" s="2342">
        <v>0</v>
      </c>
      <c r="CF40" s="2342">
        <v>0</v>
      </c>
      <c r="CG40" s="2342">
        <v>0</v>
      </c>
      <c r="CH40" s="2342">
        <v>0</v>
      </c>
      <c r="CI40" s="2342">
        <v>0</v>
      </c>
      <c r="CJ40" s="2342">
        <v>0</v>
      </c>
      <c r="CK40" s="2342">
        <v>0</v>
      </c>
      <c r="CL40" s="2342">
        <v>0</v>
      </c>
      <c r="CM40" s="2342">
        <v>0</v>
      </c>
      <c r="CN40" s="2342">
        <v>0</v>
      </c>
      <c r="CO40" s="2342">
        <v>0</v>
      </c>
      <c r="CP40" s="2342">
        <v>0</v>
      </c>
      <c r="CQ40" s="2342">
        <v>0</v>
      </c>
      <c r="CR40" s="2342">
        <v>0</v>
      </c>
      <c r="CS40" s="2342">
        <v>0</v>
      </c>
      <c r="CT40" s="2342">
        <v>0</v>
      </c>
      <c r="CU40" s="2342">
        <v>0</v>
      </c>
      <c r="CV40" s="2342">
        <v>0</v>
      </c>
      <c r="CW40" s="2342">
        <v>0</v>
      </c>
      <c r="CX40" s="2342">
        <v>0</v>
      </c>
      <c r="CY40" s="2342">
        <v>0</v>
      </c>
      <c r="CZ40" s="2342">
        <v>0</v>
      </c>
      <c r="DA40" s="2342">
        <v>0</v>
      </c>
      <c r="DB40" s="2342">
        <v>0</v>
      </c>
      <c r="DC40" s="2342">
        <v>0</v>
      </c>
      <c r="DD40" s="2342">
        <v>0</v>
      </c>
      <c r="DE40" s="2342">
        <v>0</v>
      </c>
      <c r="DF40" s="2342">
        <v>0</v>
      </c>
      <c r="DG40" s="2342">
        <v>0</v>
      </c>
      <c r="DH40" s="2342">
        <v>0</v>
      </c>
      <c r="DI40" s="2342">
        <v>0</v>
      </c>
      <c r="DJ40" s="2342">
        <v>0</v>
      </c>
      <c r="DK40" s="2342">
        <v>0</v>
      </c>
      <c r="DL40" s="2342">
        <v>0</v>
      </c>
      <c r="DM40" s="2342">
        <v>0</v>
      </c>
      <c r="DN40" s="2342">
        <v>0</v>
      </c>
      <c r="DO40" s="2342">
        <v>0</v>
      </c>
      <c r="DP40" s="2342">
        <v>0</v>
      </c>
      <c r="DQ40" s="2342">
        <v>0</v>
      </c>
      <c r="DR40" s="2342">
        <v>0</v>
      </c>
      <c r="DS40" s="2342">
        <v>0</v>
      </c>
      <c r="DT40" s="2342">
        <v>0</v>
      </c>
      <c r="DU40" s="2342">
        <v>0</v>
      </c>
      <c r="DV40" s="2342">
        <v>0</v>
      </c>
      <c r="DW40" s="2342">
        <v>0</v>
      </c>
      <c r="DX40" s="2342">
        <v>0</v>
      </c>
      <c r="DY40" s="2342">
        <v>0</v>
      </c>
      <c r="DZ40" s="2342">
        <v>0</v>
      </c>
      <c r="EA40" s="2342">
        <v>0</v>
      </c>
      <c r="EB40" s="2342">
        <v>0</v>
      </c>
      <c r="EC40" s="2342">
        <v>0</v>
      </c>
      <c r="ED40" s="2342">
        <v>0</v>
      </c>
      <c r="EE40" s="2342">
        <v>0</v>
      </c>
      <c r="EF40" s="2342">
        <v>0</v>
      </c>
      <c r="EG40" s="2342">
        <v>0</v>
      </c>
      <c r="EH40" s="2342">
        <v>0</v>
      </c>
      <c r="EI40" s="2342">
        <v>0</v>
      </c>
      <c r="EJ40" s="2342">
        <v>0</v>
      </c>
      <c r="EK40" s="2342">
        <v>0</v>
      </c>
      <c r="EL40" s="2342">
        <v>0</v>
      </c>
    </row>
    <row r="41" spans="2:142" s="833" customFormat="1" ht="13.5">
      <c r="B41" s="1000"/>
      <c r="C41" s="911" t="s">
        <v>940</v>
      </c>
      <c r="D41" s="1001"/>
      <c r="F41" s="1001"/>
      <c r="G41" s="1001"/>
      <c r="H41" s="848">
        <f>SUM(J41:EL41)</f>
        <v>12067.269365033935</v>
      </c>
      <c r="J41" s="848">
        <v>0</v>
      </c>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12067.269365033935</v>
      </c>
      <c r="EA41" s="848">
        <v>0</v>
      </c>
      <c r="EB41" s="848">
        <v>0</v>
      </c>
      <c r="EC41" s="848">
        <v>0</v>
      </c>
      <c r="ED41" s="848">
        <v>0</v>
      </c>
      <c r="EE41" s="848">
        <v>0</v>
      </c>
      <c r="EF41" s="848">
        <v>0</v>
      </c>
      <c r="EG41" s="848">
        <v>0</v>
      </c>
      <c r="EH41" s="848">
        <v>0</v>
      </c>
      <c r="EI41" s="848">
        <v>0</v>
      </c>
      <c r="EJ41" s="848">
        <v>0</v>
      </c>
      <c r="EK41" s="848">
        <v>0</v>
      </c>
      <c r="EL41" s="848">
        <v>0</v>
      </c>
    </row>
    <row r="42" spans="2:142" s="833" customFormat="1" ht="13.5">
      <c r="B42" s="1000"/>
      <c r="C42" s="911" t="s">
        <v>795</v>
      </c>
      <c r="D42" s="1001"/>
      <c r="F42" s="1001"/>
      <c r="G42" s="1001"/>
      <c r="H42" s="848">
        <f t="shared" si="13"/>
        <v>118218.33333333317</v>
      </c>
      <c r="J42" s="848">
        <v>0</v>
      </c>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1849.5833333333333</v>
      </c>
      <c r="AO42" s="848">
        <v>0</v>
      </c>
      <c r="AP42" s="848">
        <v>0</v>
      </c>
      <c r="AQ42" s="848">
        <v>2774.375</v>
      </c>
      <c r="AR42" s="848">
        <v>0</v>
      </c>
      <c r="AS42" s="848">
        <v>0</v>
      </c>
      <c r="AT42" s="848">
        <v>2774.375</v>
      </c>
      <c r="AU42" s="848">
        <v>0</v>
      </c>
      <c r="AV42" s="848">
        <v>0</v>
      </c>
      <c r="AW42" s="848">
        <v>4860</v>
      </c>
      <c r="AX42" s="848">
        <v>0</v>
      </c>
      <c r="AY42" s="848">
        <v>0</v>
      </c>
      <c r="AZ42" s="848">
        <v>4860</v>
      </c>
      <c r="BA42" s="848">
        <v>0</v>
      </c>
      <c r="BB42" s="848">
        <v>0</v>
      </c>
      <c r="BC42" s="848">
        <v>4860</v>
      </c>
      <c r="BD42" s="848">
        <v>0</v>
      </c>
      <c r="BE42" s="848">
        <v>0</v>
      </c>
      <c r="BF42" s="848">
        <v>4860</v>
      </c>
      <c r="BG42" s="848">
        <v>0</v>
      </c>
      <c r="BH42" s="848">
        <v>0</v>
      </c>
      <c r="BI42" s="848">
        <v>4860</v>
      </c>
      <c r="BJ42" s="848">
        <v>0</v>
      </c>
      <c r="BK42" s="848">
        <v>0</v>
      </c>
      <c r="BL42" s="848">
        <v>4860</v>
      </c>
      <c r="BM42" s="848">
        <v>0</v>
      </c>
      <c r="BN42" s="848">
        <v>0</v>
      </c>
      <c r="BO42" s="848">
        <v>4860</v>
      </c>
      <c r="BP42" s="848">
        <v>0</v>
      </c>
      <c r="BQ42" s="848">
        <v>0</v>
      </c>
      <c r="BR42" s="848">
        <v>4860</v>
      </c>
      <c r="BS42" s="848">
        <v>0</v>
      </c>
      <c r="BT42" s="848">
        <v>0</v>
      </c>
      <c r="BU42" s="848">
        <v>3948.75</v>
      </c>
      <c r="BV42" s="848">
        <v>0</v>
      </c>
      <c r="BW42" s="848">
        <v>0</v>
      </c>
      <c r="BX42" s="848">
        <v>3948.75</v>
      </c>
      <c r="BY42" s="848">
        <v>0</v>
      </c>
      <c r="BZ42" s="848">
        <v>0</v>
      </c>
      <c r="CA42" s="848">
        <v>3948.75</v>
      </c>
      <c r="CB42" s="848">
        <v>0</v>
      </c>
      <c r="CC42" s="848">
        <v>0</v>
      </c>
      <c r="CD42" s="848">
        <v>3948.75</v>
      </c>
      <c r="CE42" s="848">
        <v>0</v>
      </c>
      <c r="CF42" s="848">
        <v>0</v>
      </c>
      <c r="CG42" s="848">
        <v>3948.75</v>
      </c>
      <c r="CH42" s="848">
        <v>0</v>
      </c>
      <c r="CI42" s="848">
        <v>0</v>
      </c>
      <c r="CJ42" s="848">
        <v>3948.75</v>
      </c>
      <c r="CK42" s="848">
        <v>0</v>
      </c>
      <c r="CL42" s="848">
        <v>0</v>
      </c>
      <c r="CM42" s="848">
        <v>3948.75</v>
      </c>
      <c r="CN42" s="848">
        <v>0</v>
      </c>
      <c r="CO42" s="848">
        <v>0</v>
      </c>
      <c r="CP42" s="848">
        <v>3948.75</v>
      </c>
      <c r="CQ42" s="848">
        <v>0</v>
      </c>
      <c r="CR42" s="848">
        <v>0</v>
      </c>
      <c r="CS42" s="848">
        <v>3362.5</v>
      </c>
      <c r="CT42" s="848">
        <v>0</v>
      </c>
      <c r="CU42" s="848">
        <v>0</v>
      </c>
      <c r="CV42" s="848">
        <v>3362.5</v>
      </c>
      <c r="CW42" s="848">
        <v>0</v>
      </c>
      <c r="CX42" s="848">
        <v>0</v>
      </c>
      <c r="CY42" s="848">
        <v>3362.5</v>
      </c>
      <c r="CZ42" s="848">
        <v>0</v>
      </c>
      <c r="DA42" s="848">
        <v>0</v>
      </c>
      <c r="DB42" s="848">
        <v>3362.5</v>
      </c>
      <c r="DC42" s="848">
        <v>0</v>
      </c>
      <c r="DD42" s="848">
        <v>0</v>
      </c>
      <c r="DE42" s="848">
        <v>3362.5</v>
      </c>
      <c r="DF42" s="848">
        <v>0</v>
      </c>
      <c r="DG42" s="848">
        <v>0</v>
      </c>
      <c r="DH42" s="848">
        <v>3362.5</v>
      </c>
      <c r="DI42" s="848">
        <v>0</v>
      </c>
      <c r="DJ42" s="848">
        <v>0</v>
      </c>
      <c r="DK42" s="848">
        <v>3362.5</v>
      </c>
      <c r="DL42" s="848">
        <v>0</v>
      </c>
      <c r="DM42" s="848">
        <v>0</v>
      </c>
      <c r="DN42" s="848">
        <v>3362.5</v>
      </c>
      <c r="DO42" s="848">
        <v>0</v>
      </c>
      <c r="DP42" s="848">
        <v>0</v>
      </c>
      <c r="DQ42" s="848">
        <v>3362.5</v>
      </c>
      <c r="DR42" s="848">
        <v>0</v>
      </c>
      <c r="DS42" s="848">
        <v>0</v>
      </c>
      <c r="DT42" s="848">
        <v>3362.5</v>
      </c>
      <c r="DU42" s="848">
        <v>0</v>
      </c>
      <c r="DV42" s="848">
        <v>0</v>
      </c>
      <c r="DW42" s="848">
        <v>3362.5</v>
      </c>
      <c r="DX42" s="848">
        <v>0</v>
      </c>
      <c r="DY42" s="848">
        <v>0</v>
      </c>
      <c r="DZ42" s="848">
        <v>3362.4999999998399</v>
      </c>
      <c r="EA42" s="848">
        <v>0</v>
      </c>
      <c r="EB42" s="848">
        <v>0</v>
      </c>
      <c r="EC42" s="848">
        <v>0</v>
      </c>
      <c r="ED42" s="848">
        <v>0</v>
      </c>
      <c r="EE42" s="848">
        <v>0</v>
      </c>
      <c r="EF42" s="848">
        <v>0</v>
      </c>
      <c r="EG42" s="848">
        <v>0</v>
      </c>
      <c r="EH42" s="848">
        <v>0</v>
      </c>
      <c r="EI42" s="848">
        <v>0</v>
      </c>
      <c r="EJ42" s="848">
        <v>0</v>
      </c>
      <c r="EK42" s="848">
        <v>0</v>
      </c>
      <c r="EL42" s="848">
        <v>0</v>
      </c>
    </row>
    <row r="43" spans="2:142" s="833" customFormat="1" ht="13.5">
      <c r="B43" s="1000"/>
      <c r="C43" s="911" t="s">
        <v>796</v>
      </c>
      <c r="D43" s="1001"/>
      <c r="F43" s="1001"/>
      <c r="G43" s="1001"/>
      <c r="H43" s="848">
        <f>SUM(J43:EL43)</f>
        <v>14296</v>
      </c>
      <c r="J43" s="848">
        <v>0</v>
      </c>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454</v>
      </c>
      <c r="AO43" s="848">
        <v>0</v>
      </c>
      <c r="AP43" s="848">
        <v>0</v>
      </c>
      <c r="AQ43" s="848">
        <v>681</v>
      </c>
      <c r="AR43" s="848">
        <v>0</v>
      </c>
      <c r="AS43" s="848">
        <v>0</v>
      </c>
      <c r="AT43" s="848">
        <v>681</v>
      </c>
      <c r="AU43" s="848">
        <v>0</v>
      </c>
      <c r="AV43" s="848">
        <v>0</v>
      </c>
      <c r="AW43" s="848">
        <v>910.00000000000011</v>
      </c>
      <c r="AX43" s="848">
        <v>0</v>
      </c>
      <c r="AY43" s="848">
        <v>0</v>
      </c>
      <c r="AZ43" s="848">
        <v>910.00000000000011</v>
      </c>
      <c r="BA43" s="848">
        <v>0</v>
      </c>
      <c r="BB43" s="848">
        <v>0</v>
      </c>
      <c r="BC43" s="848">
        <v>910.00000000000011</v>
      </c>
      <c r="BD43" s="848">
        <v>0</v>
      </c>
      <c r="BE43" s="848">
        <v>0</v>
      </c>
      <c r="BF43" s="848">
        <v>910.00000000000011</v>
      </c>
      <c r="BG43" s="848">
        <v>0</v>
      </c>
      <c r="BH43" s="848">
        <v>0</v>
      </c>
      <c r="BI43" s="848">
        <v>910.00000000000011</v>
      </c>
      <c r="BJ43" s="848">
        <v>0</v>
      </c>
      <c r="BK43" s="848">
        <v>0</v>
      </c>
      <c r="BL43" s="848">
        <v>910.00000000000011</v>
      </c>
      <c r="BM43" s="848">
        <v>0</v>
      </c>
      <c r="BN43" s="848">
        <v>0</v>
      </c>
      <c r="BO43" s="848">
        <v>910.00000000000011</v>
      </c>
      <c r="BP43" s="848">
        <v>0</v>
      </c>
      <c r="BQ43" s="848">
        <v>0</v>
      </c>
      <c r="BR43" s="848">
        <v>910.00000000000011</v>
      </c>
      <c r="BS43" s="848">
        <v>0</v>
      </c>
      <c r="BT43" s="848">
        <v>0</v>
      </c>
      <c r="BU43" s="848">
        <v>650</v>
      </c>
      <c r="BV43" s="848">
        <v>0</v>
      </c>
      <c r="BW43" s="848">
        <v>0</v>
      </c>
      <c r="BX43" s="848">
        <v>650</v>
      </c>
      <c r="BY43" s="848">
        <v>0</v>
      </c>
      <c r="BZ43" s="848">
        <v>0</v>
      </c>
      <c r="CA43" s="848">
        <v>650</v>
      </c>
      <c r="CB43" s="848">
        <v>0</v>
      </c>
      <c r="CC43" s="848">
        <v>0</v>
      </c>
      <c r="CD43" s="848">
        <v>650</v>
      </c>
      <c r="CE43" s="848">
        <v>0</v>
      </c>
      <c r="CF43" s="848">
        <v>0</v>
      </c>
      <c r="CG43" s="848">
        <v>650</v>
      </c>
      <c r="CH43" s="848">
        <v>0</v>
      </c>
      <c r="CI43" s="848">
        <v>0</v>
      </c>
      <c r="CJ43" s="848">
        <v>650</v>
      </c>
      <c r="CK43" s="848">
        <v>0</v>
      </c>
      <c r="CL43" s="848">
        <v>0</v>
      </c>
      <c r="CM43" s="848">
        <v>650</v>
      </c>
      <c r="CN43" s="848">
        <v>0</v>
      </c>
      <c r="CO43" s="848">
        <v>0</v>
      </c>
      <c r="CP43" s="848">
        <v>650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0</v>
      </c>
      <c r="EA43" s="848">
        <v>0</v>
      </c>
      <c r="EB43" s="848">
        <v>0</v>
      </c>
      <c r="EC43" s="848">
        <v>0</v>
      </c>
      <c r="ED43" s="848">
        <v>0</v>
      </c>
      <c r="EE43" s="848">
        <v>0</v>
      </c>
      <c r="EF43" s="848">
        <v>0</v>
      </c>
      <c r="EG43" s="848">
        <v>0</v>
      </c>
      <c r="EH43" s="848">
        <v>0</v>
      </c>
      <c r="EI43" s="848">
        <v>0</v>
      </c>
      <c r="EJ43" s="848">
        <v>0</v>
      </c>
      <c r="EK43" s="848">
        <v>0</v>
      </c>
      <c r="EL43" s="848">
        <v>0</v>
      </c>
    </row>
    <row r="44" spans="2:142" s="833" customFormat="1" ht="13.5">
      <c r="B44" s="1000"/>
      <c r="C44" s="911" t="s">
        <v>797</v>
      </c>
      <c r="D44" s="1001"/>
      <c r="F44" s="1001"/>
      <c r="G44" s="1001"/>
      <c r="H44" s="848">
        <f t="shared" si="13"/>
        <v>0</v>
      </c>
      <c r="J44" s="848">
        <v>0</v>
      </c>
      <c r="K44" s="848">
        <v>0</v>
      </c>
      <c r="L44" s="848">
        <v>0</v>
      </c>
      <c r="M44" s="848">
        <v>0</v>
      </c>
      <c r="N44" s="848">
        <v>0</v>
      </c>
      <c r="O44" s="848">
        <v>0</v>
      </c>
      <c r="P44" s="848">
        <v>0</v>
      </c>
      <c r="Q44" s="848">
        <v>0</v>
      </c>
      <c r="R44" s="848">
        <v>0</v>
      </c>
      <c r="S44" s="848">
        <v>0</v>
      </c>
      <c r="T44" s="848">
        <v>0</v>
      </c>
      <c r="U44" s="848">
        <v>0</v>
      </c>
      <c r="V44" s="848">
        <v>0</v>
      </c>
      <c r="W44" s="848">
        <v>0</v>
      </c>
      <c r="X44" s="848">
        <v>0</v>
      </c>
      <c r="Y44" s="848">
        <v>0</v>
      </c>
      <c r="Z44" s="848">
        <v>0</v>
      </c>
      <c r="AA44" s="848">
        <v>0</v>
      </c>
      <c r="AB44" s="848">
        <v>0</v>
      </c>
      <c r="AC44" s="848">
        <v>0</v>
      </c>
      <c r="AD44" s="848">
        <v>0</v>
      </c>
      <c r="AE44" s="848">
        <v>0</v>
      </c>
      <c r="AF44" s="848">
        <v>0</v>
      </c>
      <c r="AG44" s="848">
        <v>0</v>
      </c>
      <c r="AH44" s="848">
        <v>0</v>
      </c>
      <c r="AI44" s="848">
        <v>0</v>
      </c>
      <c r="AJ44" s="848">
        <v>0</v>
      </c>
      <c r="AK44" s="848">
        <v>0</v>
      </c>
      <c r="AL44" s="848">
        <v>0</v>
      </c>
      <c r="AM44" s="848">
        <v>0</v>
      </c>
      <c r="AN44" s="848">
        <v>0</v>
      </c>
      <c r="AO44" s="848">
        <v>0</v>
      </c>
      <c r="AP44" s="848">
        <v>0</v>
      </c>
      <c r="AQ44" s="848">
        <v>0</v>
      </c>
      <c r="AR44" s="848">
        <v>0</v>
      </c>
      <c r="AS44" s="848">
        <v>0</v>
      </c>
      <c r="AT44" s="848">
        <v>0</v>
      </c>
      <c r="AU44" s="848">
        <v>0</v>
      </c>
      <c r="AV44" s="848">
        <v>0</v>
      </c>
      <c r="AW44" s="848">
        <v>0</v>
      </c>
      <c r="AX44" s="848">
        <v>0</v>
      </c>
      <c r="AY44" s="848">
        <v>0</v>
      </c>
      <c r="AZ44" s="848">
        <v>0</v>
      </c>
      <c r="BA44" s="848">
        <v>0</v>
      </c>
      <c r="BB44" s="848">
        <v>0</v>
      </c>
      <c r="BC44" s="848">
        <v>0</v>
      </c>
      <c r="BD44" s="848">
        <v>0</v>
      </c>
      <c r="BE44" s="848">
        <v>0</v>
      </c>
      <c r="BF44" s="848">
        <v>0</v>
      </c>
      <c r="BG44" s="848">
        <v>0</v>
      </c>
      <c r="BH44" s="848">
        <v>0</v>
      </c>
      <c r="BI44" s="848">
        <v>0</v>
      </c>
      <c r="BJ44" s="848">
        <v>0</v>
      </c>
      <c r="BK44" s="848">
        <v>0</v>
      </c>
      <c r="BL44" s="848">
        <v>0</v>
      </c>
      <c r="BM44" s="848">
        <v>0</v>
      </c>
      <c r="BN44" s="848">
        <v>0</v>
      </c>
      <c r="BO44" s="848">
        <v>0</v>
      </c>
      <c r="BP44" s="848">
        <v>0</v>
      </c>
      <c r="BQ44" s="848">
        <v>0</v>
      </c>
      <c r="BR44" s="848">
        <v>0</v>
      </c>
      <c r="BS44" s="848">
        <v>0</v>
      </c>
      <c r="BT44" s="848">
        <v>0</v>
      </c>
      <c r="BU44" s="848">
        <v>0</v>
      </c>
      <c r="BV44" s="848">
        <v>0</v>
      </c>
      <c r="BW44" s="848">
        <v>0</v>
      </c>
      <c r="BX44" s="848">
        <v>0</v>
      </c>
      <c r="BY44" s="848">
        <v>0</v>
      </c>
      <c r="BZ44" s="848">
        <v>0</v>
      </c>
      <c r="CA44" s="848">
        <v>0</v>
      </c>
      <c r="CB44" s="848">
        <v>0</v>
      </c>
      <c r="CC44" s="848">
        <v>0</v>
      </c>
      <c r="CD44" s="848">
        <v>0</v>
      </c>
      <c r="CE44" s="848">
        <v>0</v>
      </c>
      <c r="CF44" s="848">
        <v>0</v>
      </c>
      <c r="CG44" s="848">
        <v>0</v>
      </c>
      <c r="CH44" s="848">
        <v>0</v>
      </c>
      <c r="CI44" s="848">
        <v>0</v>
      </c>
      <c r="CJ44" s="848">
        <v>0</v>
      </c>
      <c r="CK44" s="848">
        <v>0</v>
      </c>
      <c r="CL44" s="848">
        <v>0</v>
      </c>
      <c r="CM44" s="848">
        <v>0</v>
      </c>
      <c r="CN44" s="848">
        <v>0</v>
      </c>
      <c r="CO44" s="848">
        <v>0</v>
      </c>
      <c r="CP44" s="848">
        <v>0</v>
      </c>
      <c r="CQ44" s="848">
        <v>0</v>
      </c>
      <c r="CR44" s="848">
        <v>0</v>
      </c>
      <c r="CS44" s="848">
        <v>0</v>
      </c>
      <c r="CT44" s="848">
        <v>0</v>
      </c>
      <c r="CU44" s="848">
        <v>0</v>
      </c>
      <c r="CV44" s="848">
        <v>0</v>
      </c>
      <c r="CW44" s="848">
        <v>0</v>
      </c>
      <c r="CX44" s="848">
        <v>0</v>
      </c>
      <c r="CY44" s="848">
        <v>0</v>
      </c>
      <c r="CZ44" s="848">
        <v>0</v>
      </c>
      <c r="DA44" s="848">
        <v>0</v>
      </c>
      <c r="DB44" s="848">
        <v>0</v>
      </c>
      <c r="DC44" s="848">
        <v>0</v>
      </c>
      <c r="DD44" s="848">
        <v>0</v>
      </c>
      <c r="DE44" s="848">
        <v>0</v>
      </c>
      <c r="DF44" s="848">
        <v>0</v>
      </c>
      <c r="DG44" s="848">
        <v>0</v>
      </c>
      <c r="DH44" s="848">
        <v>0</v>
      </c>
      <c r="DI44" s="848">
        <v>0</v>
      </c>
      <c r="DJ44" s="848">
        <v>0</v>
      </c>
      <c r="DK44" s="848">
        <v>0</v>
      </c>
      <c r="DL44" s="848">
        <v>0</v>
      </c>
      <c r="DM44" s="848">
        <v>0</v>
      </c>
      <c r="DN44" s="848">
        <v>0</v>
      </c>
      <c r="DO44" s="848">
        <v>0</v>
      </c>
      <c r="DP44" s="848">
        <v>0</v>
      </c>
      <c r="DQ44" s="848">
        <v>0</v>
      </c>
      <c r="DR44" s="848">
        <v>0</v>
      </c>
      <c r="DS44" s="848">
        <v>0</v>
      </c>
      <c r="DT44" s="848">
        <v>0</v>
      </c>
      <c r="DU44" s="848">
        <v>0</v>
      </c>
      <c r="DV44" s="848">
        <v>0</v>
      </c>
      <c r="DW44" s="848">
        <v>0</v>
      </c>
      <c r="DX44" s="848">
        <v>0</v>
      </c>
      <c r="DY44" s="848">
        <v>0</v>
      </c>
      <c r="DZ44" s="848">
        <v>0</v>
      </c>
      <c r="EA44" s="848">
        <v>0</v>
      </c>
      <c r="EB44" s="848">
        <v>0</v>
      </c>
      <c r="EC44" s="848">
        <v>0</v>
      </c>
      <c r="ED44" s="848">
        <v>0</v>
      </c>
      <c r="EE44" s="848">
        <v>0</v>
      </c>
      <c r="EF44" s="848">
        <v>0</v>
      </c>
      <c r="EG44" s="848">
        <v>0</v>
      </c>
      <c r="EH44" s="848">
        <v>0</v>
      </c>
      <c r="EI44" s="848">
        <v>0</v>
      </c>
      <c r="EJ44" s="848">
        <v>0</v>
      </c>
      <c r="EK44" s="848">
        <v>0</v>
      </c>
      <c r="EL44" s="848">
        <v>0</v>
      </c>
    </row>
    <row r="45" spans="2:142" ht="13.5">
      <c r="B45" s="1000"/>
      <c r="C45" s="911" t="s">
        <v>798</v>
      </c>
      <c r="D45" s="1001"/>
      <c r="F45" s="1001"/>
      <c r="G45" s="1001"/>
      <c r="H45" s="848">
        <f t="shared" si="13"/>
        <v>0</v>
      </c>
      <c r="I45" s="833"/>
      <c r="J45" s="848">
        <v>0</v>
      </c>
      <c r="K45" s="848">
        <v>0</v>
      </c>
      <c r="L45" s="848">
        <v>0</v>
      </c>
      <c r="M45" s="848">
        <v>0</v>
      </c>
      <c r="N45" s="848">
        <v>0</v>
      </c>
      <c r="O45" s="848">
        <v>0</v>
      </c>
      <c r="P45" s="848">
        <v>0</v>
      </c>
      <c r="Q45" s="848">
        <v>0</v>
      </c>
      <c r="R45" s="848">
        <v>0</v>
      </c>
      <c r="S45" s="848">
        <v>0</v>
      </c>
      <c r="T45" s="848">
        <v>0</v>
      </c>
      <c r="U45" s="848">
        <v>0</v>
      </c>
      <c r="V45" s="848">
        <v>0</v>
      </c>
      <c r="W45" s="848">
        <v>0</v>
      </c>
      <c r="X45" s="848">
        <v>0</v>
      </c>
      <c r="Y45" s="848">
        <v>0</v>
      </c>
      <c r="Z45" s="848">
        <v>0</v>
      </c>
      <c r="AA45" s="848">
        <v>0</v>
      </c>
      <c r="AB45" s="848">
        <v>0</v>
      </c>
      <c r="AC45" s="848">
        <v>0</v>
      </c>
      <c r="AD45" s="848">
        <v>0</v>
      </c>
      <c r="AE45" s="848">
        <v>0</v>
      </c>
      <c r="AF45" s="848">
        <v>0</v>
      </c>
      <c r="AG45" s="848">
        <v>0</v>
      </c>
      <c r="AH45" s="848">
        <v>0</v>
      </c>
      <c r="AI45" s="848">
        <v>0</v>
      </c>
      <c r="AJ45" s="848">
        <v>0</v>
      </c>
      <c r="AK45" s="848">
        <v>0</v>
      </c>
      <c r="AL45" s="848">
        <v>0</v>
      </c>
      <c r="AM45" s="848">
        <v>0</v>
      </c>
      <c r="AN45" s="848">
        <v>0</v>
      </c>
      <c r="AO45" s="848">
        <v>0</v>
      </c>
      <c r="AP45" s="848">
        <v>0</v>
      </c>
      <c r="AQ45" s="848">
        <v>0</v>
      </c>
      <c r="AR45" s="848">
        <v>0</v>
      </c>
      <c r="AS45" s="848">
        <v>0</v>
      </c>
      <c r="AT45" s="848">
        <v>0</v>
      </c>
      <c r="AU45" s="848">
        <v>0</v>
      </c>
      <c r="AV45" s="848">
        <v>0</v>
      </c>
      <c r="AW45" s="848">
        <v>0</v>
      </c>
      <c r="AX45" s="848">
        <v>0</v>
      </c>
      <c r="AY45" s="848">
        <v>0</v>
      </c>
      <c r="AZ45" s="848">
        <v>0</v>
      </c>
      <c r="BA45" s="848">
        <v>0</v>
      </c>
      <c r="BB45" s="848">
        <v>0</v>
      </c>
      <c r="BC45" s="848">
        <v>0</v>
      </c>
      <c r="BD45" s="848">
        <v>0</v>
      </c>
      <c r="BE45" s="848">
        <v>0</v>
      </c>
      <c r="BF45" s="848">
        <v>0</v>
      </c>
      <c r="BG45" s="848">
        <v>0</v>
      </c>
      <c r="BH45" s="848">
        <v>0</v>
      </c>
      <c r="BI45" s="848">
        <v>0</v>
      </c>
      <c r="BJ45" s="848">
        <v>0</v>
      </c>
      <c r="BK45" s="848">
        <v>0</v>
      </c>
      <c r="BL45" s="848">
        <v>0</v>
      </c>
      <c r="BM45" s="848">
        <v>0</v>
      </c>
      <c r="BN45" s="848">
        <v>0</v>
      </c>
      <c r="BO45" s="848">
        <v>0</v>
      </c>
      <c r="BP45" s="848">
        <v>0</v>
      </c>
      <c r="BQ45" s="848">
        <v>0</v>
      </c>
      <c r="BR45" s="848">
        <v>0</v>
      </c>
      <c r="BS45" s="848">
        <v>0</v>
      </c>
      <c r="BT45" s="848">
        <v>0</v>
      </c>
      <c r="BU45" s="848">
        <v>0</v>
      </c>
      <c r="BV45" s="848">
        <v>0</v>
      </c>
      <c r="BW45" s="848">
        <v>0</v>
      </c>
      <c r="BX45" s="848">
        <v>0</v>
      </c>
      <c r="BY45" s="848">
        <v>0</v>
      </c>
      <c r="BZ45" s="848">
        <v>0</v>
      </c>
      <c r="CA45" s="848">
        <v>0</v>
      </c>
      <c r="CB45" s="848">
        <v>0</v>
      </c>
      <c r="CC45" s="848">
        <v>0</v>
      </c>
      <c r="CD45" s="848">
        <v>0</v>
      </c>
      <c r="CE45" s="848">
        <v>0</v>
      </c>
      <c r="CF45" s="848">
        <v>0</v>
      </c>
      <c r="CG45" s="848">
        <v>0</v>
      </c>
      <c r="CH45" s="848">
        <v>0</v>
      </c>
      <c r="CI45" s="848">
        <v>0</v>
      </c>
      <c r="CJ45" s="848">
        <v>0</v>
      </c>
      <c r="CK45" s="848">
        <v>0</v>
      </c>
      <c r="CL45" s="848">
        <v>0</v>
      </c>
      <c r="CM45" s="848">
        <v>0</v>
      </c>
      <c r="CN45" s="848">
        <v>0</v>
      </c>
      <c r="CO45" s="848">
        <v>0</v>
      </c>
      <c r="CP45" s="848">
        <v>0</v>
      </c>
      <c r="CQ45" s="848">
        <v>0</v>
      </c>
      <c r="CR45" s="848">
        <v>0</v>
      </c>
      <c r="CS45" s="848">
        <v>0</v>
      </c>
      <c r="CT45" s="848">
        <v>0</v>
      </c>
      <c r="CU45" s="848">
        <v>0</v>
      </c>
      <c r="CV45" s="848">
        <v>0</v>
      </c>
      <c r="CW45" s="848">
        <v>0</v>
      </c>
      <c r="CX45" s="848">
        <v>0</v>
      </c>
      <c r="CY45" s="848">
        <v>0</v>
      </c>
      <c r="CZ45" s="848">
        <v>0</v>
      </c>
      <c r="DA45" s="848">
        <v>0</v>
      </c>
      <c r="DB45" s="848">
        <v>0</v>
      </c>
      <c r="DC45" s="848">
        <v>0</v>
      </c>
      <c r="DD45" s="848">
        <v>0</v>
      </c>
      <c r="DE45" s="848">
        <v>0</v>
      </c>
      <c r="DF45" s="848">
        <v>0</v>
      </c>
      <c r="DG45" s="848">
        <v>0</v>
      </c>
      <c r="DH45" s="848">
        <v>0</v>
      </c>
      <c r="DI45" s="848">
        <v>0</v>
      </c>
      <c r="DJ45" s="848">
        <v>0</v>
      </c>
      <c r="DK45" s="848">
        <v>0</v>
      </c>
      <c r="DL45" s="848">
        <v>0</v>
      </c>
      <c r="DM45" s="848">
        <v>0</v>
      </c>
      <c r="DN45" s="848">
        <v>0</v>
      </c>
      <c r="DO45" s="848">
        <v>0</v>
      </c>
      <c r="DP45" s="848">
        <v>0</v>
      </c>
      <c r="DQ45" s="848">
        <v>0</v>
      </c>
      <c r="DR45" s="848">
        <v>0</v>
      </c>
      <c r="DS45" s="848">
        <v>0</v>
      </c>
      <c r="DT45" s="848">
        <v>0</v>
      </c>
      <c r="DU45" s="848">
        <v>0</v>
      </c>
      <c r="DV45" s="848">
        <v>0</v>
      </c>
      <c r="DW45" s="848">
        <v>0</v>
      </c>
      <c r="DX45" s="848">
        <v>0</v>
      </c>
      <c r="DY45" s="848">
        <v>0</v>
      </c>
      <c r="DZ45" s="848">
        <v>0</v>
      </c>
      <c r="EA45" s="848">
        <v>0</v>
      </c>
      <c r="EB45" s="848">
        <v>0</v>
      </c>
      <c r="EC45" s="848">
        <v>0</v>
      </c>
      <c r="ED45" s="848">
        <v>0</v>
      </c>
      <c r="EE45" s="848">
        <v>0</v>
      </c>
      <c r="EF45" s="848">
        <v>0</v>
      </c>
      <c r="EG45" s="848">
        <v>0</v>
      </c>
      <c r="EH45" s="848">
        <v>0</v>
      </c>
      <c r="EI45" s="848">
        <v>0</v>
      </c>
      <c r="EJ45" s="848">
        <v>0</v>
      </c>
      <c r="EK45" s="848">
        <v>0</v>
      </c>
      <c r="EL45" s="848">
        <v>0</v>
      </c>
    </row>
    <row r="46" spans="2:142" ht="13.5">
      <c r="B46" s="1000"/>
      <c r="C46" s="911" t="s">
        <v>941</v>
      </c>
      <c r="D46" s="1001"/>
      <c r="F46" s="1001"/>
      <c r="G46" s="1001"/>
      <c r="H46" s="848">
        <f t="shared" si="13"/>
        <v>0</v>
      </c>
      <c r="I46" s="833"/>
      <c r="J46" s="848">
        <f>J134</f>
        <v>0</v>
      </c>
      <c r="K46" s="848">
        <f>K134</f>
        <v>0</v>
      </c>
      <c r="L46" s="848">
        <f t="shared" ref="L46:BW46" si="14">L134</f>
        <v>0</v>
      </c>
      <c r="M46" s="848">
        <f t="shared" si="14"/>
        <v>0</v>
      </c>
      <c r="N46" s="848">
        <f t="shared" si="14"/>
        <v>0</v>
      </c>
      <c r="O46" s="848">
        <f t="shared" si="14"/>
        <v>0</v>
      </c>
      <c r="P46" s="848">
        <f t="shared" si="14"/>
        <v>0</v>
      </c>
      <c r="Q46" s="848">
        <f t="shared" si="14"/>
        <v>0</v>
      </c>
      <c r="R46" s="848">
        <f t="shared" si="14"/>
        <v>0</v>
      </c>
      <c r="S46" s="848">
        <f t="shared" si="14"/>
        <v>0</v>
      </c>
      <c r="T46" s="848">
        <f t="shared" si="14"/>
        <v>0</v>
      </c>
      <c r="U46" s="848">
        <f t="shared" si="14"/>
        <v>0</v>
      </c>
      <c r="V46" s="848">
        <f t="shared" si="14"/>
        <v>0</v>
      </c>
      <c r="W46" s="848">
        <f t="shared" si="14"/>
        <v>0</v>
      </c>
      <c r="X46" s="848">
        <f t="shared" si="14"/>
        <v>0</v>
      </c>
      <c r="Y46" s="848">
        <f t="shared" si="14"/>
        <v>0</v>
      </c>
      <c r="Z46" s="848">
        <f t="shared" si="14"/>
        <v>0</v>
      </c>
      <c r="AA46" s="848">
        <f t="shared" si="14"/>
        <v>0</v>
      </c>
      <c r="AB46" s="848">
        <f t="shared" si="14"/>
        <v>0</v>
      </c>
      <c r="AC46" s="848">
        <f t="shared" si="14"/>
        <v>0</v>
      </c>
      <c r="AD46" s="848">
        <f t="shared" si="14"/>
        <v>0</v>
      </c>
      <c r="AE46" s="848">
        <f t="shared" si="14"/>
        <v>0</v>
      </c>
      <c r="AF46" s="848">
        <f t="shared" si="14"/>
        <v>0</v>
      </c>
      <c r="AG46" s="848">
        <f t="shared" si="14"/>
        <v>0</v>
      </c>
      <c r="AH46" s="848">
        <f t="shared" si="14"/>
        <v>0</v>
      </c>
      <c r="AI46" s="848">
        <f t="shared" si="14"/>
        <v>0</v>
      </c>
      <c r="AJ46" s="848">
        <f t="shared" si="14"/>
        <v>0</v>
      </c>
      <c r="AK46" s="848">
        <f t="shared" si="14"/>
        <v>0</v>
      </c>
      <c r="AL46" s="848">
        <f t="shared" si="14"/>
        <v>0</v>
      </c>
      <c r="AM46" s="848">
        <f t="shared" si="14"/>
        <v>0</v>
      </c>
      <c r="AN46" s="848">
        <f t="shared" si="14"/>
        <v>0</v>
      </c>
      <c r="AO46" s="848">
        <f t="shared" si="14"/>
        <v>0</v>
      </c>
      <c r="AP46" s="848">
        <f t="shared" si="14"/>
        <v>0</v>
      </c>
      <c r="AQ46" s="848">
        <f t="shared" si="14"/>
        <v>0</v>
      </c>
      <c r="AR46" s="848">
        <f t="shared" si="14"/>
        <v>0</v>
      </c>
      <c r="AS46" s="848">
        <f t="shared" si="14"/>
        <v>0</v>
      </c>
      <c r="AT46" s="848">
        <f t="shared" si="14"/>
        <v>0</v>
      </c>
      <c r="AU46" s="848">
        <f t="shared" si="14"/>
        <v>0</v>
      </c>
      <c r="AV46" s="848">
        <f t="shared" si="14"/>
        <v>0</v>
      </c>
      <c r="AW46" s="848">
        <f t="shared" si="14"/>
        <v>0</v>
      </c>
      <c r="AX46" s="848">
        <f t="shared" si="14"/>
        <v>0</v>
      </c>
      <c r="AY46" s="848">
        <f t="shared" si="14"/>
        <v>0</v>
      </c>
      <c r="AZ46" s="848">
        <f t="shared" si="14"/>
        <v>0</v>
      </c>
      <c r="BA46" s="848">
        <f t="shared" si="14"/>
        <v>0</v>
      </c>
      <c r="BB46" s="848">
        <f t="shared" si="14"/>
        <v>0</v>
      </c>
      <c r="BC46" s="848">
        <f t="shared" si="14"/>
        <v>0</v>
      </c>
      <c r="BD46" s="848">
        <f t="shared" si="14"/>
        <v>0</v>
      </c>
      <c r="BE46" s="848">
        <f t="shared" si="14"/>
        <v>0</v>
      </c>
      <c r="BF46" s="848">
        <f t="shared" si="14"/>
        <v>0</v>
      </c>
      <c r="BG46" s="848">
        <f t="shared" si="14"/>
        <v>0</v>
      </c>
      <c r="BH46" s="848">
        <f t="shared" si="14"/>
        <v>0</v>
      </c>
      <c r="BI46" s="848">
        <f t="shared" si="14"/>
        <v>0</v>
      </c>
      <c r="BJ46" s="848">
        <f t="shared" si="14"/>
        <v>0</v>
      </c>
      <c r="BK46" s="848">
        <f t="shared" si="14"/>
        <v>0</v>
      </c>
      <c r="BL46" s="848">
        <f t="shared" si="14"/>
        <v>0</v>
      </c>
      <c r="BM46" s="848">
        <f t="shared" si="14"/>
        <v>0</v>
      </c>
      <c r="BN46" s="848">
        <f t="shared" si="14"/>
        <v>0</v>
      </c>
      <c r="BO46" s="848">
        <f t="shared" si="14"/>
        <v>0</v>
      </c>
      <c r="BP46" s="848">
        <f t="shared" si="14"/>
        <v>0</v>
      </c>
      <c r="BQ46" s="848">
        <f t="shared" si="14"/>
        <v>0</v>
      </c>
      <c r="BR46" s="848">
        <f t="shared" si="14"/>
        <v>0</v>
      </c>
      <c r="BS46" s="848">
        <f t="shared" si="14"/>
        <v>0</v>
      </c>
      <c r="BT46" s="848">
        <f t="shared" si="14"/>
        <v>0</v>
      </c>
      <c r="BU46" s="848">
        <f t="shared" si="14"/>
        <v>0</v>
      </c>
      <c r="BV46" s="848">
        <f t="shared" si="14"/>
        <v>0</v>
      </c>
      <c r="BW46" s="848">
        <f t="shared" si="14"/>
        <v>0</v>
      </c>
      <c r="BX46" s="848">
        <f t="shared" ref="BX46:EI46" si="15">BX134</f>
        <v>0</v>
      </c>
      <c r="BY46" s="848">
        <f t="shared" si="15"/>
        <v>0</v>
      </c>
      <c r="BZ46" s="848">
        <f t="shared" si="15"/>
        <v>0</v>
      </c>
      <c r="CA46" s="848">
        <f t="shared" si="15"/>
        <v>0</v>
      </c>
      <c r="CB46" s="848">
        <f t="shared" si="15"/>
        <v>0</v>
      </c>
      <c r="CC46" s="848">
        <f t="shared" si="15"/>
        <v>0</v>
      </c>
      <c r="CD46" s="848">
        <f t="shared" si="15"/>
        <v>0</v>
      </c>
      <c r="CE46" s="848">
        <f t="shared" si="15"/>
        <v>0</v>
      </c>
      <c r="CF46" s="848">
        <f t="shared" si="15"/>
        <v>0</v>
      </c>
      <c r="CG46" s="848">
        <f t="shared" si="15"/>
        <v>0</v>
      </c>
      <c r="CH46" s="848">
        <f t="shared" si="15"/>
        <v>0</v>
      </c>
      <c r="CI46" s="848">
        <f t="shared" si="15"/>
        <v>0</v>
      </c>
      <c r="CJ46" s="848">
        <f t="shared" si="15"/>
        <v>0</v>
      </c>
      <c r="CK46" s="848">
        <f t="shared" si="15"/>
        <v>0</v>
      </c>
      <c r="CL46" s="848">
        <f t="shared" si="15"/>
        <v>0</v>
      </c>
      <c r="CM46" s="848">
        <f t="shared" si="15"/>
        <v>0</v>
      </c>
      <c r="CN46" s="848">
        <f t="shared" si="15"/>
        <v>0</v>
      </c>
      <c r="CO46" s="848">
        <f t="shared" si="15"/>
        <v>0</v>
      </c>
      <c r="CP46" s="848">
        <f t="shared" si="15"/>
        <v>0</v>
      </c>
      <c r="CQ46" s="848">
        <f t="shared" si="15"/>
        <v>0</v>
      </c>
      <c r="CR46" s="848">
        <f t="shared" si="15"/>
        <v>0</v>
      </c>
      <c r="CS46" s="848">
        <f t="shared" si="15"/>
        <v>0</v>
      </c>
      <c r="CT46" s="848">
        <f t="shared" si="15"/>
        <v>0</v>
      </c>
      <c r="CU46" s="848">
        <f t="shared" si="15"/>
        <v>0</v>
      </c>
      <c r="CV46" s="848">
        <f t="shared" si="15"/>
        <v>0</v>
      </c>
      <c r="CW46" s="848">
        <f t="shared" si="15"/>
        <v>0</v>
      </c>
      <c r="CX46" s="848">
        <f t="shared" si="15"/>
        <v>0</v>
      </c>
      <c r="CY46" s="848">
        <f t="shared" si="15"/>
        <v>0</v>
      </c>
      <c r="CZ46" s="848">
        <f t="shared" si="15"/>
        <v>0</v>
      </c>
      <c r="DA46" s="848">
        <f t="shared" si="15"/>
        <v>0</v>
      </c>
      <c r="DB46" s="848">
        <f t="shared" si="15"/>
        <v>0</v>
      </c>
      <c r="DC46" s="848">
        <f t="shared" si="15"/>
        <v>0</v>
      </c>
      <c r="DD46" s="848">
        <f t="shared" si="15"/>
        <v>0</v>
      </c>
      <c r="DE46" s="848">
        <f t="shared" si="15"/>
        <v>0</v>
      </c>
      <c r="DF46" s="848">
        <f t="shared" si="15"/>
        <v>0</v>
      </c>
      <c r="DG46" s="848">
        <f t="shared" si="15"/>
        <v>0</v>
      </c>
      <c r="DH46" s="848">
        <f t="shared" si="15"/>
        <v>0</v>
      </c>
      <c r="DI46" s="848">
        <f t="shared" si="15"/>
        <v>0</v>
      </c>
      <c r="DJ46" s="848">
        <f t="shared" si="15"/>
        <v>0</v>
      </c>
      <c r="DK46" s="848">
        <f t="shared" si="15"/>
        <v>0</v>
      </c>
      <c r="DL46" s="848">
        <f t="shared" si="15"/>
        <v>0</v>
      </c>
      <c r="DM46" s="848">
        <f t="shared" si="15"/>
        <v>0</v>
      </c>
      <c r="DN46" s="848">
        <f t="shared" si="15"/>
        <v>0</v>
      </c>
      <c r="DO46" s="848">
        <f t="shared" si="15"/>
        <v>0</v>
      </c>
      <c r="DP46" s="848">
        <f t="shared" si="15"/>
        <v>0</v>
      </c>
      <c r="DQ46" s="848">
        <f t="shared" si="15"/>
        <v>0</v>
      </c>
      <c r="DR46" s="848">
        <f t="shared" si="15"/>
        <v>0</v>
      </c>
      <c r="DS46" s="848">
        <f t="shared" si="15"/>
        <v>0</v>
      </c>
      <c r="DT46" s="848">
        <f t="shared" si="15"/>
        <v>0</v>
      </c>
      <c r="DU46" s="848">
        <f t="shared" si="15"/>
        <v>0</v>
      </c>
      <c r="DV46" s="848">
        <f t="shared" si="15"/>
        <v>0</v>
      </c>
      <c r="DW46" s="848">
        <f t="shared" si="15"/>
        <v>0</v>
      </c>
      <c r="DX46" s="848">
        <f t="shared" si="15"/>
        <v>0</v>
      </c>
      <c r="DY46" s="848">
        <f t="shared" si="15"/>
        <v>0</v>
      </c>
      <c r="DZ46" s="848">
        <f t="shared" si="15"/>
        <v>0</v>
      </c>
      <c r="EA46" s="848">
        <f t="shared" si="15"/>
        <v>0</v>
      </c>
      <c r="EB46" s="848">
        <f t="shared" si="15"/>
        <v>0</v>
      </c>
      <c r="EC46" s="848">
        <f t="shared" si="15"/>
        <v>0</v>
      </c>
      <c r="ED46" s="848">
        <f t="shared" si="15"/>
        <v>0</v>
      </c>
      <c r="EE46" s="848">
        <f t="shared" si="15"/>
        <v>0</v>
      </c>
      <c r="EF46" s="848">
        <f t="shared" si="15"/>
        <v>0</v>
      </c>
      <c r="EG46" s="848">
        <f t="shared" si="15"/>
        <v>0</v>
      </c>
      <c r="EH46" s="848">
        <f t="shared" si="15"/>
        <v>0</v>
      </c>
      <c r="EI46" s="848">
        <f t="shared" si="15"/>
        <v>0</v>
      </c>
      <c r="EJ46" s="848">
        <f t="shared" ref="EJ46:EL46" si="16">EJ134</f>
        <v>0</v>
      </c>
      <c r="EK46" s="848">
        <f t="shared" si="16"/>
        <v>0</v>
      </c>
      <c r="EL46" s="848">
        <f t="shared" si="16"/>
        <v>0</v>
      </c>
    </row>
    <row r="47" spans="2:142" s="833" customFormat="1" ht="13.5">
      <c r="B47" s="1000"/>
      <c r="C47" s="911" t="s">
        <v>2163</v>
      </c>
      <c r="D47" s="1001"/>
      <c r="F47" s="1001"/>
      <c r="G47" s="1001"/>
      <c r="H47" s="848">
        <f t="shared" si="13"/>
        <v>0</v>
      </c>
      <c r="J47" s="848">
        <v>0</v>
      </c>
      <c r="K47" s="848">
        <v>0</v>
      </c>
      <c r="L47" s="848">
        <v>0</v>
      </c>
      <c r="M47" s="848">
        <v>0</v>
      </c>
      <c r="N47" s="848">
        <v>0</v>
      </c>
      <c r="O47" s="848">
        <v>0</v>
      </c>
      <c r="P47" s="848">
        <v>0</v>
      </c>
      <c r="Q47" s="848">
        <v>0</v>
      </c>
      <c r="R47" s="848">
        <v>0</v>
      </c>
      <c r="S47" s="848">
        <v>0</v>
      </c>
      <c r="T47" s="848">
        <v>0</v>
      </c>
      <c r="U47" s="848">
        <v>0</v>
      </c>
      <c r="V47" s="848">
        <v>0</v>
      </c>
      <c r="W47" s="848">
        <v>0</v>
      </c>
      <c r="X47" s="848">
        <v>0</v>
      </c>
      <c r="Y47" s="848">
        <v>0</v>
      </c>
      <c r="Z47" s="848">
        <v>0</v>
      </c>
      <c r="AA47" s="848">
        <v>0</v>
      </c>
      <c r="AB47" s="848">
        <v>0</v>
      </c>
      <c r="AC47" s="848">
        <v>0</v>
      </c>
      <c r="AD47" s="848">
        <v>0</v>
      </c>
      <c r="AE47" s="848">
        <v>0</v>
      </c>
      <c r="AF47" s="848">
        <v>0</v>
      </c>
      <c r="AG47" s="848">
        <v>0</v>
      </c>
      <c r="AH47" s="848">
        <v>0</v>
      </c>
      <c r="AI47" s="848">
        <v>0</v>
      </c>
      <c r="AJ47" s="848">
        <v>0</v>
      </c>
      <c r="AK47" s="848">
        <v>0</v>
      </c>
      <c r="AL47" s="848">
        <v>0</v>
      </c>
      <c r="AM47" s="848">
        <v>0</v>
      </c>
      <c r="AN47" s="848">
        <v>0</v>
      </c>
      <c r="AO47" s="848">
        <v>0</v>
      </c>
      <c r="AP47" s="848">
        <v>0</v>
      </c>
      <c r="AQ47" s="848">
        <v>0</v>
      </c>
      <c r="AR47" s="848">
        <v>0</v>
      </c>
      <c r="AS47" s="848">
        <v>0</v>
      </c>
      <c r="AT47" s="848">
        <v>0</v>
      </c>
      <c r="AU47" s="848">
        <v>0</v>
      </c>
      <c r="AV47" s="848">
        <v>0</v>
      </c>
      <c r="AW47" s="848">
        <v>0</v>
      </c>
      <c r="AX47" s="848">
        <v>0</v>
      </c>
      <c r="AY47" s="848">
        <v>0</v>
      </c>
      <c r="AZ47" s="848">
        <v>0</v>
      </c>
      <c r="BA47" s="848">
        <v>0</v>
      </c>
      <c r="BB47" s="848">
        <v>0</v>
      </c>
      <c r="BC47" s="848">
        <v>0</v>
      </c>
      <c r="BD47" s="848">
        <v>0</v>
      </c>
      <c r="BE47" s="848">
        <v>0</v>
      </c>
      <c r="BF47" s="848">
        <v>0</v>
      </c>
      <c r="BG47" s="848">
        <v>0</v>
      </c>
      <c r="BH47" s="848">
        <v>0</v>
      </c>
      <c r="BI47" s="848">
        <v>0</v>
      </c>
      <c r="BJ47" s="848">
        <v>0</v>
      </c>
      <c r="BK47" s="848">
        <v>0</v>
      </c>
      <c r="BL47" s="848">
        <v>0</v>
      </c>
      <c r="BM47" s="848">
        <v>0</v>
      </c>
      <c r="BN47" s="848">
        <v>0</v>
      </c>
      <c r="BO47" s="848">
        <v>0</v>
      </c>
      <c r="BP47" s="848">
        <v>0</v>
      </c>
      <c r="BQ47" s="848">
        <v>0</v>
      </c>
      <c r="BR47" s="848">
        <v>0</v>
      </c>
      <c r="BS47" s="848">
        <v>0</v>
      </c>
      <c r="BT47" s="848">
        <v>0</v>
      </c>
      <c r="BU47" s="848">
        <v>0</v>
      </c>
      <c r="BV47" s="848">
        <v>0</v>
      </c>
      <c r="BW47" s="848">
        <v>0</v>
      </c>
      <c r="BX47" s="848">
        <v>0</v>
      </c>
      <c r="BY47" s="848">
        <v>0</v>
      </c>
      <c r="BZ47" s="848">
        <v>0</v>
      </c>
      <c r="CA47" s="848">
        <v>0</v>
      </c>
      <c r="CB47" s="848">
        <v>0</v>
      </c>
      <c r="CC47" s="848">
        <v>0</v>
      </c>
      <c r="CD47" s="848">
        <v>0</v>
      </c>
      <c r="CE47" s="848">
        <v>0</v>
      </c>
      <c r="CF47" s="848">
        <v>0</v>
      </c>
      <c r="CG47" s="848">
        <v>0</v>
      </c>
      <c r="CH47" s="848">
        <v>0</v>
      </c>
      <c r="CI47" s="848">
        <v>0</v>
      </c>
      <c r="CJ47" s="848">
        <v>0</v>
      </c>
      <c r="CK47" s="848">
        <v>0</v>
      </c>
      <c r="CL47" s="848">
        <v>0</v>
      </c>
      <c r="CM47" s="848">
        <v>0</v>
      </c>
      <c r="CN47" s="848">
        <v>0</v>
      </c>
      <c r="CO47" s="848">
        <v>0</v>
      </c>
      <c r="CP47" s="848">
        <v>0</v>
      </c>
      <c r="CQ47" s="848">
        <v>0</v>
      </c>
      <c r="CR47" s="848">
        <v>0</v>
      </c>
      <c r="CS47" s="848">
        <v>0</v>
      </c>
      <c r="CT47" s="848">
        <v>0</v>
      </c>
      <c r="CU47" s="848">
        <v>0</v>
      </c>
      <c r="CV47" s="848">
        <v>0</v>
      </c>
      <c r="CW47" s="848">
        <v>0</v>
      </c>
      <c r="CX47" s="848">
        <v>0</v>
      </c>
      <c r="CY47" s="848">
        <v>0</v>
      </c>
      <c r="CZ47" s="848">
        <v>0</v>
      </c>
      <c r="DA47" s="848">
        <v>0</v>
      </c>
      <c r="DB47" s="848">
        <v>0</v>
      </c>
      <c r="DC47" s="848">
        <v>0</v>
      </c>
      <c r="DD47" s="848">
        <v>0</v>
      </c>
      <c r="DE47" s="848">
        <v>0</v>
      </c>
      <c r="DF47" s="848">
        <v>0</v>
      </c>
      <c r="DG47" s="848">
        <v>0</v>
      </c>
      <c r="DH47" s="848">
        <v>0</v>
      </c>
      <c r="DI47" s="848">
        <v>0</v>
      </c>
      <c r="DJ47" s="848">
        <v>0</v>
      </c>
      <c r="DK47" s="848">
        <v>0</v>
      </c>
      <c r="DL47" s="848">
        <v>0</v>
      </c>
      <c r="DM47" s="848">
        <v>0</v>
      </c>
      <c r="DN47" s="848">
        <v>0</v>
      </c>
      <c r="DO47" s="848">
        <v>0</v>
      </c>
      <c r="DP47" s="848">
        <v>0</v>
      </c>
      <c r="DQ47" s="848">
        <v>0</v>
      </c>
      <c r="DR47" s="848">
        <v>0</v>
      </c>
      <c r="DS47" s="848">
        <v>0</v>
      </c>
      <c r="DT47" s="848">
        <v>0</v>
      </c>
      <c r="DU47" s="848">
        <v>0</v>
      </c>
      <c r="DV47" s="848">
        <v>0</v>
      </c>
      <c r="DW47" s="848">
        <v>0</v>
      </c>
      <c r="DX47" s="848">
        <v>0</v>
      </c>
      <c r="DY47" s="848">
        <v>0</v>
      </c>
      <c r="DZ47" s="848">
        <v>0</v>
      </c>
      <c r="EA47" s="848">
        <v>0</v>
      </c>
      <c r="EB47" s="848">
        <v>0</v>
      </c>
      <c r="EC47" s="848">
        <v>0</v>
      </c>
      <c r="ED47" s="848">
        <v>0</v>
      </c>
      <c r="EE47" s="848">
        <v>0</v>
      </c>
      <c r="EF47" s="848">
        <v>0</v>
      </c>
      <c r="EG47" s="848">
        <v>0</v>
      </c>
      <c r="EH47" s="848">
        <v>0</v>
      </c>
      <c r="EI47" s="848">
        <v>0</v>
      </c>
      <c r="EJ47" s="848">
        <v>0</v>
      </c>
      <c r="EK47" s="848">
        <v>0</v>
      </c>
      <c r="EL47" s="848">
        <v>0</v>
      </c>
    </row>
    <row r="48" spans="2:142" ht="13.5">
      <c r="B48" s="1000"/>
      <c r="C48" s="911" t="s">
        <v>787</v>
      </c>
      <c r="D48" s="1001"/>
      <c r="F48" s="1001"/>
      <c r="G48" s="1001"/>
      <c r="H48" s="848">
        <f t="shared" si="13"/>
        <v>0</v>
      </c>
      <c r="I48" s="833"/>
      <c r="J48" s="848">
        <v>0</v>
      </c>
      <c r="K48" s="848">
        <v>0</v>
      </c>
      <c r="L48" s="848">
        <v>0</v>
      </c>
      <c r="M48" s="848">
        <v>0</v>
      </c>
      <c r="N48" s="848">
        <v>0</v>
      </c>
      <c r="O48" s="848">
        <v>0</v>
      </c>
      <c r="P48" s="848">
        <v>0</v>
      </c>
      <c r="Q48" s="848">
        <v>0</v>
      </c>
      <c r="R48" s="848">
        <v>0</v>
      </c>
      <c r="S48" s="848">
        <v>0</v>
      </c>
      <c r="T48" s="848">
        <v>0</v>
      </c>
      <c r="U48" s="848">
        <v>0</v>
      </c>
      <c r="V48" s="848">
        <v>0</v>
      </c>
      <c r="W48" s="848">
        <v>0</v>
      </c>
      <c r="X48" s="848">
        <v>0</v>
      </c>
      <c r="Y48" s="848">
        <v>0</v>
      </c>
      <c r="Z48" s="848">
        <v>0</v>
      </c>
      <c r="AA48" s="848">
        <v>0</v>
      </c>
      <c r="AB48" s="848">
        <v>0</v>
      </c>
      <c r="AC48" s="848">
        <v>0</v>
      </c>
      <c r="AD48" s="848">
        <v>0</v>
      </c>
      <c r="AE48" s="848">
        <v>0</v>
      </c>
      <c r="AF48" s="848">
        <v>0</v>
      </c>
      <c r="AG48" s="848">
        <v>0</v>
      </c>
      <c r="AH48" s="848">
        <v>0</v>
      </c>
      <c r="AI48" s="848">
        <v>0</v>
      </c>
      <c r="AJ48" s="848">
        <v>0</v>
      </c>
      <c r="AK48" s="848">
        <v>0</v>
      </c>
      <c r="AL48" s="848">
        <v>0</v>
      </c>
      <c r="AM48" s="848">
        <v>0</v>
      </c>
      <c r="AN48" s="848">
        <v>0</v>
      </c>
      <c r="AO48" s="848">
        <v>0</v>
      </c>
      <c r="AP48" s="848">
        <v>0</v>
      </c>
      <c r="AQ48" s="848">
        <v>0</v>
      </c>
      <c r="AR48" s="848">
        <v>0</v>
      </c>
      <c r="AS48" s="848">
        <v>0</v>
      </c>
      <c r="AT48" s="848">
        <v>0</v>
      </c>
      <c r="AU48" s="848">
        <v>0</v>
      </c>
      <c r="AV48" s="848">
        <v>0</v>
      </c>
      <c r="AW48" s="848">
        <v>0</v>
      </c>
      <c r="AX48" s="848">
        <v>0</v>
      </c>
      <c r="AY48" s="848">
        <v>0</v>
      </c>
      <c r="AZ48" s="848">
        <v>0</v>
      </c>
      <c r="BA48" s="848">
        <v>0</v>
      </c>
      <c r="BB48" s="848">
        <v>0</v>
      </c>
      <c r="BC48" s="848">
        <v>0</v>
      </c>
      <c r="BD48" s="848">
        <v>0</v>
      </c>
      <c r="BE48" s="848">
        <v>0</v>
      </c>
      <c r="BF48" s="848">
        <v>0</v>
      </c>
      <c r="BG48" s="848">
        <v>0</v>
      </c>
      <c r="BH48" s="848">
        <v>0</v>
      </c>
      <c r="BI48" s="848">
        <v>0</v>
      </c>
      <c r="BJ48" s="848">
        <v>0</v>
      </c>
      <c r="BK48" s="848">
        <v>0</v>
      </c>
      <c r="BL48" s="848">
        <v>0</v>
      </c>
      <c r="BM48" s="848">
        <v>0</v>
      </c>
      <c r="BN48" s="848">
        <v>0</v>
      </c>
      <c r="BO48" s="848">
        <v>0</v>
      </c>
      <c r="BP48" s="848">
        <v>0</v>
      </c>
      <c r="BQ48" s="848">
        <v>0</v>
      </c>
      <c r="BR48" s="848">
        <v>0</v>
      </c>
      <c r="BS48" s="848">
        <v>0</v>
      </c>
      <c r="BT48" s="848">
        <v>0</v>
      </c>
      <c r="BU48" s="848">
        <v>0</v>
      </c>
      <c r="BV48" s="848">
        <v>0</v>
      </c>
      <c r="BW48" s="848">
        <v>0</v>
      </c>
      <c r="BX48" s="848">
        <v>0</v>
      </c>
      <c r="BY48" s="848">
        <v>0</v>
      </c>
      <c r="BZ48" s="848">
        <v>0</v>
      </c>
      <c r="CA48" s="848">
        <v>0</v>
      </c>
      <c r="CB48" s="848">
        <v>0</v>
      </c>
      <c r="CC48" s="848">
        <v>0</v>
      </c>
      <c r="CD48" s="848">
        <v>0</v>
      </c>
      <c r="CE48" s="848">
        <v>0</v>
      </c>
      <c r="CF48" s="848">
        <v>0</v>
      </c>
      <c r="CG48" s="848">
        <v>0</v>
      </c>
      <c r="CH48" s="848">
        <v>0</v>
      </c>
      <c r="CI48" s="848">
        <v>0</v>
      </c>
      <c r="CJ48" s="848">
        <v>0</v>
      </c>
      <c r="CK48" s="848">
        <v>0</v>
      </c>
      <c r="CL48" s="848">
        <v>0</v>
      </c>
      <c r="CM48" s="848">
        <v>0</v>
      </c>
      <c r="CN48" s="848">
        <v>0</v>
      </c>
      <c r="CO48" s="848">
        <v>0</v>
      </c>
      <c r="CP48" s="848">
        <v>0</v>
      </c>
      <c r="CQ48" s="848">
        <v>0</v>
      </c>
      <c r="CR48" s="848">
        <v>0</v>
      </c>
      <c r="CS48" s="848">
        <v>0</v>
      </c>
      <c r="CT48" s="848">
        <v>0</v>
      </c>
      <c r="CU48" s="848">
        <v>0</v>
      </c>
      <c r="CV48" s="848">
        <v>0</v>
      </c>
      <c r="CW48" s="848">
        <v>0</v>
      </c>
      <c r="CX48" s="848">
        <v>0</v>
      </c>
      <c r="CY48" s="848">
        <v>0</v>
      </c>
      <c r="CZ48" s="848">
        <v>0</v>
      </c>
      <c r="DA48" s="848">
        <v>0</v>
      </c>
      <c r="DB48" s="848">
        <v>0</v>
      </c>
      <c r="DC48" s="848">
        <v>0</v>
      </c>
      <c r="DD48" s="848">
        <v>0</v>
      </c>
      <c r="DE48" s="848">
        <v>0</v>
      </c>
      <c r="DF48" s="848">
        <v>0</v>
      </c>
      <c r="DG48" s="848">
        <v>0</v>
      </c>
      <c r="DH48" s="848">
        <v>0</v>
      </c>
      <c r="DI48" s="848">
        <v>0</v>
      </c>
      <c r="DJ48" s="848">
        <v>0</v>
      </c>
      <c r="DK48" s="848">
        <v>0</v>
      </c>
      <c r="DL48" s="848">
        <v>0</v>
      </c>
      <c r="DM48" s="848">
        <v>0</v>
      </c>
      <c r="DN48" s="848">
        <v>0</v>
      </c>
      <c r="DO48" s="848">
        <v>0</v>
      </c>
      <c r="DP48" s="848">
        <v>0</v>
      </c>
      <c r="DQ48" s="848">
        <v>0</v>
      </c>
      <c r="DR48" s="848">
        <v>0</v>
      </c>
      <c r="DS48" s="848">
        <v>0</v>
      </c>
      <c r="DT48" s="848">
        <v>0</v>
      </c>
      <c r="DU48" s="848">
        <v>0</v>
      </c>
      <c r="DV48" s="848">
        <v>0</v>
      </c>
      <c r="DW48" s="848">
        <v>0</v>
      </c>
      <c r="DX48" s="848">
        <v>0</v>
      </c>
      <c r="DY48" s="848">
        <v>0</v>
      </c>
      <c r="DZ48" s="848">
        <v>0</v>
      </c>
      <c r="EA48" s="848">
        <v>0</v>
      </c>
      <c r="EB48" s="848">
        <v>0</v>
      </c>
      <c r="EC48" s="848">
        <v>0</v>
      </c>
      <c r="ED48" s="848">
        <v>0</v>
      </c>
      <c r="EE48" s="848">
        <v>0</v>
      </c>
      <c r="EF48" s="848">
        <v>0</v>
      </c>
      <c r="EG48" s="848">
        <v>0</v>
      </c>
      <c r="EH48" s="848">
        <v>0</v>
      </c>
      <c r="EI48" s="848">
        <v>0</v>
      </c>
      <c r="EJ48" s="848">
        <v>0</v>
      </c>
      <c r="EK48" s="848">
        <v>0</v>
      </c>
      <c r="EL48" s="848">
        <v>0</v>
      </c>
    </row>
    <row r="49" spans="2:142" ht="13.5">
      <c r="B49" s="1000"/>
      <c r="C49" s="911" t="s">
        <v>788</v>
      </c>
      <c r="D49" s="1001"/>
      <c r="F49" s="1001"/>
      <c r="G49" s="1001"/>
      <c r="H49" s="848">
        <f>SUM(J49:EL49)</f>
        <v>5836.7768919967421</v>
      </c>
      <c r="I49" s="833"/>
      <c r="J49" s="848">
        <v>0</v>
      </c>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0</v>
      </c>
      <c r="AN49" s="848">
        <v>0</v>
      </c>
      <c r="AO49" s="848">
        <v>0</v>
      </c>
      <c r="AP49" s="848">
        <v>0</v>
      </c>
      <c r="AQ49" s="848">
        <v>0</v>
      </c>
      <c r="AR49" s="848">
        <v>0</v>
      </c>
      <c r="AS49" s="848">
        <v>0</v>
      </c>
      <c r="AT49" s="848">
        <v>0</v>
      </c>
      <c r="AU49" s="848">
        <v>0</v>
      </c>
      <c r="AV49" s="848">
        <v>0</v>
      </c>
      <c r="AW49" s="848">
        <v>0</v>
      </c>
      <c r="AX49" s="848">
        <v>0</v>
      </c>
      <c r="AY49" s="848">
        <v>0</v>
      </c>
      <c r="AZ49" s="848">
        <v>0</v>
      </c>
      <c r="BA49" s="848">
        <v>0</v>
      </c>
      <c r="BB49" s="848">
        <v>0</v>
      </c>
      <c r="BC49" s="848">
        <v>0</v>
      </c>
      <c r="BD49" s="848">
        <v>0</v>
      </c>
      <c r="BE49" s="848">
        <v>0</v>
      </c>
      <c r="BF49" s="848">
        <v>0</v>
      </c>
      <c r="BG49" s="848">
        <v>0</v>
      </c>
      <c r="BH49" s="848">
        <v>0</v>
      </c>
      <c r="BI49" s="848">
        <v>0</v>
      </c>
      <c r="BJ49" s="848">
        <v>0</v>
      </c>
      <c r="BK49" s="848">
        <v>0</v>
      </c>
      <c r="BL49" s="848">
        <v>0</v>
      </c>
      <c r="BM49" s="848">
        <v>0</v>
      </c>
      <c r="BN49" s="848">
        <v>0</v>
      </c>
      <c r="BO49" s="848">
        <v>0</v>
      </c>
      <c r="BP49" s="848">
        <v>0</v>
      </c>
      <c r="BQ49" s="848">
        <v>0</v>
      </c>
      <c r="BR49" s="848">
        <v>0</v>
      </c>
      <c r="BS49" s="848">
        <v>0</v>
      </c>
      <c r="BT49" s="848">
        <v>0</v>
      </c>
      <c r="BU49" s="848">
        <v>0</v>
      </c>
      <c r="BV49" s="848">
        <v>0</v>
      </c>
      <c r="BW49" s="848">
        <v>0</v>
      </c>
      <c r="BX49" s="848">
        <v>0</v>
      </c>
      <c r="BY49" s="848">
        <v>0</v>
      </c>
      <c r="BZ49" s="848">
        <v>0</v>
      </c>
      <c r="CA49" s="848">
        <v>0</v>
      </c>
      <c r="CB49" s="848">
        <v>0</v>
      </c>
      <c r="CC49" s="848">
        <v>0</v>
      </c>
      <c r="CD49" s="848">
        <v>0</v>
      </c>
      <c r="CE49" s="848">
        <v>0</v>
      </c>
      <c r="CF49" s="848">
        <v>0</v>
      </c>
      <c r="CG49" s="848">
        <v>0</v>
      </c>
      <c r="CH49" s="848">
        <v>0</v>
      </c>
      <c r="CI49" s="848">
        <v>0</v>
      </c>
      <c r="CJ49" s="848">
        <v>0</v>
      </c>
      <c r="CK49" s="848">
        <v>0</v>
      </c>
      <c r="CL49" s="848">
        <v>0</v>
      </c>
      <c r="CM49" s="848">
        <v>0</v>
      </c>
      <c r="CN49" s="848">
        <v>0</v>
      </c>
      <c r="CO49" s="848">
        <v>0</v>
      </c>
      <c r="CP49" s="848">
        <v>0</v>
      </c>
      <c r="CQ49" s="848">
        <v>0</v>
      </c>
      <c r="CR49" s="848">
        <v>0</v>
      </c>
      <c r="CS49" s="848">
        <v>0</v>
      </c>
      <c r="CT49" s="848">
        <v>0</v>
      </c>
      <c r="CU49" s="848">
        <v>0</v>
      </c>
      <c r="CV49" s="848">
        <v>0</v>
      </c>
      <c r="CW49" s="848">
        <v>0</v>
      </c>
      <c r="CX49" s="848">
        <v>0</v>
      </c>
      <c r="CY49" s="848">
        <v>0</v>
      </c>
      <c r="CZ49" s="848">
        <v>0</v>
      </c>
      <c r="DA49" s="848">
        <v>0</v>
      </c>
      <c r="DB49" s="848">
        <v>0</v>
      </c>
      <c r="DC49" s="848">
        <v>0</v>
      </c>
      <c r="DD49" s="848">
        <v>0</v>
      </c>
      <c r="DE49" s="848">
        <v>0</v>
      </c>
      <c r="DF49" s="848">
        <v>0</v>
      </c>
      <c r="DG49" s="848">
        <v>0</v>
      </c>
      <c r="DH49" s="848">
        <v>0</v>
      </c>
      <c r="DI49" s="848">
        <v>0</v>
      </c>
      <c r="DJ49" s="848">
        <v>0</v>
      </c>
      <c r="DK49" s="848">
        <v>0</v>
      </c>
      <c r="DL49" s="848">
        <v>0</v>
      </c>
      <c r="DM49" s="848">
        <v>0</v>
      </c>
      <c r="DN49" s="848">
        <v>0</v>
      </c>
      <c r="DO49" s="848">
        <v>0</v>
      </c>
      <c r="DP49" s="848">
        <v>0</v>
      </c>
      <c r="DQ49" s="848">
        <v>0</v>
      </c>
      <c r="DR49" s="848">
        <v>0</v>
      </c>
      <c r="DS49" s="848">
        <v>0</v>
      </c>
      <c r="DT49" s="848">
        <v>0</v>
      </c>
      <c r="DU49" s="848">
        <v>0</v>
      </c>
      <c r="DV49" s="848">
        <v>0</v>
      </c>
      <c r="DW49" s="848">
        <v>0</v>
      </c>
      <c r="DX49" s="848">
        <v>0</v>
      </c>
      <c r="DY49" s="848">
        <v>0</v>
      </c>
      <c r="DZ49" s="848">
        <v>5836.7768919967421</v>
      </c>
      <c r="EA49" s="848">
        <v>0</v>
      </c>
      <c r="EB49" s="848">
        <v>0</v>
      </c>
      <c r="EC49" s="848">
        <v>0</v>
      </c>
      <c r="ED49" s="848">
        <v>0</v>
      </c>
      <c r="EE49" s="848">
        <v>0</v>
      </c>
      <c r="EF49" s="848">
        <v>0</v>
      </c>
      <c r="EG49" s="848">
        <v>0</v>
      </c>
      <c r="EH49" s="848">
        <v>0</v>
      </c>
      <c r="EI49" s="848">
        <v>0</v>
      </c>
      <c r="EJ49" s="848">
        <v>0</v>
      </c>
      <c r="EK49" s="848">
        <v>0</v>
      </c>
      <c r="EL49" s="848">
        <v>0</v>
      </c>
    </row>
    <row r="50" spans="2:142" ht="13.5">
      <c r="B50" s="1000"/>
      <c r="C50" s="911" t="s">
        <v>789</v>
      </c>
      <c r="D50" s="1001"/>
      <c r="F50" s="1001"/>
      <c r="G50" s="1001"/>
      <c r="H50" s="848">
        <f t="shared" si="13"/>
        <v>59845.154082052737</v>
      </c>
      <c r="I50" s="833"/>
      <c r="J50" s="848">
        <v>0</v>
      </c>
      <c r="K50" s="848">
        <v>0</v>
      </c>
      <c r="L50" s="848">
        <v>0</v>
      </c>
      <c r="M50" s="848">
        <v>0</v>
      </c>
      <c r="N50" s="848">
        <v>0</v>
      </c>
      <c r="O50" s="848">
        <v>0</v>
      </c>
      <c r="P50" s="848">
        <v>0</v>
      </c>
      <c r="Q50" s="848">
        <v>0</v>
      </c>
      <c r="R50" s="848">
        <v>0</v>
      </c>
      <c r="S50" s="848">
        <v>0</v>
      </c>
      <c r="T50" s="848">
        <v>0</v>
      </c>
      <c r="U50" s="848">
        <v>0</v>
      </c>
      <c r="V50" s="848">
        <v>0</v>
      </c>
      <c r="W50" s="848">
        <v>0</v>
      </c>
      <c r="X50" s="848">
        <v>0</v>
      </c>
      <c r="Y50" s="848">
        <v>0</v>
      </c>
      <c r="Z50" s="848">
        <v>0</v>
      </c>
      <c r="AA50" s="848">
        <v>0</v>
      </c>
      <c r="AB50" s="848">
        <v>0</v>
      </c>
      <c r="AC50" s="848">
        <v>0</v>
      </c>
      <c r="AD50" s="848">
        <v>0</v>
      </c>
      <c r="AE50" s="848">
        <v>0</v>
      </c>
      <c r="AF50" s="848">
        <v>0</v>
      </c>
      <c r="AG50" s="848">
        <v>0</v>
      </c>
      <c r="AH50" s="848">
        <v>0</v>
      </c>
      <c r="AI50" s="848">
        <v>0</v>
      </c>
      <c r="AJ50" s="848">
        <v>0</v>
      </c>
      <c r="AK50" s="848">
        <v>0</v>
      </c>
      <c r="AL50" s="848">
        <v>0</v>
      </c>
      <c r="AM50" s="848">
        <v>0</v>
      </c>
      <c r="AN50" s="848">
        <v>0</v>
      </c>
      <c r="AO50" s="848">
        <v>0</v>
      </c>
      <c r="AP50" s="848">
        <v>0</v>
      </c>
      <c r="AQ50" s="848">
        <v>0</v>
      </c>
      <c r="AR50" s="848">
        <v>0</v>
      </c>
      <c r="AS50" s="848">
        <v>0</v>
      </c>
      <c r="AT50" s="848">
        <v>0</v>
      </c>
      <c r="AU50" s="848">
        <v>0</v>
      </c>
      <c r="AV50" s="848">
        <v>0</v>
      </c>
      <c r="AW50" s="848">
        <v>0</v>
      </c>
      <c r="AX50" s="848">
        <v>0</v>
      </c>
      <c r="AY50" s="848">
        <v>0</v>
      </c>
      <c r="AZ50" s="848">
        <v>0</v>
      </c>
      <c r="BA50" s="848">
        <v>0</v>
      </c>
      <c r="BB50" s="848">
        <v>0</v>
      </c>
      <c r="BC50" s="848">
        <v>0</v>
      </c>
      <c r="BD50" s="848">
        <v>0</v>
      </c>
      <c r="BE50" s="848">
        <v>0</v>
      </c>
      <c r="BF50" s="848">
        <v>0</v>
      </c>
      <c r="BG50" s="848">
        <v>0</v>
      </c>
      <c r="BH50" s="848">
        <v>0</v>
      </c>
      <c r="BI50" s="848">
        <v>0</v>
      </c>
      <c r="BJ50" s="848">
        <v>0</v>
      </c>
      <c r="BK50" s="848">
        <v>0</v>
      </c>
      <c r="BL50" s="848">
        <v>0</v>
      </c>
      <c r="BM50" s="848">
        <v>0</v>
      </c>
      <c r="BN50" s="848">
        <v>0</v>
      </c>
      <c r="BO50" s="848">
        <v>0</v>
      </c>
      <c r="BP50" s="848">
        <v>0</v>
      </c>
      <c r="BQ50" s="848">
        <v>0</v>
      </c>
      <c r="BR50" s="848">
        <v>0</v>
      </c>
      <c r="BS50" s="848">
        <v>0</v>
      </c>
      <c r="BT50" s="848">
        <v>0</v>
      </c>
      <c r="BU50" s="848">
        <v>0</v>
      </c>
      <c r="BV50" s="848">
        <v>0</v>
      </c>
      <c r="BW50" s="848">
        <v>0</v>
      </c>
      <c r="BX50" s="848">
        <v>0</v>
      </c>
      <c r="BY50" s="848">
        <v>0</v>
      </c>
      <c r="BZ50" s="848">
        <v>0</v>
      </c>
      <c r="CA50" s="848">
        <v>0</v>
      </c>
      <c r="CB50" s="848">
        <v>0</v>
      </c>
      <c r="CC50" s="848">
        <v>0</v>
      </c>
      <c r="CD50" s="848">
        <v>0</v>
      </c>
      <c r="CE50" s="848">
        <v>0</v>
      </c>
      <c r="CF50" s="848">
        <v>0</v>
      </c>
      <c r="CG50" s="848">
        <v>0</v>
      </c>
      <c r="CH50" s="848">
        <v>0</v>
      </c>
      <c r="CI50" s="848">
        <v>0</v>
      </c>
      <c r="CJ50" s="848">
        <v>0</v>
      </c>
      <c r="CK50" s="848">
        <v>0</v>
      </c>
      <c r="CL50" s="848">
        <v>0</v>
      </c>
      <c r="CM50" s="848">
        <v>0</v>
      </c>
      <c r="CN50" s="848">
        <v>0</v>
      </c>
      <c r="CO50" s="848">
        <v>0</v>
      </c>
      <c r="CP50" s="848">
        <v>0</v>
      </c>
      <c r="CQ50" s="848">
        <v>0</v>
      </c>
      <c r="CR50" s="848">
        <v>0</v>
      </c>
      <c r="CS50" s="848">
        <v>0</v>
      </c>
      <c r="CT50" s="848">
        <v>0</v>
      </c>
      <c r="CU50" s="848">
        <v>0</v>
      </c>
      <c r="CV50" s="848">
        <v>0</v>
      </c>
      <c r="CW50" s="848">
        <v>0</v>
      </c>
      <c r="CX50" s="848">
        <v>0</v>
      </c>
      <c r="CY50" s="848">
        <v>0</v>
      </c>
      <c r="CZ50" s="848">
        <v>0</v>
      </c>
      <c r="DA50" s="848">
        <v>0</v>
      </c>
      <c r="DB50" s="848">
        <v>0</v>
      </c>
      <c r="DC50" s="848">
        <v>0</v>
      </c>
      <c r="DD50" s="848">
        <v>0</v>
      </c>
      <c r="DE50" s="848">
        <v>0</v>
      </c>
      <c r="DF50" s="848">
        <v>0</v>
      </c>
      <c r="DG50" s="848">
        <v>0</v>
      </c>
      <c r="DH50" s="848">
        <v>0</v>
      </c>
      <c r="DI50" s="848">
        <v>0</v>
      </c>
      <c r="DJ50" s="848">
        <v>0</v>
      </c>
      <c r="DK50" s="848">
        <v>0</v>
      </c>
      <c r="DL50" s="848">
        <v>0</v>
      </c>
      <c r="DM50" s="848">
        <v>0</v>
      </c>
      <c r="DN50" s="848">
        <v>0</v>
      </c>
      <c r="DO50" s="848">
        <v>0</v>
      </c>
      <c r="DP50" s="848">
        <v>0</v>
      </c>
      <c r="DQ50" s="848">
        <v>0</v>
      </c>
      <c r="DR50" s="848">
        <v>0</v>
      </c>
      <c r="DS50" s="848">
        <v>0</v>
      </c>
      <c r="DT50" s="848">
        <v>0</v>
      </c>
      <c r="DU50" s="848">
        <v>0</v>
      </c>
      <c r="DV50" s="848">
        <v>0</v>
      </c>
      <c r="DW50" s="848">
        <v>0</v>
      </c>
      <c r="DX50" s="848">
        <v>0</v>
      </c>
      <c r="DY50" s="848">
        <v>0</v>
      </c>
      <c r="DZ50" s="848">
        <v>59845.154082052737</v>
      </c>
      <c r="EA50" s="848">
        <v>0</v>
      </c>
      <c r="EB50" s="848">
        <v>0</v>
      </c>
      <c r="EC50" s="848">
        <v>0</v>
      </c>
      <c r="ED50" s="848">
        <v>0</v>
      </c>
      <c r="EE50" s="848">
        <v>0</v>
      </c>
      <c r="EF50" s="848">
        <v>0</v>
      </c>
      <c r="EG50" s="848">
        <v>0</v>
      </c>
      <c r="EH50" s="848">
        <v>0</v>
      </c>
      <c r="EI50" s="848">
        <v>0</v>
      </c>
      <c r="EJ50" s="848">
        <v>0</v>
      </c>
      <c r="EK50" s="848">
        <v>0</v>
      </c>
      <c r="EL50" s="848">
        <v>0</v>
      </c>
    </row>
    <row r="51" spans="2:142">
      <c r="B51" s="1069"/>
      <c r="C51" s="1070"/>
      <c r="D51" s="1070"/>
      <c r="E51" s="1070"/>
      <c r="F51" s="1070"/>
      <c r="G51" s="1070"/>
      <c r="H51" s="1071"/>
      <c r="I51" s="945"/>
      <c r="J51" s="523"/>
      <c r="K51" s="523"/>
      <c r="L51" s="523"/>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row>
    <row r="52" spans="2:142">
      <c r="B52" s="1000"/>
      <c r="C52" s="1001"/>
      <c r="D52" s="1001"/>
      <c r="E52" s="1001"/>
      <c r="F52" s="1001"/>
      <c r="G52" s="1001"/>
      <c r="H52" s="1067"/>
      <c r="I52" s="833"/>
      <c r="J52" s="214"/>
      <c r="K52" s="214"/>
      <c r="L52" s="214"/>
      <c r="M52" s="214"/>
      <c r="N52" s="214"/>
      <c r="O52" s="214"/>
      <c r="P52" s="214"/>
      <c r="Q52" s="214"/>
      <c r="R52" s="214"/>
      <c r="S52" s="214"/>
      <c r="T52" s="214"/>
      <c r="U52" s="214"/>
      <c r="V52" s="214"/>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214"/>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row>
    <row r="53" spans="2:142" s="1007" customFormat="1" ht="13.5">
      <c r="B53" s="1004"/>
      <c r="C53" s="994" t="s">
        <v>942</v>
      </c>
      <c r="D53" s="994"/>
      <c r="F53" s="1006"/>
      <c r="G53" s="994"/>
      <c r="H53" s="842">
        <f t="shared" si="13"/>
        <v>437995.46321034839</v>
      </c>
      <c r="I53" s="843"/>
      <c r="J53" s="842">
        <f t="shared" ref="J53:BU53" si="17">J55-J61</f>
        <v>0</v>
      </c>
      <c r="K53" s="842">
        <f t="shared" si="17"/>
        <v>0</v>
      </c>
      <c r="L53" s="842">
        <f t="shared" si="17"/>
        <v>0</v>
      </c>
      <c r="M53" s="842">
        <f t="shared" si="17"/>
        <v>0</v>
      </c>
      <c r="N53" s="842">
        <f t="shared" si="17"/>
        <v>0</v>
      </c>
      <c r="O53" s="842">
        <f t="shared" si="17"/>
        <v>0</v>
      </c>
      <c r="P53" s="842">
        <f t="shared" si="17"/>
        <v>0</v>
      </c>
      <c r="Q53" s="842">
        <f t="shared" si="17"/>
        <v>0</v>
      </c>
      <c r="R53" s="842">
        <f t="shared" si="17"/>
        <v>0</v>
      </c>
      <c r="S53" s="842">
        <f t="shared" si="17"/>
        <v>0</v>
      </c>
      <c r="T53" s="842">
        <f t="shared" si="17"/>
        <v>0</v>
      </c>
      <c r="U53" s="842">
        <f t="shared" si="17"/>
        <v>0</v>
      </c>
      <c r="V53" s="842">
        <f t="shared" si="17"/>
        <v>0</v>
      </c>
      <c r="W53" s="842">
        <f t="shared" si="17"/>
        <v>0</v>
      </c>
      <c r="X53" s="842">
        <f t="shared" si="17"/>
        <v>0</v>
      </c>
      <c r="Y53" s="842">
        <f t="shared" si="17"/>
        <v>0</v>
      </c>
      <c r="Z53" s="842">
        <f t="shared" si="17"/>
        <v>0</v>
      </c>
      <c r="AA53" s="842">
        <f t="shared" si="17"/>
        <v>0</v>
      </c>
      <c r="AB53" s="842">
        <f t="shared" si="17"/>
        <v>0</v>
      </c>
      <c r="AC53" s="842">
        <f t="shared" si="17"/>
        <v>0</v>
      </c>
      <c r="AD53" s="842">
        <f t="shared" si="17"/>
        <v>0</v>
      </c>
      <c r="AE53" s="842">
        <f t="shared" si="17"/>
        <v>0</v>
      </c>
      <c r="AF53" s="842">
        <f t="shared" si="17"/>
        <v>0</v>
      </c>
      <c r="AG53" s="842">
        <f t="shared" si="17"/>
        <v>0</v>
      </c>
      <c r="AH53" s="842">
        <f t="shared" si="17"/>
        <v>0</v>
      </c>
      <c r="AI53" s="842">
        <f t="shared" si="17"/>
        <v>0</v>
      </c>
      <c r="AJ53" s="842">
        <f t="shared" si="17"/>
        <v>0</v>
      </c>
      <c r="AK53" s="842">
        <f t="shared" si="17"/>
        <v>0</v>
      </c>
      <c r="AL53" s="842">
        <f t="shared" si="17"/>
        <v>-736002.16338399996</v>
      </c>
      <c r="AM53" s="842">
        <f t="shared" si="17"/>
        <v>0</v>
      </c>
      <c r="AN53" s="842">
        <f t="shared" si="17"/>
        <v>0</v>
      </c>
      <c r="AO53" s="842">
        <f t="shared" si="17"/>
        <v>0</v>
      </c>
      <c r="AP53" s="842">
        <f t="shared" si="17"/>
        <v>0</v>
      </c>
      <c r="AQ53" s="842">
        <f t="shared" si="17"/>
        <v>0</v>
      </c>
      <c r="AR53" s="842">
        <f t="shared" si="17"/>
        <v>0</v>
      </c>
      <c r="AS53" s="842">
        <f t="shared" si="17"/>
        <v>0</v>
      </c>
      <c r="AT53" s="842">
        <f t="shared" si="17"/>
        <v>0</v>
      </c>
      <c r="AU53" s="842">
        <f t="shared" si="17"/>
        <v>0</v>
      </c>
      <c r="AV53" s="842">
        <f t="shared" si="17"/>
        <v>0</v>
      </c>
      <c r="AW53" s="842">
        <f t="shared" si="17"/>
        <v>0</v>
      </c>
      <c r="AX53" s="842">
        <f t="shared" si="17"/>
        <v>0</v>
      </c>
      <c r="AY53" s="842">
        <f t="shared" si="17"/>
        <v>0</v>
      </c>
      <c r="AZ53" s="842">
        <f t="shared" si="17"/>
        <v>0</v>
      </c>
      <c r="BA53" s="842">
        <f t="shared" si="17"/>
        <v>0</v>
      </c>
      <c r="BB53" s="842">
        <f t="shared" si="17"/>
        <v>0</v>
      </c>
      <c r="BC53" s="842">
        <f t="shared" si="17"/>
        <v>0</v>
      </c>
      <c r="BD53" s="842">
        <f t="shared" si="17"/>
        <v>0</v>
      </c>
      <c r="BE53" s="842">
        <f t="shared" si="17"/>
        <v>0</v>
      </c>
      <c r="BF53" s="842">
        <f t="shared" si="17"/>
        <v>0</v>
      </c>
      <c r="BG53" s="842">
        <f t="shared" si="17"/>
        <v>0</v>
      </c>
      <c r="BH53" s="842">
        <f t="shared" si="17"/>
        <v>0</v>
      </c>
      <c r="BI53" s="842">
        <f t="shared" si="17"/>
        <v>0</v>
      </c>
      <c r="BJ53" s="842">
        <f t="shared" si="17"/>
        <v>0</v>
      </c>
      <c r="BK53" s="842">
        <f t="shared" si="17"/>
        <v>0</v>
      </c>
      <c r="BL53" s="842">
        <f t="shared" si="17"/>
        <v>0</v>
      </c>
      <c r="BM53" s="842">
        <f t="shared" si="17"/>
        <v>0</v>
      </c>
      <c r="BN53" s="842">
        <f t="shared" si="17"/>
        <v>0</v>
      </c>
      <c r="BO53" s="842">
        <f t="shared" si="17"/>
        <v>0</v>
      </c>
      <c r="BP53" s="842">
        <f t="shared" si="17"/>
        <v>0</v>
      </c>
      <c r="BQ53" s="842">
        <f t="shared" si="17"/>
        <v>0</v>
      </c>
      <c r="BR53" s="842">
        <f t="shared" si="17"/>
        <v>0</v>
      </c>
      <c r="BS53" s="842">
        <f t="shared" si="17"/>
        <v>0</v>
      </c>
      <c r="BT53" s="842">
        <f t="shared" si="17"/>
        <v>0</v>
      </c>
      <c r="BU53" s="842">
        <f t="shared" si="17"/>
        <v>0</v>
      </c>
      <c r="BV53" s="842">
        <f t="shared" ref="BV53:EG53" si="18">BV55-BV61</f>
        <v>0</v>
      </c>
      <c r="BW53" s="842">
        <f t="shared" si="18"/>
        <v>0</v>
      </c>
      <c r="BX53" s="842">
        <f t="shared" si="18"/>
        <v>0</v>
      </c>
      <c r="BY53" s="842">
        <f t="shared" si="18"/>
        <v>0</v>
      </c>
      <c r="BZ53" s="842">
        <f t="shared" si="18"/>
        <v>0</v>
      </c>
      <c r="CA53" s="842">
        <f t="shared" si="18"/>
        <v>0</v>
      </c>
      <c r="CB53" s="842">
        <f t="shared" si="18"/>
        <v>0</v>
      </c>
      <c r="CC53" s="842">
        <f t="shared" si="18"/>
        <v>0</v>
      </c>
      <c r="CD53" s="842">
        <f t="shared" si="18"/>
        <v>0</v>
      </c>
      <c r="CE53" s="842">
        <f t="shared" si="18"/>
        <v>0</v>
      </c>
      <c r="CF53" s="842">
        <f t="shared" si="18"/>
        <v>0</v>
      </c>
      <c r="CG53" s="842">
        <f t="shared" si="18"/>
        <v>0</v>
      </c>
      <c r="CH53" s="842">
        <f t="shared" si="18"/>
        <v>0</v>
      </c>
      <c r="CI53" s="842">
        <f t="shared" si="18"/>
        <v>0</v>
      </c>
      <c r="CJ53" s="842">
        <f t="shared" si="18"/>
        <v>0</v>
      </c>
      <c r="CK53" s="842">
        <f t="shared" si="18"/>
        <v>0</v>
      </c>
      <c r="CL53" s="842">
        <f t="shared" si="18"/>
        <v>0</v>
      </c>
      <c r="CM53" s="842">
        <f t="shared" si="18"/>
        <v>0</v>
      </c>
      <c r="CN53" s="842">
        <f t="shared" si="18"/>
        <v>0</v>
      </c>
      <c r="CO53" s="842">
        <f t="shared" si="18"/>
        <v>0</v>
      </c>
      <c r="CP53" s="842">
        <f t="shared" si="18"/>
        <v>0</v>
      </c>
      <c r="CQ53" s="842">
        <f t="shared" si="18"/>
        <v>0</v>
      </c>
      <c r="CR53" s="842">
        <f t="shared" si="18"/>
        <v>0</v>
      </c>
      <c r="CS53" s="842">
        <f t="shared" si="18"/>
        <v>0</v>
      </c>
      <c r="CT53" s="842">
        <f t="shared" si="18"/>
        <v>0</v>
      </c>
      <c r="CU53" s="842">
        <f t="shared" si="18"/>
        <v>0</v>
      </c>
      <c r="CV53" s="842">
        <f t="shared" si="18"/>
        <v>0</v>
      </c>
      <c r="CW53" s="842">
        <f t="shared" si="18"/>
        <v>0</v>
      </c>
      <c r="CX53" s="842">
        <f t="shared" si="18"/>
        <v>0</v>
      </c>
      <c r="CY53" s="842">
        <f t="shared" si="18"/>
        <v>0</v>
      </c>
      <c r="CZ53" s="842">
        <f t="shared" si="18"/>
        <v>0</v>
      </c>
      <c r="DA53" s="842">
        <f t="shared" si="18"/>
        <v>0</v>
      </c>
      <c r="DB53" s="842">
        <f t="shared" si="18"/>
        <v>0</v>
      </c>
      <c r="DC53" s="842">
        <f t="shared" si="18"/>
        <v>0</v>
      </c>
      <c r="DD53" s="842">
        <f t="shared" si="18"/>
        <v>0</v>
      </c>
      <c r="DE53" s="842">
        <f t="shared" si="18"/>
        <v>0</v>
      </c>
      <c r="DF53" s="842">
        <f t="shared" si="18"/>
        <v>0</v>
      </c>
      <c r="DG53" s="842">
        <f t="shared" si="18"/>
        <v>0</v>
      </c>
      <c r="DH53" s="842">
        <f t="shared" si="18"/>
        <v>0</v>
      </c>
      <c r="DI53" s="842">
        <f t="shared" si="18"/>
        <v>0</v>
      </c>
      <c r="DJ53" s="842">
        <f t="shared" si="18"/>
        <v>0</v>
      </c>
      <c r="DK53" s="842">
        <f t="shared" si="18"/>
        <v>0</v>
      </c>
      <c r="DL53" s="842">
        <f t="shared" si="18"/>
        <v>0</v>
      </c>
      <c r="DM53" s="842">
        <f t="shared" si="18"/>
        <v>0</v>
      </c>
      <c r="DN53" s="842">
        <f t="shared" si="18"/>
        <v>0</v>
      </c>
      <c r="DO53" s="842">
        <f t="shared" si="18"/>
        <v>0</v>
      </c>
      <c r="DP53" s="842">
        <f t="shared" si="18"/>
        <v>0</v>
      </c>
      <c r="DQ53" s="842">
        <f t="shared" si="18"/>
        <v>0</v>
      </c>
      <c r="DR53" s="842">
        <f t="shared" si="18"/>
        <v>0</v>
      </c>
      <c r="DS53" s="842">
        <f t="shared" si="18"/>
        <v>0</v>
      </c>
      <c r="DT53" s="842">
        <f t="shared" si="18"/>
        <v>0</v>
      </c>
      <c r="DU53" s="842">
        <f t="shared" si="18"/>
        <v>0</v>
      </c>
      <c r="DV53" s="842">
        <f t="shared" si="18"/>
        <v>0</v>
      </c>
      <c r="DW53" s="842">
        <f t="shared" si="18"/>
        <v>0</v>
      </c>
      <c r="DX53" s="842">
        <f t="shared" si="18"/>
        <v>0</v>
      </c>
      <c r="DY53" s="842">
        <f t="shared" si="18"/>
        <v>0</v>
      </c>
      <c r="DZ53" s="842">
        <f t="shared" si="18"/>
        <v>1173997.6265943483</v>
      </c>
      <c r="EA53" s="842">
        <f t="shared" si="18"/>
        <v>0</v>
      </c>
      <c r="EB53" s="842">
        <f t="shared" si="18"/>
        <v>0</v>
      </c>
      <c r="EC53" s="842">
        <f t="shared" si="18"/>
        <v>0</v>
      </c>
      <c r="ED53" s="842">
        <f t="shared" si="18"/>
        <v>0</v>
      </c>
      <c r="EE53" s="842">
        <f t="shared" si="18"/>
        <v>0</v>
      </c>
      <c r="EF53" s="842">
        <f t="shared" si="18"/>
        <v>0</v>
      </c>
      <c r="EG53" s="842">
        <f t="shared" si="18"/>
        <v>0</v>
      </c>
      <c r="EH53" s="842">
        <f t="shared" ref="EH53:EL53" si="19">EH55-EH61</f>
        <v>0</v>
      </c>
      <c r="EI53" s="842">
        <f t="shared" si="19"/>
        <v>0</v>
      </c>
      <c r="EJ53" s="842">
        <f t="shared" si="19"/>
        <v>0</v>
      </c>
      <c r="EK53" s="842">
        <f t="shared" si="19"/>
        <v>0</v>
      </c>
      <c r="EL53" s="842">
        <f t="shared" si="19"/>
        <v>0</v>
      </c>
    </row>
    <row r="54" spans="2:142">
      <c r="B54" s="1000"/>
      <c r="C54" s="1001"/>
      <c r="D54" s="1001"/>
      <c r="F54" s="1008"/>
      <c r="G54" s="1001"/>
      <c r="H54" s="848"/>
      <c r="I54" s="833"/>
      <c r="J54" s="848"/>
      <c r="K54" s="848"/>
      <c r="L54" s="848"/>
      <c r="M54" s="848"/>
      <c r="N54" s="848"/>
      <c r="O54" s="848"/>
      <c r="P54" s="848"/>
      <c r="Q54" s="848"/>
      <c r="R54" s="848"/>
      <c r="S54" s="848"/>
      <c r="T54" s="848"/>
      <c r="U54" s="848"/>
      <c r="V54" s="848"/>
      <c r="W54" s="848"/>
      <c r="X54" s="848"/>
      <c r="Y54" s="848"/>
      <c r="Z54" s="848"/>
      <c r="AA54" s="848"/>
      <c r="AB54" s="848"/>
      <c r="AC54" s="848"/>
      <c r="AD54" s="848"/>
      <c r="AE54" s="848"/>
      <c r="AF54" s="848"/>
      <c r="AG54" s="848"/>
      <c r="AH54" s="848"/>
      <c r="AI54" s="848"/>
      <c r="AJ54" s="848"/>
      <c r="AK54" s="848"/>
      <c r="AL54" s="848"/>
      <c r="AM54" s="848"/>
      <c r="AN54" s="848"/>
      <c r="AO54" s="848"/>
      <c r="AP54" s="848"/>
      <c r="AQ54" s="848"/>
      <c r="AR54" s="848"/>
      <c r="AS54" s="848"/>
      <c r="AT54" s="848"/>
      <c r="AU54" s="848"/>
      <c r="AV54" s="848"/>
      <c r="AW54" s="848"/>
      <c r="AX54" s="848"/>
      <c r="AY54" s="848"/>
      <c r="AZ54" s="848"/>
      <c r="BA54" s="848"/>
      <c r="BB54" s="848"/>
      <c r="BC54" s="848"/>
      <c r="BD54" s="848"/>
      <c r="BE54" s="848"/>
      <c r="BF54" s="848"/>
      <c r="BG54" s="848"/>
      <c r="BH54" s="848"/>
      <c r="BI54" s="848"/>
      <c r="BJ54" s="848"/>
      <c r="BK54" s="848"/>
      <c r="BL54" s="848"/>
      <c r="BM54" s="848"/>
      <c r="BN54" s="848"/>
      <c r="BO54" s="848"/>
      <c r="BP54" s="848"/>
      <c r="BQ54" s="848"/>
      <c r="BR54" s="848"/>
      <c r="BS54" s="848"/>
      <c r="BT54" s="848"/>
      <c r="BU54" s="848"/>
      <c r="BV54" s="848"/>
      <c r="BW54" s="848"/>
      <c r="BX54" s="848"/>
      <c r="BY54" s="848"/>
      <c r="BZ54" s="848"/>
      <c r="CA54" s="848"/>
      <c r="CB54" s="848"/>
      <c r="CC54" s="848"/>
      <c r="CD54" s="848"/>
      <c r="CE54" s="848"/>
      <c r="CF54" s="848"/>
      <c r="CG54" s="848"/>
      <c r="CH54" s="848"/>
      <c r="CI54" s="848"/>
      <c r="CJ54" s="848"/>
      <c r="CK54" s="848"/>
      <c r="CL54" s="848"/>
      <c r="CM54" s="848"/>
      <c r="CN54" s="848"/>
      <c r="CO54" s="848"/>
      <c r="CP54" s="848"/>
      <c r="CQ54" s="848"/>
      <c r="CR54" s="848"/>
      <c r="CS54" s="848"/>
      <c r="CT54" s="848"/>
      <c r="CU54" s="848"/>
      <c r="CV54" s="848"/>
      <c r="CW54" s="848"/>
      <c r="CX54" s="848"/>
      <c r="CY54" s="848"/>
      <c r="CZ54" s="848"/>
      <c r="DA54" s="848"/>
      <c r="DB54" s="848"/>
      <c r="DC54" s="848"/>
      <c r="DD54" s="848"/>
      <c r="DE54" s="848"/>
      <c r="DF54" s="848"/>
      <c r="DG54" s="848"/>
      <c r="DH54" s="848"/>
      <c r="DI54" s="848"/>
      <c r="DJ54" s="848"/>
      <c r="DK54" s="848"/>
      <c r="DL54" s="848"/>
      <c r="DM54" s="848"/>
      <c r="DN54" s="848"/>
      <c r="DO54" s="848"/>
      <c r="DP54" s="848"/>
      <c r="DQ54" s="848"/>
      <c r="DR54" s="848"/>
      <c r="DS54" s="848"/>
      <c r="DT54" s="848"/>
      <c r="DU54" s="848"/>
      <c r="DV54" s="848"/>
      <c r="DW54" s="848"/>
      <c r="DX54" s="848"/>
      <c r="DY54" s="848"/>
      <c r="DZ54" s="848"/>
      <c r="EA54" s="848"/>
      <c r="EB54" s="848"/>
      <c r="EC54" s="848"/>
      <c r="ED54" s="848"/>
      <c r="EE54" s="848"/>
      <c r="EF54" s="848"/>
      <c r="EG54" s="848"/>
      <c r="EH54" s="848"/>
      <c r="EI54" s="848"/>
      <c r="EJ54" s="848"/>
      <c r="EK54" s="848"/>
      <c r="EL54" s="848"/>
    </row>
    <row r="55" spans="2:142" ht="13.5">
      <c r="B55" s="1000"/>
      <c r="C55" s="1001" t="s">
        <v>943</v>
      </c>
      <c r="D55" s="1001"/>
      <c r="F55" s="1001"/>
      <c r="G55" s="1001"/>
      <c r="H55" s="848">
        <f t="shared" si="13"/>
        <v>1173997.6265943483</v>
      </c>
      <c r="I55" s="833"/>
      <c r="J55" s="214">
        <f>SUM(J57:J59)</f>
        <v>0</v>
      </c>
      <c r="K55" s="214">
        <f>SUM(K57:K59)</f>
        <v>0</v>
      </c>
      <c r="L55" s="214">
        <f t="shared" ref="L55:BW55" si="20">SUM(L57:L59)</f>
        <v>0</v>
      </c>
      <c r="M55" s="214">
        <f t="shared" si="20"/>
        <v>0</v>
      </c>
      <c r="N55" s="214">
        <f t="shared" si="20"/>
        <v>0</v>
      </c>
      <c r="O55" s="214">
        <f t="shared" si="20"/>
        <v>0</v>
      </c>
      <c r="P55" s="214">
        <f t="shared" si="20"/>
        <v>0</v>
      </c>
      <c r="Q55" s="214">
        <f t="shared" si="20"/>
        <v>0</v>
      </c>
      <c r="R55" s="214">
        <f t="shared" si="20"/>
        <v>0</v>
      </c>
      <c r="S55" s="214">
        <f t="shared" si="20"/>
        <v>0</v>
      </c>
      <c r="T55" s="214">
        <f t="shared" si="20"/>
        <v>0</v>
      </c>
      <c r="U55" s="214">
        <f t="shared" si="20"/>
        <v>0</v>
      </c>
      <c r="V55" s="214">
        <f t="shared" si="20"/>
        <v>0</v>
      </c>
      <c r="W55" s="214">
        <f t="shared" si="20"/>
        <v>0</v>
      </c>
      <c r="X55" s="214">
        <f t="shared" si="20"/>
        <v>0</v>
      </c>
      <c r="Y55" s="214">
        <f t="shared" si="20"/>
        <v>0</v>
      </c>
      <c r="Z55" s="214">
        <f t="shared" si="20"/>
        <v>0</v>
      </c>
      <c r="AA55" s="214">
        <f t="shared" si="20"/>
        <v>0</v>
      </c>
      <c r="AB55" s="214">
        <f t="shared" si="20"/>
        <v>0</v>
      </c>
      <c r="AC55" s="214">
        <f t="shared" si="20"/>
        <v>0</v>
      </c>
      <c r="AD55" s="214">
        <f t="shared" si="20"/>
        <v>0</v>
      </c>
      <c r="AE55" s="214">
        <f t="shared" si="20"/>
        <v>0</v>
      </c>
      <c r="AF55" s="214">
        <f t="shared" si="20"/>
        <v>0</v>
      </c>
      <c r="AG55" s="214">
        <f t="shared" si="20"/>
        <v>0</v>
      </c>
      <c r="AH55" s="214">
        <f t="shared" si="20"/>
        <v>0</v>
      </c>
      <c r="AI55" s="214">
        <f t="shared" si="20"/>
        <v>0</v>
      </c>
      <c r="AJ55" s="214">
        <f t="shared" si="20"/>
        <v>0</v>
      </c>
      <c r="AK55" s="214">
        <f t="shared" si="20"/>
        <v>0</v>
      </c>
      <c r="AL55" s="214">
        <f t="shared" si="20"/>
        <v>0</v>
      </c>
      <c r="AM55" s="214">
        <f t="shared" si="20"/>
        <v>0</v>
      </c>
      <c r="AN55" s="214">
        <f t="shared" si="20"/>
        <v>0</v>
      </c>
      <c r="AO55" s="214">
        <f t="shared" si="20"/>
        <v>0</v>
      </c>
      <c r="AP55" s="214">
        <f t="shared" si="20"/>
        <v>0</v>
      </c>
      <c r="AQ55" s="214">
        <f t="shared" si="20"/>
        <v>0</v>
      </c>
      <c r="AR55" s="214">
        <f t="shared" si="20"/>
        <v>0</v>
      </c>
      <c r="AS55" s="214">
        <f t="shared" si="20"/>
        <v>0</v>
      </c>
      <c r="AT55" s="214">
        <f t="shared" si="20"/>
        <v>0</v>
      </c>
      <c r="AU55" s="214">
        <f t="shared" si="20"/>
        <v>0</v>
      </c>
      <c r="AV55" s="214">
        <f t="shared" si="20"/>
        <v>0</v>
      </c>
      <c r="AW55" s="214">
        <f t="shared" si="20"/>
        <v>0</v>
      </c>
      <c r="AX55" s="214">
        <f t="shared" si="20"/>
        <v>0</v>
      </c>
      <c r="AY55" s="214">
        <f t="shared" si="20"/>
        <v>0</v>
      </c>
      <c r="AZ55" s="214">
        <f t="shared" si="20"/>
        <v>0</v>
      </c>
      <c r="BA55" s="214">
        <f t="shared" si="20"/>
        <v>0</v>
      </c>
      <c r="BB55" s="214">
        <f t="shared" si="20"/>
        <v>0</v>
      </c>
      <c r="BC55" s="214">
        <f t="shared" si="20"/>
        <v>0</v>
      </c>
      <c r="BD55" s="214">
        <f t="shared" si="20"/>
        <v>0</v>
      </c>
      <c r="BE55" s="214">
        <f t="shared" si="20"/>
        <v>0</v>
      </c>
      <c r="BF55" s="214">
        <f t="shared" si="20"/>
        <v>0</v>
      </c>
      <c r="BG55" s="214">
        <f t="shared" si="20"/>
        <v>0</v>
      </c>
      <c r="BH55" s="214">
        <f t="shared" si="20"/>
        <v>0</v>
      </c>
      <c r="BI55" s="214">
        <f t="shared" si="20"/>
        <v>0</v>
      </c>
      <c r="BJ55" s="214">
        <f t="shared" si="20"/>
        <v>0</v>
      </c>
      <c r="BK55" s="214">
        <f t="shared" si="20"/>
        <v>0</v>
      </c>
      <c r="BL55" s="214">
        <f t="shared" si="20"/>
        <v>0</v>
      </c>
      <c r="BM55" s="214">
        <f t="shared" si="20"/>
        <v>0</v>
      </c>
      <c r="BN55" s="214">
        <f t="shared" si="20"/>
        <v>0</v>
      </c>
      <c r="BO55" s="214">
        <f t="shared" si="20"/>
        <v>0</v>
      </c>
      <c r="BP55" s="214">
        <f t="shared" si="20"/>
        <v>0</v>
      </c>
      <c r="BQ55" s="214">
        <f t="shared" si="20"/>
        <v>0</v>
      </c>
      <c r="BR55" s="214">
        <f t="shared" si="20"/>
        <v>0</v>
      </c>
      <c r="BS55" s="214">
        <f t="shared" si="20"/>
        <v>0</v>
      </c>
      <c r="BT55" s="214">
        <f t="shared" si="20"/>
        <v>0</v>
      </c>
      <c r="BU55" s="214">
        <f t="shared" si="20"/>
        <v>0</v>
      </c>
      <c r="BV55" s="214">
        <f t="shared" si="20"/>
        <v>0</v>
      </c>
      <c r="BW55" s="214">
        <f t="shared" si="20"/>
        <v>0</v>
      </c>
      <c r="BX55" s="214">
        <f t="shared" ref="BX55:EI55" si="21">SUM(BX57:BX59)</f>
        <v>0</v>
      </c>
      <c r="BY55" s="214">
        <f t="shared" si="21"/>
        <v>0</v>
      </c>
      <c r="BZ55" s="214">
        <f t="shared" si="21"/>
        <v>0</v>
      </c>
      <c r="CA55" s="214">
        <f t="shared" si="21"/>
        <v>0</v>
      </c>
      <c r="CB55" s="214">
        <f t="shared" si="21"/>
        <v>0</v>
      </c>
      <c r="CC55" s="214">
        <f t="shared" si="21"/>
        <v>0</v>
      </c>
      <c r="CD55" s="214">
        <f t="shared" si="21"/>
        <v>0</v>
      </c>
      <c r="CE55" s="214">
        <f t="shared" si="21"/>
        <v>0</v>
      </c>
      <c r="CF55" s="214">
        <f t="shared" si="21"/>
        <v>0</v>
      </c>
      <c r="CG55" s="214">
        <f t="shared" si="21"/>
        <v>0</v>
      </c>
      <c r="CH55" s="214">
        <f t="shared" si="21"/>
        <v>0</v>
      </c>
      <c r="CI55" s="214">
        <f t="shared" si="21"/>
        <v>0</v>
      </c>
      <c r="CJ55" s="214">
        <f t="shared" si="21"/>
        <v>0</v>
      </c>
      <c r="CK55" s="214">
        <f t="shared" si="21"/>
        <v>0</v>
      </c>
      <c r="CL55" s="214">
        <f t="shared" si="21"/>
        <v>0</v>
      </c>
      <c r="CM55" s="214">
        <f t="shared" si="21"/>
        <v>0</v>
      </c>
      <c r="CN55" s="214">
        <f t="shared" si="21"/>
        <v>0</v>
      </c>
      <c r="CO55" s="214">
        <f t="shared" si="21"/>
        <v>0</v>
      </c>
      <c r="CP55" s="214">
        <f t="shared" si="21"/>
        <v>0</v>
      </c>
      <c r="CQ55" s="214">
        <f t="shared" si="21"/>
        <v>0</v>
      </c>
      <c r="CR55" s="214">
        <f t="shared" si="21"/>
        <v>0</v>
      </c>
      <c r="CS55" s="214">
        <f t="shared" si="21"/>
        <v>0</v>
      </c>
      <c r="CT55" s="214">
        <f t="shared" si="21"/>
        <v>0</v>
      </c>
      <c r="CU55" s="214">
        <f t="shared" si="21"/>
        <v>0</v>
      </c>
      <c r="CV55" s="214">
        <f t="shared" si="21"/>
        <v>0</v>
      </c>
      <c r="CW55" s="214">
        <f t="shared" si="21"/>
        <v>0</v>
      </c>
      <c r="CX55" s="214">
        <f t="shared" si="21"/>
        <v>0</v>
      </c>
      <c r="CY55" s="214">
        <f t="shared" si="21"/>
        <v>0</v>
      </c>
      <c r="CZ55" s="214">
        <f t="shared" si="21"/>
        <v>0</v>
      </c>
      <c r="DA55" s="214">
        <f t="shared" si="21"/>
        <v>0</v>
      </c>
      <c r="DB55" s="214">
        <f t="shared" si="21"/>
        <v>0</v>
      </c>
      <c r="DC55" s="214">
        <f t="shared" si="21"/>
        <v>0</v>
      </c>
      <c r="DD55" s="214">
        <f t="shared" si="21"/>
        <v>0</v>
      </c>
      <c r="DE55" s="214">
        <f t="shared" si="21"/>
        <v>0</v>
      </c>
      <c r="DF55" s="214">
        <f t="shared" si="21"/>
        <v>0</v>
      </c>
      <c r="DG55" s="214">
        <f t="shared" si="21"/>
        <v>0</v>
      </c>
      <c r="DH55" s="214">
        <f t="shared" si="21"/>
        <v>0</v>
      </c>
      <c r="DI55" s="214">
        <f t="shared" si="21"/>
        <v>0</v>
      </c>
      <c r="DJ55" s="214">
        <f t="shared" si="21"/>
        <v>0</v>
      </c>
      <c r="DK55" s="214">
        <f t="shared" si="21"/>
        <v>0</v>
      </c>
      <c r="DL55" s="214">
        <f t="shared" si="21"/>
        <v>0</v>
      </c>
      <c r="DM55" s="214">
        <f t="shared" si="21"/>
        <v>0</v>
      </c>
      <c r="DN55" s="214">
        <f t="shared" si="21"/>
        <v>0</v>
      </c>
      <c r="DO55" s="214">
        <f t="shared" si="21"/>
        <v>0</v>
      </c>
      <c r="DP55" s="214">
        <f t="shared" si="21"/>
        <v>0</v>
      </c>
      <c r="DQ55" s="214">
        <f t="shared" si="21"/>
        <v>0</v>
      </c>
      <c r="DR55" s="214">
        <f t="shared" si="21"/>
        <v>0</v>
      </c>
      <c r="DS55" s="214">
        <f t="shared" si="21"/>
        <v>0</v>
      </c>
      <c r="DT55" s="214">
        <f t="shared" si="21"/>
        <v>0</v>
      </c>
      <c r="DU55" s="214">
        <f t="shared" si="21"/>
        <v>0</v>
      </c>
      <c r="DV55" s="214">
        <f t="shared" si="21"/>
        <v>0</v>
      </c>
      <c r="DW55" s="214">
        <f t="shared" si="21"/>
        <v>0</v>
      </c>
      <c r="DX55" s="214">
        <f t="shared" si="21"/>
        <v>0</v>
      </c>
      <c r="DY55" s="214">
        <f t="shared" si="21"/>
        <v>0</v>
      </c>
      <c r="DZ55" s="214">
        <f t="shared" si="21"/>
        <v>1173997.6265943483</v>
      </c>
      <c r="EA55" s="214">
        <f t="shared" si="21"/>
        <v>0</v>
      </c>
      <c r="EB55" s="214">
        <f t="shared" si="21"/>
        <v>0</v>
      </c>
      <c r="EC55" s="214">
        <f t="shared" si="21"/>
        <v>0</v>
      </c>
      <c r="ED55" s="214">
        <f t="shared" si="21"/>
        <v>0</v>
      </c>
      <c r="EE55" s="214">
        <f t="shared" si="21"/>
        <v>0</v>
      </c>
      <c r="EF55" s="214">
        <f t="shared" si="21"/>
        <v>0</v>
      </c>
      <c r="EG55" s="214">
        <f t="shared" si="21"/>
        <v>0</v>
      </c>
      <c r="EH55" s="214">
        <f t="shared" si="21"/>
        <v>0</v>
      </c>
      <c r="EI55" s="214">
        <f t="shared" si="21"/>
        <v>0</v>
      </c>
      <c r="EJ55" s="214">
        <f t="shared" ref="EJ55:EL55" si="22">SUM(EJ57:EJ59)</f>
        <v>0</v>
      </c>
      <c r="EK55" s="214">
        <f t="shared" si="22"/>
        <v>0</v>
      </c>
      <c r="EL55" s="214">
        <f t="shared" si="22"/>
        <v>0</v>
      </c>
    </row>
    <row r="56" spans="2:142">
      <c r="B56" s="1000"/>
      <c r="C56" s="1001"/>
      <c r="D56" s="1001"/>
      <c r="F56" s="1001"/>
      <c r="G56" s="1001"/>
      <c r="H56" s="848"/>
      <c r="I56" s="833"/>
      <c r="J56" s="848"/>
      <c r="K56" s="848"/>
      <c r="L56" s="848"/>
      <c r="M56" s="848"/>
      <c r="N56" s="848"/>
      <c r="O56" s="848"/>
      <c r="P56" s="848"/>
      <c r="Q56" s="848"/>
      <c r="R56" s="848"/>
      <c r="S56" s="848"/>
      <c r="T56" s="848"/>
      <c r="U56" s="848"/>
      <c r="V56" s="848"/>
      <c r="W56" s="848"/>
      <c r="X56" s="848"/>
      <c r="Y56" s="848"/>
      <c r="Z56" s="848"/>
      <c r="AA56" s="848"/>
      <c r="AB56" s="848"/>
      <c r="AC56" s="848"/>
      <c r="AD56" s="848"/>
      <c r="AE56" s="848"/>
      <c r="AF56" s="848"/>
      <c r="AG56" s="848"/>
      <c r="AH56" s="848"/>
      <c r="AI56" s="848"/>
      <c r="AJ56" s="848"/>
      <c r="AK56" s="848"/>
      <c r="AL56" s="848"/>
      <c r="AM56" s="848"/>
      <c r="AN56" s="848"/>
      <c r="AO56" s="848"/>
      <c r="AP56" s="848"/>
      <c r="AQ56" s="848"/>
      <c r="AR56" s="848"/>
      <c r="AS56" s="848"/>
      <c r="AT56" s="848"/>
      <c r="AU56" s="848"/>
      <c r="AV56" s="848"/>
      <c r="AW56" s="848"/>
      <c r="AX56" s="848"/>
      <c r="AY56" s="848"/>
      <c r="AZ56" s="848"/>
      <c r="BA56" s="848"/>
      <c r="BB56" s="848"/>
      <c r="BC56" s="848"/>
      <c r="BD56" s="848"/>
      <c r="BE56" s="848"/>
      <c r="BF56" s="848"/>
      <c r="BG56" s="848"/>
      <c r="BH56" s="848"/>
      <c r="BI56" s="848"/>
      <c r="BJ56" s="848"/>
      <c r="BK56" s="848"/>
      <c r="BL56" s="848"/>
      <c r="BM56" s="848"/>
      <c r="BN56" s="848"/>
      <c r="BO56" s="848"/>
      <c r="BP56" s="848"/>
      <c r="BQ56" s="848"/>
      <c r="BR56" s="848"/>
      <c r="BS56" s="848"/>
      <c r="BT56" s="848"/>
      <c r="BU56" s="848"/>
      <c r="BV56" s="848"/>
      <c r="BW56" s="848"/>
      <c r="BX56" s="848"/>
      <c r="BY56" s="848"/>
      <c r="BZ56" s="848"/>
      <c r="CA56" s="848"/>
      <c r="CB56" s="848"/>
      <c r="CC56" s="848"/>
      <c r="CD56" s="848"/>
      <c r="CE56" s="848"/>
      <c r="CF56" s="848"/>
      <c r="CG56" s="848"/>
      <c r="CH56" s="848"/>
      <c r="CI56" s="848"/>
      <c r="CJ56" s="848"/>
      <c r="CK56" s="848"/>
      <c r="CL56" s="848"/>
      <c r="CM56" s="848"/>
      <c r="CN56" s="848"/>
      <c r="CO56" s="848"/>
      <c r="CP56" s="848"/>
      <c r="CQ56" s="848"/>
      <c r="CR56" s="848"/>
      <c r="CS56" s="848"/>
      <c r="CT56" s="848"/>
      <c r="CU56" s="848"/>
      <c r="CV56" s="848"/>
      <c r="CW56" s="848"/>
      <c r="CX56" s="848"/>
      <c r="CY56" s="848"/>
      <c r="CZ56" s="848"/>
      <c r="DA56" s="848"/>
      <c r="DB56" s="848"/>
      <c r="DC56" s="848"/>
      <c r="DD56" s="848"/>
      <c r="DE56" s="848"/>
      <c r="DF56" s="848"/>
      <c r="DG56" s="848"/>
      <c r="DH56" s="848"/>
      <c r="DI56" s="848"/>
      <c r="DJ56" s="848"/>
      <c r="DK56" s="848"/>
      <c r="DL56" s="848"/>
      <c r="DM56" s="848"/>
      <c r="DN56" s="848"/>
      <c r="DO56" s="848"/>
      <c r="DP56" s="848"/>
      <c r="DQ56" s="848"/>
      <c r="DR56" s="848"/>
      <c r="DS56" s="848"/>
      <c r="DT56" s="848"/>
      <c r="DU56" s="848"/>
      <c r="DV56" s="848"/>
      <c r="DW56" s="848"/>
      <c r="DX56" s="848"/>
      <c r="DY56" s="848"/>
      <c r="DZ56" s="848"/>
      <c r="EA56" s="848"/>
      <c r="EB56" s="848"/>
      <c r="EC56" s="848"/>
      <c r="ED56" s="848"/>
      <c r="EE56" s="848"/>
      <c r="EF56" s="848"/>
      <c r="EG56" s="848"/>
      <c r="EH56" s="848"/>
      <c r="EI56" s="848"/>
      <c r="EJ56" s="848"/>
      <c r="EK56" s="848"/>
      <c r="EL56" s="848"/>
    </row>
    <row r="57" spans="2:142" ht="13.5">
      <c r="B57" s="1000"/>
      <c r="C57" s="911" t="s">
        <v>2164</v>
      </c>
      <c r="D57" s="1001"/>
      <c r="F57" s="1001"/>
      <c r="G57" s="1001"/>
      <c r="H57" s="848">
        <f>SUM(J57:EL57)</f>
        <v>1167355.3783993484</v>
      </c>
      <c r="I57" s="833"/>
      <c r="J57" s="848">
        <v>0</v>
      </c>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1167355.3783993484</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11" t="s">
        <v>2165</v>
      </c>
      <c r="D58" s="1001"/>
      <c r="F58" s="1001"/>
      <c r="G58" s="1001"/>
      <c r="H58" s="848">
        <f>SUM(J58:EL58)</f>
        <v>6642.2481950000001</v>
      </c>
      <c r="I58" s="833"/>
      <c r="J58" s="848">
        <v>0</v>
      </c>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0</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6642.2481950000001</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11" t="s">
        <v>944</v>
      </c>
      <c r="D59" s="1001"/>
      <c r="F59" s="1001"/>
      <c r="G59" s="1001"/>
      <c r="H59" s="848">
        <f>SUM(J59:EL59)</f>
        <v>0</v>
      </c>
      <c r="I59" s="833"/>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c r="CH59" s="214">
        <v>0</v>
      </c>
      <c r="CI59" s="214">
        <v>0</v>
      </c>
      <c r="CJ59" s="214">
        <v>0</v>
      </c>
      <c r="CK59" s="214">
        <v>0</v>
      </c>
      <c r="CL59" s="214">
        <v>0</v>
      </c>
      <c r="CM59" s="214">
        <v>0</v>
      </c>
      <c r="CN59" s="214">
        <v>0</v>
      </c>
      <c r="CO59" s="214">
        <v>0</v>
      </c>
      <c r="CP59" s="214">
        <v>0</v>
      </c>
      <c r="CQ59" s="214">
        <v>0</v>
      </c>
      <c r="CR59" s="214">
        <v>0</v>
      </c>
      <c r="CS59" s="214">
        <v>0</v>
      </c>
      <c r="CT59" s="214">
        <v>0</v>
      </c>
      <c r="CU59" s="214">
        <v>0</v>
      </c>
      <c r="CV59" s="214">
        <v>0</v>
      </c>
      <c r="CW59" s="214">
        <v>0</v>
      </c>
      <c r="CX59" s="214">
        <v>0</v>
      </c>
      <c r="CY59" s="214">
        <v>0</v>
      </c>
      <c r="CZ59" s="214">
        <v>0</v>
      </c>
      <c r="DA59" s="214">
        <v>0</v>
      </c>
      <c r="DB59" s="214">
        <v>0</v>
      </c>
      <c r="DC59" s="214">
        <v>0</v>
      </c>
      <c r="DD59" s="214">
        <v>0</v>
      </c>
      <c r="DE59" s="214">
        <v>0</v>
      </c>
      <c r="DF59" s="214">
        <v>0</v>
      </c>
      <c r="DG59" s="214">
        <v>0</v>
      </c>
      <c r="DH59" s="214">
        <v>0</v>
      </c>
      <c r="DI59" s="214">
        <v>0</v>
      </c>
      <c r="DJ59" s="214">
        <v>0</v>
      </c>
      <c r="DK59" s="214">
        <v>0</v>
      </c>
      <c r="DL59" s="214">
        <v>0</v>
      </c>
      <c r="DM59" s="214">
        <v>0</v>
      </c>
      <c r="DN59" s="214">
        <v>0</v>
      </c>
      <c r="DO59" s="214">
        <v>0</v>
      </c>
      <c r="DP59" s="214">
        <v>0</v>
      </c>
      <c r="DQ59" s="214">
        <v>0</v>
      </c>
      <c r="DR59" s="214">
        <v>0</v>
      </c>
      <c r="DS59" s="214">
        <v>0</v>
      </c>
      <c r="DT59" s="214">
        <v>0</v>
      </c>
      <c r="DU59" s="214">
        <v>0</v>
      </c>
      <c r="DV59" s="214">
        <v>0</v>
      </c>
      <c r="DW59" s="214">
        <v>0</v>
      </c>
      <c r="DX59" s="214">
        <v>0</v>
      </c>
      <c r="DY59" s="214">
        <v>0</v>
      </c>
      <c r="DZ59" s="214">
        <v>0</v>
      </c>
      <c r="EA59" s="214">
        <v>0</v>
      </c>
      <c r="EB59" s="214">
        <v>0</v>
      </c>
      <c r="EC59" s="214">
        <v>0</v>
      </c>
      <c r="ED59" s="214">
        <v>0</v>
      </c>
      <c r="EE59" s="214">
        <v>0</v>
      </c>
      <c r="EF59" s="214">
        <v>0</v>
      </c>
      <c r="EG59" s="214">
        <v>0</v>
      </c>
      <c r="EH59" s="214">
        <v>0</v>
      </c>
      <c r="EI59" s="214">
        <v>0</v>
      </c>
      <c r="EJ59" s="214">
        <v>0</v>
      </c>
      <c r="EK59" s="214">
        <v>0</v>
      </c>
      <c r="EL59" s="214">
        <v>0</v>
      </c>
    </row>
    <row r="60" spans="2:142">
      <c r="B60" s="1000"/>
      <c r="D60" s="1001"/>
      <c r="F60" s="1001"/>
      <c r="G60" s="1001"/>
      <c r="H60" s="848"/>
      <c r="I60" s="833"/>
      <c r="J60" s="848"/>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848"/>
      <c r="EB60" s="848"/>
      <c r="EC60" s="848"/>
      <c r="ED60" s="848"/>
      <c r="EE60" s="848"/>
      <c r="EF60" s="848"/>
      <c r="EG60" s="848"/>
      <c r="EH60" s="848"/>
      <c r="EI60" s="848"/>
      <c r="EJ60" s="848"/>
      <c r="EK60" s="848"/>
      <c r="EL60" s="848"/>
    </row>
    <row r="61" spans="2:142" ht="13.5">
      <c r="B61" s="1000"/>
      <c r="C61" s="1001" t="s">
        <v>945</v>
      </c>
      <c r="D61" s="1001"/>
      <c r="F61" s="1001"/>
      <c r="G61" s="1001"/>
      <c r="H61" s="848">
        <f>SUM(J61:EL61)</f>
        <v>736002.16338399996</v>
      </c>
      <c r="I61" s="833"/>
      <c r="J61" s="214">
        <f t="shared" ref="J61:BU61" si="23">SUM(J63:J66)</f>
        <v>0</v>
      </c>
      <c r="K61" s="214">
        <f t="shared" si="23"/>
        <v>0</v>
      </c>
      <c r="L61" s="214">
        <f t="shared" si="23"/>
        <v>0</v>
      </c>
      <c r="M61" s="214">
        <f t="shared" si="23"/>
        <v>0</v>
      </c>
      <c r="N61" s="214">
        <f t="shared" si="23"/>
        <v>0</v>
      </c>
      <c r="O61" s="214">
        <f t="shared" si="23"/>
        <v>0</v>
      </c>
      <c r="P61" s="214">
        <f t="shared" si="23"/>
        <v>0</v>
      </c>
      <c r="Q61" s="214">
        <f t="shared" si="23"/>
        <v>0</v>
      </c>
      <c r="R61" s="214">
        <f t="shared" si="23"/>
        <v>0</v>
      </c>
      <c r="S61" s="214">
        <f t="shared" si="23"/>
        <v>0</v>
      </c>
      <c r="T61" s="214">
        <f t="shared" si="23"/>
        <v>0</v>
      </c>
      <c r="U61" s="214">
        <f t="shared" si="23"/>
        <v>0</v>
      </c>
      <c r="V61" s="214">
        <f t="shared" si="23"/>
        <v>0</v>
      </c>
      <c r="W61" s="214">
        <f t="shared" si="23"/>
        <v>0</v>
      </c>
      <c r="X61" s="214">
        <f t="shared" si="23"/>
        <v>0</v>
      </c>
      <c r="Y61" s="214">
        <f t="shared" si="23"/>
        <v>0</v>
      </c>
      <c r="Z61" s="214">
        <f t="shared" si="23"/>
        <v>0</v>
      </c>
      <c r="AA61" s="214">
        <f t="shared" si="23"/>
        <v>0</v>
      </c>
      <c r="AB61" s="214">
        <f t="shared" si="23"/>
        <v>0</v>
      </c>
      <c r="AC61" s="214">
        <f t="shared" si="23"/>
        <v>0</v>
      </c>
      <c r="AD61" s="214">
        <f t="shared" si="23"/>
        <v>0</v>
      </c>
      <c r="AE61" s="214">
        <f t="shared" si="23"/>
        <v>0</v>
      </c>
      <c r="AF61" s="214">
        <f t="shared" si="23"/>
        <v>0</v>
      </c>
      <c r="AG61" s="214">
        <f t="shared" si="23"/>
        <v>0</v>
      </c>
      <c r="AH61" s="214">
        <f t="shared" si="23"/>
        <v>0</v>
      </c>
      <c r="AI61" s="214">
        <f t="shared" si="23"/>
        <v>0</v>
      </c>
      <c r="AJ61" s="214">
        <f t="shared" si="23"/>
        <v>0</v>
      </c>
      <c r="AK61" s="214">
        <f t="shared" si="23"/>
        <v>0</v>
      </c>
      <c r="AL61" s="214">
        <f t="shared" si="23"/>
        <v>736002.16338399996</v>
      </c>
      <c r="AM61" s="214">
        <f t="shared" si="23"/>
        <v>0</v>
      </c>
      <c r="AN61" s="214">
        <f t="shared" si="23"/>
        <v>0</v>
      </c>
      <c r="AO61" s="214">
        <f t="shared" si="23"/>
        <v>0</v>
      </c>
      <c r="AP61" s="214">
        <f t="shared" si="23"/>
        <v>0</v>
      </c>
      <c r="AQ61" s="214">
        <f t="shared" si="23"/>
        <v>0</v>
      </c>
      <c r="AR61" s="214">
        <f t="shared" si="23"/>
        <v>0</v>
      </c>
      <c r="AS61" s="214">
        <f t="shared" si="23"/>
        <v>0</v>
      </c>
      <c r="AT61" s="214">
        <f t="shared" si="23"/>
        <v>0</v>
      </c>
      <c r="AU61" s="214">
        <f t="shared" si="23"/>
        <v>0</v>
      </c>
      <c r="AV61" s="214">
        <f t="shared" si="23"/>
        <v>0</v>
      </c>
      <c r="AW61" s="214">
        <f t="shared" si="23"/>
        <v>0</v>
      </c>
      <c r="AX61" s="214">
        <f t="shared" si="23"/>
        <v>0</v>
      </c>
      <c r="AY61" s="214">
        <f t="shared" si="23"/>
        <v>0</v>
      </c>
      <c r="AZ61" s="214">
        <f t="shared" si="23"/>
        <v>0</v>
      </c>
      <c r="BA61" s="214">
        <f t="shared" si="23"/>
        <v>0</v>
      </c>
      <c r="BB61" s="214">
        <f t="shared" si="23"/>
        <v>0</v>
      </c>
      <c r="BC61" s="214">
        <f t="shared" si="23"/>
        <v>0</v>
      </c>
      <c r="BD61" s="214">
        <f t="shared" si="23"/>
        <v>0</v>
      </c>
      <c r="BE61" s="214">
        <f t="shared" si="23"/>
        <v>0</v>
      </c>
      <c r="BF61" s="214">
        <f t="shared" si="23"/>
        <v>0</v>
      </c>
      <c r="BG61" s="214">
        <f t="shared" si="23"/>
        <v>0</v>
      </c>
      <c r="BH61" s="214">
        <f t="shared" si="23"/>
        <v>0</v>
      </c>
      <c r="BI61" s="214">
        <f t="shared" si="23"/>
        <v>0</v>
      </c>
      <c r="BJ61" s="214">
        <f t="shared" si="23"/>
        <v>0</v>
      </c>
      <c r="BK61" s="214">
        <f t="shared" si="23"/>
        <v>0</v>
      </c>
      <c r="BL61" s="214">
        <f t="shared" si="23"/>
        <v>0</v>
      </c>
      <c r="BM61" s="214">
        <f t="shared" si="23"/>
        <v>0</v>
      </c>
      <c r="BN61" s="214">
        <f t="shared" si="23"/>
        <v>0</v>
      </c>
      <c r="BO61" s="214">
        <f t="shared" si="23"/>
        <v>0</v>
      </c>
      <c r="BP61" s="214">
        <f t="shared" si="23"/>
        <v>0</v>
      </c>
      <c r="BQ61" s="214">
        <f t="shared" si="23"/>
        <v>0</v>
      </c>
      <c r="BR61" s="214">
        <f t="shared" si="23"/>
        <v>0</v>
      </c>
      <c r="BS61" s="214">
        <f t="shared" si="23"/>
        <v>0</v>
      </c>
      <c r="BT61" s="214">
        <f t="shared" si="23"/>
        <v>0</v>
      </c>
      <c r="BU61" s="214">
        <f t="shared" si="23"/>
        <v>0</v>
      </c>
      <c r="BV61" s="214">
        <f t="shared" ref="BV61:EG61" si="24">SUM(BV63:BV66)</f>
        <v>0</v>
      </c>
      <c r="BW61" s="214">
        <f t="shared" si="24"/>
        <v>0</v>
      </c>
      <c r="BX61" s="214">
        <f t="shared" si="24"/>
        <v>0</v>
      </c>
      <c r="BY61" s="214">
        <f t="shared" si="24"/>
        <v>0</v>
      </c>
      <c r="BZ61" s="214">
        <f t="shared" si="24"/>
        <v>0</v>
      </c>
      <c r="CA61" s="214">
        <f t="shared" si="24"/>
        <v>0</v>
      </c>
      <c r="CB61" s="214">
        <f t="shared" si="24"/>
        <v>0</v>
      </c>
      <c r="CC61" s="214">
        <f t="shared" si="24"/>
        <v>0</v>
      </c>
      <c r="CD61" s="214">
        <f t="shared" si="24"/>
        <v>0</v>
      </c>
      <c r="CE61" s="214">
        <f t="shared" si="24"/>
        <v>0</v>
      </c>
      <c r="CF61" s="214">
        <f t="shared" si="24"/>
        <v>0</v>
      </c>
      <c r="CG61" s="214">
        <f t="shared" si="24"/>
        <v>0</v>
      </c>
      <c r="CH61" s="214">
        <f t="shared" si="24"/>
        <v>0</v>
      </c>
      <c r="CI61" s="214">
        <f t="shared" si="24"/>
        <v>0</v>
      </c>
      <c r="CJ61" s="214">
        <f t="shared" si="24"/>
        <v>0</v>
      </c>
      <c r="CK61" s="214">
        <f t="shared" si="24"/>
        <v>0</v>
      </c>
      <c r="CL61" s="214">
        <f t="shared" si="24"/>
        <v>0</v>
      </c>
      <c r="CM61" s="214">
        <f t="shared" si="24"/>
        <v>0</v>
      </c>
      <c r="CN61" s="214">
        <f t="shared" si="24"/>
        <v>0</v>
      </c>
      <c r="CO61" s="214">
        <f t="shared" si="24"/>
        <v>0</v>
      </c>
      <c r="CP61" s="214">
        <f t="shared" si="24"/>
        <v>0</v>
      </c>
      <c r="CQ61" s="214">
        <f t="shared" si="24"/>
        <v>0</v>
      </c>
      <c r="CR61" s="214">
        <f t="shared" si="24"/>
        <v>0</v>
      </c>
      <c r="CS61" s="214">
        <f t="shared" si="24"/>
        <v>0</v>
      </c>
      <c r="CT61" s="214">
        <f t="shared" si="24"/>
        <v>0</v>
      </c>
      <c r="CU61" s="214">
        <f t="shared" si="24"/>
        <v>0</v>
      </c>
      <c r="CV61" s="214">
        <f t="shared" si="24"/>
        <v>0</v>
      </c>
      <c r="CW61" s="214">
        <f t="shared" si="24"/>
        <v>0</v>
      </c>
      <c r="CX61" s="214">
        <f t="shared" si="24"/>
        <v>0</v>
      </c>
      <c r="CY61" s="214">
        <f t="shared" si="24"/>
        <v>0</v>
      </c>
      <c r="CZ61" s="214">
        <f t="shared" si="24"/>
        <v>0</v>
      </c>
      <c r="DA61" s="214">
        <f t="shared" si="24"/>
        <v>0</v>
      </c>
      <c r="DB61" s="214">
        <f t="shared" si="24"/>
        <v>0</v>
      </c>
      <c r="DC61" s="214">
        <f t="shared" si="24"/>
        <v>0</v>
      </c>
      <c r="DD61" s="214">
        <f t="shared" si="24"/>
        <v>0</v>
      </c>
      <c r="DE61" s="214">
        <f t="shared" si="24"/>
        <v>0</v>
      </c>
      <c r="DF61" s="214">
        <f t="shared" si="24"/>
        <v>0</v>
      </c>
      <c r="DG61" s="214">
        <f t="shared" si="24"/>
        <v>0</v>
      </c>
      <c r="DH61" s="214">
        <f t="shared" si="24"/>
        <v>0</v>
      </c>
      <c r="DI61" s="214">
        <f t="shared" si="24"/>
        <v>0</v>
      </c>
      <c r="DJ61" s="214">
        <f t="shared" si="24"/>
        <v>0</v>
      </c>
      <c r="DK61" s="214">
        <f t="shared" si="24"/>
        <v>0</v>
      </c>
      <c r="DL61" s="214">
        <f t="shared" si="24"/>
        <v>0</v>
      </c>
      <c r="DM61" s="214">
        <f t="shared" si="24"/>
        <v>0</v>
      </c>
      <c r="DN61" s="214">
        <f t="shared" si="24"/>
        <v>0</v>
      </c>
      <c r="DO61" s="214">
        <f t="shared" si="24"/>
        <v>0</v>
      </c>
      <c r="DP61" s="214">
        <f t="shared" si="24"/>
        <v>0</v>
      </c>
      <c r="DQ61" s="214">
        <f t="shared" si="24"/>
        <v>0</v>
      </c>
      <c r="DR61" s="214">
        <f t="shared" si="24"/>
        <v>0</v>
      </c>
      <c r="DS61" s="214">
        <f t="shared" si="24"/>
        <v>0</v>
      </c>
      <c r="DT61" s="214">
        <f t="shared" si="24"/>
        <v>0</v>
      </c>
      <c r="DU61" s="214">
        <f t="shared" si="24"/>
        <v>0</v>
      </c>
      <c r="DV61" s="214">
        <f t="shared" si="24"/>
        <v>0</v>
      </c>
      <c r="DW61" s="214">
        <f t="shared" si="24"/>
        <v>0</v>
      </c>
      <c r="DX61" s="214">
        <f t="shared" si="24"/>
        <v>0</v>
      </c>
      <c r="DY61" s="214">
        <f t="shared" si="24"/>
        <v>0</v>
      </c>
      <c r="DZ61" s="214">
        <f t="shared" si="24"/>
        <v>0</v>
      </c>
      <c r="EA61" s="214">
        <f t="shared" si="24"/>
        <v>0</v>
      </c>
      <c r="EB61" s="214">
        <f t="shared" si="24"/>
        <v>0</v>
      </c>
      <c r="EC61" s="214">
        <f t="shared" si="24"/>
        <v>0</v>
      </c>
      <c r="ED61" s="214">
        <f t="shared" si="24"/>
        <v>0</v>
      </c>
      <c r="EE61" s="214">
        <f t="shared" si="24"/>
        <v>0</v>
      </c>
      <c r="EF61" s="214">
        <f t="shared" si="24"/>
        <v>0</v>
      </c>
      <c r="EG61" s="214">
        <f t="shared" si="24"/>
        <v>0</v>
      </c>
      <c r="EH61" s="214">
        <f t="shared" ref="EH61:EL61" si="25">SUM(EH63:EH66)</f>
        <v>0</v>
      </c>
      <c r="EI61" s="214">
        <f t="shared" si="25"/>
        <v>0</v>
      </c>
      <c r="EJ61" s="214">
        <f t="shared" si="25"/>
        <v>0</v>
      </c>
      <c r="EK61" s="214">
        <f t="shared" si="25"/>
        <v>0</v>
      </c>
      <c r="EL61" s="214">
        <f t="shared" si="25"/>
        <v>0</v>
      </c>
    </row>
    <row r="62" spans="2:142">
      <c r="B62" s="1000"/>
      <c r="C62" s="1001"/>
      <c r="D62" s="1001"/>
      <c r="F62" s="1001"/>
      <c r="G62" s="1001"/>
      <c r="H62" s="848"/>
      <c r="I62" s="833"/>
      <c r="J62" s="848"/>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848"/>
      <c r="EB62" s="848"/>
      <c r="EC62" s="848"/>
      <c r="ED62" s="848"/>
      <c r="EE62" s="848"/>
      <c r="EF62" s="848"/>
      <c r="EG62" s="848"/>
      <c r="EH62" s="848"/>
      <c r="EI62" s="848"/>
      <c r="EJ62" s="848"/>
      <c r="EK62" s="848"/>
      <c r="EL62" s="848"/>
    </row>
    <row r="63" spans="2:142" ht="13.5">
      <c r="B63" s="1000"/>
      <c r="C63" s="911" t="s">
        <v>2166</v>
      </c>
      <c r="D63" s="1001"/>
      <c r="F63" s="1001"/>
      <c r="G63" s="1001"/>
      <c r="H63" s="848">
        <f>SUM(J63:EL63)</f>
        <v>729359.91518899996</v>
      </c>
      <c r="I63" s="833"/>
      <c r="J63" s="901">
        <v>0</v>
      </c>
      <c r="K63" s="901">
        <v>0</v>
      </c>
      <c r="L63" s="901">
        <v>0</v>
      </c>
      <c r="M63" s="901">
        <v>0</v>
      </c>
      <c r="N63" s="901">
        <v>0</v>
      </c>
      <c r="O63" s="901">
        <v>0</v>
      </c>
      <c r="P63" s="901">
        <v>0</v>
      </c>
      <c r="Q63" s="901">
        <v>0</v>
      </c>
      <c r="R63" s="901">
        <v>0</v>
      </c>
      <c r="S63" s="901">
        <v>0</v>
      </c>
      <c r="T63" s="901">
        <v>0</v>
      </c>
      <c r="U63" s="901">
        <v>0</v>
      </c>
      <c r="V63" s="901">
        <v>0</v>
      </c>
      <c r="W63" s="901">
        <v>0</v>
      </c>
      <c r="X63" s="901">
        <v>0</v>
      </c>
      <c r="Y63" s="901">
        <v>0</v>
      </c>
      <c r="Z63" s="901">
        <v>0</v>
      </c>
      <c r="AA63" s="901">
        <v>0</v>
      </c>
      <c r="AB63" s="901">
        <v>0</v>
      </c>
      <c r="AC63" s="901">
        <v>0</v>
      </c>
      <c r="AD63" s="901">
        <v>0</v>
      </c>
      <c r="AE63" s="901">
        <v>0</v>
      </c>
      <c r="AF63" s="901">
        <v>0</v>
      </c>
      <c r="AG63" s="901">
        <v>0</v>
      </c>
      <c r="AH63" s="901">
        <v>0</v>
      </c>
      <c r="AI63" s="901">
        <v>0</v>
      </c>
      <c r="AJ63" s="901">
        <v>0</v>
      </c>
      <c r="AK63" s="901">
        <v>0</v>
      </c>
      <c r="AL63" s="901">
        <v>729359.91518899996</v>
      </c>
      <c r="AM63" s="901">
        <v>0</v>
      </c>
      <c r="AN63" s="901">
        <v>0</v>
      </c>
      <c r="AO63" s="901">
        <v>0</v>
      </c>
      <c r="AP63" s="901">
        <v>0</v>
      </c>
      <c r="AQ63" s="901">
        <v>0</v>
      </c>
      <c r="AR63" s="901">
        <v>0</v>
      </c>
      <c r="AS63" s="901">
        <v>0</v>
      </c>
      <c r="AT63" s="901">
        <v>0</v>
      </c>
      <c r="AU63" s="901">
        <v>0</v>
      </c>
      <c r="AV63" s="901">
        <v>0</v>
      </c>
      <c r="AW63" s="901">
        <v>0</v>
      </c>
      <c r="AX63" s="901">
        <v>0</v>
      </c>
      <c r="AY63" s="901">
        <v>0</v>
      </c>
      <c r="AZ63" s="901">
        <v>0</v>
      </c>
      <c r="BA63" s="901">
        <v>0</v>
      </c>
      <c r="BB63" s="901">
        <v>0</v>
      </c>
      <c r="BC63" s="901">
        <v>0</v>
      </c>
      <c r="BD63" s="901">
        <v>0</v>
      </c>
      <c r="BE63" s="901">
        <v>0</v>
      </c>
      <c r="BF63" s="901">
        <v>0</v>
      </c>
      <c r="BG63" s="901">
        <v>0</v>
      </c>
      <c r="BH63" s="901">
        <v>0</v>
      </c>
      <c r="BI63" s="901">
        <v>0</v>
      </c>
      <c r="BJ63" s="901">
        <v>0</v>
      </c>
      <c r="BK63" s="901">
        <v>0</v>
      </c>
      <c r="BL63" s="901">
        <v>0</v>
      </c>
      <c r="BM63" s="901">
        <v>0</v>
      </c>
      <c r="BN63" s="901">
        <v>0</v>
      </c>
      <c r="BO63" s="901">
        <v>0</v>
      </c>
      <c r="BP63" s="901">
        <v>0</v>
      </c>
      <c r="BQ63" s="901">
        <v>0</v>
      </c>
      <c r="BR63" s="901">
        <v>0</v>
      </c>
      <c r="BS63" s="901">
        <v>0</v>
      </c>
      <c r="BT63" s="901">
        <v>0</v>
      </c>
      <c r="BU63" s="901">
        <v>0</v>
      </c>
      <c r="BV63" s="901">
        <v>0</v>
      </c>
      <c r="BW63" s="901">
        <v>0</v>
      </c>
      <c r="BX63" s="901">
        <v>0</v>
      </c>
      <c r="BY63" s="901">
        <v>0</v>
      </c>
      <c r="BZ63" s="901">
        <v>0</v>
      </c>
      <c r="CA63" s="901">
        <v>0</v>
      </c>
      <c r="CB63" s="901">
        <v>0</v>
      </c>
      <c r="CC63" s="901">
        <v>0</v>
      </c>
      <c r="CD63" s="901">
        <v>0</v>
      </c>
      <c r="CE63" s="901">
        <v>0</v>
      </c>
      <c r="CF63" s="901">
        <v>0</v>
      </c>
      <c r="CG63" s="901">
        <v>0</v>
      </c>
      <c r="CH63" s="901">
        <v>0</v>
      </c>
      <c r="CI63" s="901">
        <v>0</v>
      </c>
      <c r="CJ63" s="901">
        <v>0</v>
      </c>
      <c r="CK63" s="901">
        <v>0</v>
      </c>
      <c r="CL63" s="901">
        <v>0</v>
      </c>
      <c r="CM63" s="901">
        <v>0</v>
      </c>
      <c r="CN63" s="901">
        <v>0</v>
      </c>
      <c r="CO63" s="901">
        <v>0</v>
      </c>
      <c r="CP63" s="901">
        <v>0</v>
      </c>
      <c r="CQ63" s="901">
        <v>0</v>
      </c>
      <c r="CR63" s="901">
        <v>0</v>
      </c>
      <c r="CS63" s="901">
        <v>0</v>
      </c>
      <c r="CT63" s="901">
        <v>0</v>
      </c>
      <c r="CU63" s="901">
        <v>0</v>
      </c>
      <c r="CV63" s="901">
        <v>0</v>
      </c>
      <c r="CW63" s="901">
        <v>0</v>
      </c>
      <c r="CX63" s="901">
        <v>0</v>
      </c>
      <c r="CY63" s="901">
        <v>0</v>
      </c>
      <c r="CZ63" s="901">
        <v>0</v>
      </c>
      <c r="DA63" s="901">
        <v>0</v>
      </c>
      <c r="DB63" s="901">
        <v>0</v>
      </c>
      <c r="DC63" s="901">
        <v>0</v>
      </c>
      <c r="DD63" s="901">
        <v>0</v>
      </c>
      <c r="DE63" s="901">
        <v>0</v>
      </c>
      <c r="DF63" s="901">
        <v>0</v>
      </c>
      <c r="DG63" s="901">
        <v>0</v>
      </c>
      <c r="DH63" s="901">
        <v>0</v>
      </c>
      <c r="DI63" s="901">
        <v>0</v>
      </c>
      <c r="DJ63" s="901">
        <v>0</v>
      </c>
      <c r="DK63" s="901">
        <v>0</v>
      </c>
      <c r="DL63" s="901">
        <v>0</v>
      </c>
      <c r="DM63" s="901">
        <v>0</v>
      </c>
      <c r="DN63" s="901">
        <v>0</v>
      </c>
      <c r="DO63" s="901">
        <v>0</v>
      </c>
      <c r="DP63" s="901">
        <v>0</v>
      </c>
      <c r="DQ63" s="901">
        <v>0</v>
      </c>
      <c r="DR63" s="901">
        <v>0</v>
      </c>
      <c r="DS63" s="901">
        <v>0</v>
      </c>
      <c r="DT63" s="901">
        <v>0</v>
      </c>
      <c r="DU63" s="901">
        <v>0</v>
      </c>
      <c r="DV63" s="901">
        <v>0</v>
      </c>
      <c r="DW63" s="901">
        <v>0</v>
      </c>
      <c r="DX63" s="901">
        <v>0</v>
      </c>
      <c r="DY63" s="901">
        <v>0</v>
      </c>
      <c r="DZ63" s="901">
        <v>0</v>
      </c>
      <c r="EA63" s="901">
        <v>0</v>
      </c>
      <c r="EB63" s="901">
        <v>0</v>
      </c>
      <c r="EC63" s="901">
        <v>0</v>
      </c>
      <c r="ED63" s="901">
        <v>0</v>
      </c>
      <c r="EE63" s="901">
        <v>0</v>
      </c>
      <c r="EF63" s="901">
        <v>0</v>
      </c>
      <c r="EG63" s="901">
        <v>0</v>
      </c>
      <c r="EH63" s="901">
        <v>0</v>
      </c>
      <c r="EI63" s="901">
        <v>0</v>
      </c>
      <c r="EJ63" s="901">
        <v>0</v>
      </c>
      <c r="EK63" s="901">
        <v>0</v>
      </c>
      <c r="EL63" s="901">
        <v>0</v>
      </c>
    </row>
    <row r="64" spans="2:142" ht="13.5">
      <c r="B64" s="1000"/>
      <c r="C64" s="911" t="s">
        <v>2167</v>
      </c>
      <c r="D64" s="1001"/>
      <c r="F64" s="1001"/>
      <c r="G64" s="1001"/>
      <c r="H64" s="848">
        <f>SUM(J64:EL64)</f>
        <v>0</v>
      </c>
      <c r="I64" s="833"/>
      <c r="J64" s="848">
        <v>0</v>
      </c>
      <c r="K64" s="848">
        <v>0</v>
      </c>
      <c r="L64" s="848">
        <v>0</v>
      </c>
      <c r="M64" s="848">
        <v>0</v>
      </c>
      <c r="N64" s="848">
        <v>0</v>
      </c>
      <c r="O64" s="848">
        <v>0</v>
      </c>
      <c r="P64" s="848">
        <v>0</v>
      </c>
      <c r="Q64" s="848">
        <v>0</v>
      </c>
      <c r="R64" s="848">
        <v>0</v>
      </c>
      <c r="S64" s="848">
        <v>0</v>
      </c>
      <c r="T64" s="848">
        <v>0</v>
      </c>
      <c r="U64" s="848">
        <v>0</v>
      </c>
      <c r="V64" s="848">
        <v>0</v>
      </c>
      <c r="W64" s="848">
        <v>0</v>
      </c>
      <c r="X64" s="848">
        <v>0</v>
      </c>
      <c r="Y64" s="848">
        <v>0</v>
      </c>
      <c r="Z64" s="848">
        <v>0</v>
      </c>
      <c r="AA64" s="848">
        <v>0</v>
      </c>
      <c r="AB64" s="848">
        <v>0</v>
      </c>
      <c r="AC64" s="848">
        <v>0</v>
      </c>
      <c r="AD64" s="848">
        <v>0</v>
      </c>
      <c r="AE64" s="848">
        <v>0</v>
      </c>
      <c r="AF64" s="848">
        <v>0</v>
      </c>
      <c r="AG64" s="848">
        <v>0</v>
      </c>
      <c r="AH64" s="848">
        <v>0</v>
      </c>
      <c r="AI64" s="848">
        <v>0</v>
      </c>
      <c r="AJ64" s="848">
        <v>0</v>
      </c>
      <c r="AK64" s="848">
        <v>0</v>
      </c>
      <c r="AL64" s="848">
        <v>0</v>
      </c>
      <c r="AM64" s="848">
        <v>0</v>
      </c>
      <c r="AN64" s="848">
        <v>0</v>
      </c>
      <c r="AO64" s="848">
        <v>0</v>
      </c>
      <c r="AP64" s="848">
        <v>0</v>
      </c>
      <c r="AQ64" s="848">
        <v>0</v>
      </c>
      <c r="AR64" s="848">
        <v>0</v>
      </c>
      <c r="AS64" s="848">
        <v>0</v>
      </c>
      <c r="AT64" s="848">
        <v>0</v>
      </c>
      <c r="AU64" s="848">
        <v>0</v>
      </c>
      <c r="AV64" s="848">
        <v>0</v>
      </c>
      <c r="AW64" s="848">
        <v>0</v>
      </c>
      <c r="AX64" s="848">
        <v>0</v>
      </c>
      <c r="AY64" s="848">
        <v>0</v>
      </c>
      <c r="AZ64" s="848">
        <v>0</v>
      </c>
      <c r="BA64" s="848">
        <v>0</v>
      </c>
      <c r="BB64" s="848">
        <v>0</v>
      </c>
      <c r="BC64" s="848">
        <v>0</v>
      </c>
      <c r="BD64" s="848">
        <v>0</v>
      </c>
      <c r="BE64" s="848">
        <v>0</v>
      </c>
      <c r="BF64" s="848">
        <v>0</v>
      </c>
      <c r="BG64" s="848">
        <v>0</v>
      </c>
      <c r="BH64" s="848">
        <v>0</v>
      </c>
      <c r="BI64" s="848">
        <v>0</v>
      </c>
      <c r="BJ64" s="848">
        <v>0</v>
      </c>
      <c r="BK64" s="848">
        <v>0</v>
      </c>
      <c r="BL64" s="848">
        <v>0</v>
      </c>
      <c r="BM64" s="848">
        <v>0</v>
      </c>
      <c r="BN64" s="848">
        <v>0</v>
      </c>
      <c r="BO64" s="848">
        <v>0</v>
      </c>
      <c r="BP64" s="848">
        <v>0</v>
      </c>
      <c r="BQ64" s="848">
        <v>0</v>
      </c>
      <c r="BR64" s="848">
        <v>0</v>
      </c>
      <c r="BS64" s="848">
        <v>0</v>
      </c>
      <c r="BT64" s="848">
        <v>0</v>
      </c>
      <c r="BU64" s="848">
        <v>0</v>
      </c>
      <c r="BV64" s="848">
        <v>0</v>
      </c>
      <c r="BW64" s="848">
        <v>0</v>
      </c>
      <c r="BX64" s="848">
        <v>0</v>
      </c>
      <c r="BY64" s="848">
        <v>0</v>
      </c>
      <c r="BZ64" s="848">
        <v>0</v>
      </c>
      <c r="CA64" s="848">
        <v>0</v>
      </c>
      <c r="CB64" s="848">
        <v>0</v>
      </c>
      <c r="CC64" s="848">
        <v>0</v>
      </c>
      <c r="CD64" s="848">
        <v>0</v>
      </c>
      <c r="CE64" s="848">
        <v>0</v>
      </c>
      <c r="CF64" s="848">
        <v>0</v>
      </c>
      <c r="CG64" s="848">
        <v>0</v>
      </c>
      <c r="CH64" s="848">
        <v>0</v>
      </c>
      <c r="CI64" s="848">
        <v>0</v>
      </c>
      <c r="CJ64" s="848">
        <v>0</v>
      </c>
      <c r="CK64" s="848">
        <v>0</v>
      </c>
      <c r="CL64" s="848">
        <v>0</v>
      </c>
      <c r="CM64" s="848">
        <v>0</v>
      </c>
      <c r="CN64" s="848">
        <v>0</v>
      </c>
      <c r="CO64" s="848">
        <v>0</v>
      </c>
      <c r="CP64" s="848">
        <v>0</v>
      </c>
      <c r="CQ64" s="848">
        <v>0</v>
      </c>
      <c r="CR64" s="848">
        <v>0</v>
      </c>
      <c r="CS64" s="848">
        <v>0</v>
      </c>
      <c r="CT64" s="848">
        <v>0</v>
      </c>
      <c r="CU64" s="848">
        <v>0</v>
      </c>
      <c r="CV64" s="848">
        <v>0</v>
      </c>
      <c r="CW64" s="848">
        <v>0</v>
      </c>
      <c r="CX64" s="848">
        <v>0</v>
      </c>
      <c r="CY64" s="848">
        <v>0</v>
      </c>
      <c r="CZ64" s="848">
        <v>0</v>
      </c>
      <c r="DA64" s="848">
        <v>0</v>
      </c>
      <c r="DB64" s="848">
        <v>0</v>
      </c>
      <c r="DC64" s="848">
        <v>0</v>
      </c>
      <c r="DD64" s="848">
        <v>0</v>
      </c>
      <c r="DE64" s="848">
        <v>0</v>
      </c>
      <c r="DF64" s="848">
        <v>0</v>
      </c>
      <c r="DG64" s="848">
        <v>0</v>
      </c>
      <c r="DH64" s="848">
        <v>0</v>
      </c>
      <c r="DI64" s="848">
        <v>0</v>
      </c>
      <c r="DJ64" s="848">
        <v>0</v>
      </c>
      <c r="DK64" s="848">
        <v>0</v>
      </c>
      <c r="DL64" s="848">
        <v>0</v>
      </c>
      <c r="DM64" s="848">
        <v>0</v>
      </c>
      <c r="DN64" s="848">
        <v>0</v>
      </c>
      <c r="DO64" s="848">
        <v>0</v>
      </c>
      <c r="DP64" s="848">
        <v>0</v>
      </c>
      <c r="DQ64" s="848">
        <v>0</v>
      </c>
      <c r="DR64" s="848">
        <v>0</v>
      </c>
      <c r="DS64" s="848">
        <v>0</v>
      </c>
      <c r="DT64" s="848">
        <v>0</v>
      </c>
      <c r="DU64" s="848">
        <v>0</v>
      </c>
      <c r="DV64" s="848">
        <v>0</v>
      </c>
      <c r="DW64" s="848">
        <v>0</v>
      </c>
      <c r="DX64" s="848">
        <v>0</v>
      </c>
      <c r="DY64" s="848">
        <v>0</v>
      </c>
      <c r="DZ64" s="848">
        <v>0</v>
      </c>
      <c r="EA64" s="848">
        <v>0</v>
      </c>
      <c r="EB64" s="848">
        <v>0</v>
      </c>
      <c r="EC64" s="848">
        <v>0</v>
      </c>
      <c r="ED64" s="848">
        <v>0</v>
      </c>
      <c r="EE64" s="848">
        <v>0</v>
      </c>
      <c r="EF64" s="848">
        <v>0</v>
      </c>
      <c r="EG64" s="848">
        <v>0</v>
      </c>
      <c r="EH64" s="848">
        <v>0</v>
      </c>
      <c r="EI64" s="848">
        <v>0</v>
      </c>
      <c r="EJ64" s="848">
        <v>0</v>
      </c>
      <c r="EK64" s="848">
        <v>0</v>
      </c>
      <c r="EL64" s="848">
        <v>0</v>
      </c>
    </row>
    <row r="65" spans="2:142" ht="13.5">
      <c r="B65" s="1000"/>
      <c r="C65" s="911" t="s">
        <v>2168</v>
      </c>
      <c r="D65" s="1001"/>
      <c r="F65" s="1001"/>
      <c r="G65" s="1001"/>
      <c r="H65" s="848">
        <f>SUM(J65:EL65)</f>
        <v>6642.2481950000001</v>
      </c>
      <c r="I65" s="833"/>
      <c r="J65" s="848">
        <v>0</v>
      </c>
      <c r="K65" s="848">
        <v>0</v>
      </c>
      <c r="L65" s="848">
        <v>0</v>
      </c>
      <c r="M65" s="848">
        <v>0</v>
      </c>
      <c r="N65" s="848">
        <v>0</v>
      </c>
      <c r="O65" s="848">
        <v>0</v>
      </c>
      <c r="P65" s="848">
        <v>0</v>
      </c>
      <c r="Q65" s="848">
        <v>0</v>
      </c>
      <c r="R65" s="848">
        <v>0</v>
      </c>
      <c r="S65" s="848">
        <v>0</v>
      </c>
      <c r="T65" s="848">
        <v>0</v>
      </c>
      <c r="U65" s="848">
        <v>0</v>
      </c>
      <c r="V65" s="848">
        <v>0</v>
      </c>
      <c r="W65" s="848">
        <v>0</v>
      </c>
      <c r="X65" s="848">
        <v>0</v>
      </c>
      <c r="Y65" s="848">
        <v>0</v>
      </c>
      <c r="Z65" s="848">
        <v>0</v>
      </c>
      <c r="AA65" s="848">
        <v>0</v>
      </c>
      <c r="AB65" s="848">
        <v>0</v>
      </c>
      <c r="AC65" s="848">
        <v>0</v>
      </c>
      <c r="AD65" s="848">
        <v>0</v>
      </c>
      <c r="AE65" s="848">
        <v>0</v>
      </c>
      <c r="AF65" s="848">
        <v>0</v>
      </c>
      <c r="AG65" s="848">
        <v>0</v>
      </c>
      <c r="AH65" s="848">
        <v>0</v>
      </c>
      <c r="AI65" s="848">
        <v>0</v>
      </c>
      <c r="AJ65" s="848">
        <v>0</v>
      </c>
      <c r="AK65" s="848">
        <v>0</v>
      </c>
      <c r="AL65" s="848">
        <v>6642.2481950000001</v>
      </c>
      <c r="AM65" s="848">
        <v>0</v>
      </c>
      <c r="AN65" s="848">
        <v>0</v>
      </c>
      <c r="AO65" s="848">
        <v>0</v>
      </c>
      <c r="AP65" s="848">
        <v>0</v>
      </c>
      <c r="AQ65" s="848">
        <v>0</v>
      </c>
      <c r="AR65" s="848">
        <v>0</v>
      </c>
      <c r="AS65" s="848">
        <v>0</v>
      </c>
      <c r="AT65" s="848">
        <v>0</v>
      </c>
      <c r="AU65" s="848">
        <v>0</v>
      </c>
      <c r="AV65" s="848">
        <v>0</v>
      </c>
      <c r="AW65" s="848">
        <v>0</v>
      </c>
      <c r="AX65" s="848">
        <v>0</v>
      </c>
      <c r="AY65" s="848">
        <v>0</v>
      </c>
      <c r="AZ65" s="848">
        <v>0</v>
      </c>
      <c r="BA65" s="848">
        <v>0</v>
      </c>
      <c r="BB65" s="848">
        <v>0</v>
      </c>
      <c r="BC65" s="848">
        <v>0</v>
      </c>
      <c r="BD65" s="848">
        <v>0</v>
      </c>
      <c r="BE65" s="848">
        <v>0</v>
      </c>
      <c r="BF65" s="848">
        <v>0</v>
      </c>
      <c r="BG65" s="848">
        <v>0</v>
      </c>
      <c r="BH65" s="848">
        <v>0</v>
      </c>
      <c r="BI65" s="848">
        <v>0</v>
      </c>
      <c r="BJ65" s="848">
        <v>0</v>
      </c>
      <c r="BK65" s="848">
        <v>0</v>
      </c>
      <c r="BL65" s="848">
        <v>0</v>
      </c>
      <c r="BM65" s="848">
        <v>0</v>
      </c>
      <c r="BN65" s="848">
        <v>0</v>
      </c>
      <c r="BO65" s="848">
        <v>0</v>
      </c>
      <c r="BP65" s="848">
        <v>0</v>
      </c>
      <c r="BQ65" s="848">
        <v>0</v>
      </c>
      <c r="BR65" s="848">
        <v>0</v>
      </c>
      <c r="BS65" s="848">
        <v>0</v>
      </c>
      <c r="BT65" s="848">
        <v>0</v>
      </c>
      <c r="BU65" s="848">
        <v>0</v>
      </c>
      <c r="BV65" s="848">
        <v>0</v>
      </c>
      <c r="BW65" s="848">
        <v>0</v>
      </c>
      <c r="BX65" s="848">
        <v>0</v>
      </c>
      <c r="BY65" s="848">
        <v>0</v>
      </c>
      <c r="BZ65" s="848">
        <v>0</v>
      </c>
      <c r="CA65" s="848">
        <v>0</v>
      </c>
      <c r="CB65" s="848">
        <v>0</v>
      </c>
      <c r="CC65" s="848">
        <v>0</v>
      </c>
      <c r="CD65" s="848">
        <v>0</v>
      </c>
      <c r="CE65" s="848">
        <v>0</v>
      </c>
      <c r="CF65" s="848">
        <v>0</v>
      </c>
      <c r="CG65" s="848">
        <v>0</v>
      </c>
      <c r="CH65" s="848">
        <v>0</v>
      </c>
      <c r="CI65" s="848">
        <v>0</v>
      </c>
      <c r="CJ65" s="848">
        <v>0</v>
      </c>
      <c r="CK65" s="848">
        <v>0</v>
      </c>
      <c r="CL65" s="848">
        <v>0</v>
      </c>
      <c r="CM65" s="848">
        <v>0</v>
      </c>
      <c r="CN65" s="848">
        <v>0</v>
      </c>
      <c r="CO65" s="848">
        <v>0</v>
      </c>
      <c r="CP65" s="848">
        <v>0</v>
      </c>
      <c r="CQ65" s="848">
        <v>0</v>
      </c>
      <c r="CR65" s="848">
        <v>0</v>
      </c>
      <c r="CS65" s="848">
        <v>0</v>
      </c>
      <c r="CT65" s="848">
        <v>0</v>
      </c>
      <c r="CU65" s="848">
        <v>0</v>
      </c>
      <c r="CV65" s="848">
        <v>0</v>
      </c>
      <c r="CW65" s="848">
        <v>0</v>
      </c>
      <c r="CX65" s="848">
        <v>0</v>
      </c>
      <c r="CY65" s="848">
        <v>0</v>
      </c>
      <c r="CZ65" s="848">
        <v>0</v>
      </c>
      <c r="DA65" s="848">
        <v>0</v>
      </c>
      <c r="DB65" s="848">
        <v>0</v>
      </c>
      <c r="DC65" s="848">
        <v>0</v>
      </c>
      <c r="DD65" s="848">
        <v>0</v>
      </c>
      <c r="DE65" s="848">
        <v>0</v>
      </c>
      <c r="DF65" s="848">
        <v>0</v>
      </c>
      <c r="DG65" s="848">
        <v>0</v>
      </c>
      <c r="DH65" s="848">
        <v>0</v>
      </c>
      <c r="DI65" s="848">
        <v>0</v>
      </c>
      <c r="DJ65" s="848">
        <v>0</v>
      </c>
      <c r="DK65" s="848">
        <v>0</v>
      </c>
      <c r="DL65" s="848">
        <v>0</v>
      </c>
      <c r="DM65" s="848">
        <v>0</v>
      </c>
      <c r="DN65" s="848">
        <v>0</v>
      </c>
      <c r="DO65" s="848">
        <v>0</v>
      </c>
      <c r="DP65" s="848">
        <v>0</v>
      </c>
      <c r="DQ65" s="848">
        <v>0</v>
      </c>
      <c r="DR65" s="848">
        <v>0</v>
      </c>
      <c r="DS65" s="848">
        <v>0</v>
      </c>
      <c r="DT65" s="848">
        <v>0</v>
      </c>
      <c r="DU65" s="848">
        <v>0</v>
      </c>
      <c r="DV65" s="848">
        <v>0</v>
      </c>
      <c r="DW65" s="848">
        <v>0</v>
      </c>
      <c r="DX65" s="848">
        <v>0</v>
      </c>
      <c r="DY65" s="848">
        <v>0</v>
      </c>
      <c r="DZ65" s="848">
        <v>0</v>
      </c>
      <c r="EA65" s="848">
        <v>0</v>
      </c>
      <c r="EB65" s="848">
        <v>0</v>
      </c>
      <c r="EC65" s="848">
        <v>0</v>
      </c>
      <c r="ED65" s="848">
        <v>0</v>
      </c>
      <c r="EE65" s="848">
        <v>0</v>
      </c>
      <c r="EF65" s="848">
        <v>0</v>
      </c>
      <c r="EG65" s="848">
        <v>0</v>
      </c>
      <c r="EH65" s="848">
        <v>0</v>
      </c>
      <c r="EI65" s="848">
        <v>0</v>
      </c>
      <c r="EJ65" s="848">
        <v>0</v>
      </c>
      <c r="EK65" s="848">
        <v>0</v>
      </c>
      <c r="EL65" s="848">
        <v>0</v>
      </c>
    </row>
    <row r="66" spans="2:142" s="833" customFormat="1" ht="13.5">
      <c r="B66" s="1000"/>
      <c r="C66" s="911" t="s">
        <v>2169</v>
      </c>
      <c r="D66" s="1001"/>
      <c r="F66" s="1001"/>
      <c r="G66" s="1001"/>
      <c r="H66" s="848">
        <f>SUM(J66:EL66)</f>
        <v>0</v>
      </c>
      <c r="J66" s="848">
        <v>0</v>
      </c>
      <c r="K66" s="848">
        <v>0</v>
      </c>
      <c r="L66" s="848">
        <v>0</v>
      </c>
      <c r="M66" s="848">
        <v>0</v>
      </c>
      <c r="N66" s="848">
        <v>0</v>
      </c>
      <c r="O66" s="848">
        <v>0</v>
      </c>
      <c r="P66" s="848">
        <v>0</v>
      </c>
      <c r="Q66" s="848">
        <v>0</v>
      </c>
      <c r="R66" s="848">
        <v>0</v>
      </c>
      <c r="S66" s="848">
        <v>0</v>
      </c>
      <c r="T66" s="848">
        <v>0</v>
      </c>
      <c r="U66" s="848">
        <v>0</v>
      </c>
      <c r="V66" s="848">
        <v>0</v>
      </c>
      <c r="W66" s="848">
        <v>0</v>
      </c>
      <c r="X66" s="848">
        <v>0</v>
      </c>
      <c r="Y66" s="848">
        <v>0</v>
      </c>
      <c r="Z66" s="848">
        <v>0</v>
      </c>
      <c r="AA66" s="848">
        <v>0</v>
      </c>
      <c r="AB66" s="848">
        <v>0</v>
      </c>
      <c r="AC66" s="848">
        <v>0</v>
      </c>
      <c r="AD66" s="848">
        <v>0</v>
      </c>
      <c r="AE66" s="848">
        <v>0</v>
      </c>
      <c r="AF66" s="848">
        <v>0</v>
      </c>
      <c r="AG66" s="848">
        <v>0</v>
      </c>
      <c r="AH66" s="848">
        <v>0</v>
      </c>
      <c r="AI66" s="848">
        <v>0</v>
      </c>
      <c r="AJ66" s="848">
        <v>0</v>
      </c>
      <c r="AK66" s="848">
        <v>0</v>
      </c>
      <c r="AL66" s="848">
        <v>0</v>
      </c>
      <c r="AM66" s="848">
        <v>0</v>
      </c>
      <c r="AN66" s="848">
        <v>0</v>
      </c>
      <c r="AO66" s="848">
        <v>0</v>
      </c>
      <c r="AP66" s="848">
        <v>0</v>
      </c>
      <c r="AQ66" s="848">
        <v>0</v>
      </c>
      <c r="AR66" s="848">
        <v>0</v>
      </c>
      <c r="AS66" s="848">
        <v>0</v>
      </c>
      <c r="AT66" s="848">
        <v>0</v>
      </c>
      <c r="AU66" s="848">
        <v>0</v>
      </c>
      <c r="AV66" s="848">
        <v>0</v>
      </c>
      <c r="AW66" s="848">
        <v>0</v>
      </c>
      <c r="AX66" s="848">
        <v>0</v>
      </c>
      <c r="AY66" s="848">
        <v>0</v>
      </c>
      <c r="AZ66" s="848">
        <v>0</v>
      </c>
      <c r="BA66" s="848">
        <v>0</v>
      </c>
      <c r="BB66" s="848">
        <v>0</v>
      </c>
      <c r="BC66" s="848">
        <v>0</v>
      </c>
      <c r="BD66" s="848">
        <v>0</v>
      </c>
      <c r="BE66" s="848">
        <v>0</v>
      </c>
      <c r="BF66" s="848">
        <v>0</v>
      </c>
      <c r="BG66" s="848">
        <v>0</v>
      </c>
      <c r="BH66" s="848">
        <v>0</v>
      </c>
      <c r="BI66" s="848">
        <v>0</v>
      </c>
      <c r="BJ66" s="848">
        <v>0</v>
      </c>
      <c r="BK66" s="848">
        <v>0</v>
      </c>
      <c r="BL66" s="848">
        <v>0</v>
      </c>
      <c r="BM66" s="848">
        <v>0</v>
      </c>
      <c r="BN66" s="848">
        <v>0</v>
      </c>
      <c r="BO66" s="848">
        <v>0</v>
      </c>
      <c r="BP66" s="848">
        <v>0</v>
      </c>
      <c r="BQ66" s="848">
        <v>0</v>
      </c>
      <c r="BR66" s="848">
        <v>0</v>
      </c>
      <c r="BS66" s="848">
        <v>0</v>
      </c>
      <c r="BT66" s="848">
        <v>0</v>
      </c>
      <c r="BU66" s="848">
        <v>0</v>
      </c>
      <c r="BV66" s="848">
        <v>0</v>
      </c>
      <c r="BW66" s="848">
        <v>0</v>
      </c>
      <c r="BX66" s="848">
        <v>0</v>
      </c>
      <c r="BY66" s="848">
        <v>0</v>
      </c>
      <c r="BZ66" s="848">
        <v>0</v>
      </c>
      <c r="CA66" s="848">
        <v>0</v>
      </c>
      <c r="CB66" s="848">
        <v>0</v>
      </c>
      <c r="CC66" s="848">
        <v>0</v>
      </c>
      <c r="CD66" s="848">
        <v>0</v>
      </c>
      <c r="CE66" s="848">
        <v>0</v>
      </c>
      <c r="CF66" s="848">
        <v>0</v>
      </c>
      <c r="CG66" s="848">
        <v>0</v>
      </c>
      <c r="CH66" s="848">
        <v>0</v>
      </c>
      <c r="CI66" s="848">
        <v>0</v>
      </c>
      <c r="CJ66" s="848">
        <v>0</v>
      </c>
      <c r="CK66" s="848">
        <v>0</v>
      </c>
      <c r="CL66" s="848">
        <v>0</v>
      </c>
      <c r="CM66" s="848">
        <v>0</v>
      </c>
      <c r="CN66" s="848">
        <v>0</v>
      </c>
      <c r="CO66" s="848">
        <v>0</v>
      </c>
      <c r="CP66" s="848">
        <v>0</v>
      </c>
      <c r="CQ66" s="848">
        <v>0</v>
      </c>
      <c r="CR66" s="848">
        <v>0</v>
      </c>
      <c r="CS66" s="848">
        <v>0</v>
      </c>
      <c r="CT66" s="848">
        <v>0</v>
      </c>
      <c r="CU66" s="848">
        <v>0</v>
      </c>
      <c r="CV66" s="848">
        <v>0</v>
      </c>
      <c r="CW66" s="848">
        <v>0</v>
      </c>
      <c r="CX66" s="848">
        <v>0</v>
      </c>
      <c r="CY66" s="848">
        <v>0</v>
      </c>
      <c r="CZ66" s="848">
        <v>0</v>
      </c>
      <c r="DA66" s="848">
        <v>0</v>
      </c>
      <c r="DB66" s="848">
        <v>0</v>
      </c>
      <c r="DC66" s="848">
        <v>0</v>
      </c>
      <c r="DD66" s="848">
        <v>0</v>
      </c>
      <c r="DE66" s="848">
        <v>0</v>
      </c>
      <c r="DF66" s="848">
        <v>0</v>
      </c>
      <c r="DG66" s="848">
        <v>0</v>
      </c>
      <c r="DH66" s="848">
        <v>0</v>
      </c>
      <c r="DI66" s="848">
        <v>0</v>
      </c>
      <c r="DJ66" s="848">
        <v>0</v>
      </c>
      <c r="DK66" s="848">
        <v>0</v>
      </c>
      <c r="DL66" s="848">
        <v>0</v>
      </c>
      <c r="DM66" s="848">
        <v>0</v>
      </c>
      <c r="DN66" s="848">
        <v>0</v>
      </c>
      <c r="DO66" s="848">
        <v>0</v>
      </c>
      <c r="DP66" s="848">
        <v>0</v>
      </c>
      <c r="DQ66" s="848">
        <v>0</v>
      </c>
      <c r="DR66" s="848">
        <v>0</v>
      </c>
      <c r="DS66" s="848">
        <v>0</v>
      </c>
      <c r="DT66" s="848">
        <v>0</v>
      </c>
      <c r="DU66" s="848">
        <v>0</v>
      </c>
      <c r="DV66" s="848">
        <v>0</v>
      </c>
      <c r="DW66" s="848">
        <v>0</v>
      </c>
      <c r="DX66" s="848">
        <v>0</v>
      </c>
      <c r="DY66" s="848">
        <v>0</v>
      </c>
      <c r="DZ66" s="848">
        <v>0</v>
      </c>
      <c r="EA66" s="848">
        <v>0</v>
      </c>
      <c r="EB66" s="848">
        <v>0</v>
      </c>
      <c r="EC66" s="848">
        <v>0</v>
      </c>
      <c r="ED66" s="848">
        <v>0</v>
      </c>
      <c r="EE66" s="848">
        <v>0</v>
      </c>
      <c r="EF66" s="848">
        <v>0</v>
      </c>
      <c r="EG66" s="848">
        <v>0</v>
      </c>
      <c r="EH66" s="848">
        <v>0</v>
      </c>
      <c r="EI66" s="848">
        <v>0</v>
      </c>
      <c r="EJ66" s="848">
        <v>0</v>
      </c>
      <c r="EK66" s="848">
        <v>0</v>
      </c>
      <c r="EL66" s="848">
        <v>0</v>
      </c>
    </row>
    <row r="67" spans="2:142">
      <c r="B67" s="1069"/>
      <c r="C67" s="1070"/>
      <c r="D67" s="1070"/>
      <c r="E67" s="1070"/>
      <c r="F67" s="1070"/>
      <c r="G67" s="1070"/>
      <c r="H67" s="1071"/>
      <c r="I67" s="945"/>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row>
    <row r="68" spans="2:142">
      <c r="B68" s="1000"/>
      <c r="C68" s="1001"/>
      <c r="D68" s="1001"/>
      <c r="E68" s="1001"/>
      <c r="F68" s="1001"/>
      <c r="G68" s="1001"/>
      <c r="H68" s="1067"/>
      <c r="I68" s="833"/>
      <c r="J68" s="214"/>
      <c r="K68" s="214"/>
      <c r="L68" s="214"/>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row>
    <row r="69" spans="2:142" s="1007" customFormat="1" ht="13.5">
      <c r="B69" s="1004"/>
      <c r="C69" s="994" t="s">
        <v>946</v>
      </c>
      <c r="D69" s="994"/>
      <c r="F69" s="994"/>
      <c r="G69" s="994"/>
      <c r="H69" s="842">
        <f>SUM(J69:EL69)</f>
        <v>-460217.91143779911</v>
      </c>
      <c r="I69" s="843"/>
      <c r="J69" s="842">
        <f t="shared" ref="J69:BU69" si="26">J71-J83</f>
        <v>0</v>
      </c>
      <c r="K69" s="842">
        <f t="shared" si="26"/>
        <v>0</v>
      </c>
      <c r="L69" s="842">
        <f t="shared" si="26"/>
        <v>0</v>
      </c>
      <c r="M69" s="842">
        <f t="shared" si="26"/>
        <v>0</v>
      </c>
      <c r="N69" s="842">
        <f t="shared" si="26"/>
        <v>0</v>
      </c>
      <c r="O69" s="842">
        <f t="shared" si="26"/>
        <v>0</v>
      </c>
      <c r="P69" s="842">
        <f t="shared" si="26"/>
        <v>0</v>
      </c>
      <c r="Q69" s="842">
        <f t="shared" si="26"/>
        <v>0</v>
      </c>
      <c r="R69" s="842">
        <f t="shared" si="26"/>
        <v>0</v>
      </c>
      <c r="S69" s="842">
        <f t="shared" si="26"/>
        <v>0</v>
      </c>
      <c r="T69" s="842">
        <f t="shared" si="26"/>
        <v>0</v>
      </c>
      <c r="U69" s="842">
        <f t="shared" si="26"/>
        <v>0</v>
      </c>
      <c r="V69" s="842">
        <f t="shared" si="26"/>
        <v>0</v>
      </c>
      <c r="W69" s="842">
        <f t="shared" si="26"/>
        <v>0</v>
      </c>
      <c r="X69" s="842">
        <f t="shared" si="26"/>
        <v>0</v>
      </c>
      <c r="Y69" s="842">
        <f t="shared" si="26"/>
        <v>0</v>
      </c>
      <c r="Z69" s="842">
        <f t="shared" si="26"/>
        <v>0</v>
      </c>
      <c r="AA69" s="842">
        <f t="shared" si="26"/>
        <v>0</v>
      </c>
      <c r="AB69" s="842">
        <f t="shared" si="26"/>
        <v>0</v>
      </c>
      <c r="AC69" s="842">
        <f t="shared" si="26"/>
        <v>0</v>
      </c>
      <c r="AD69" s="842">
        <f t="shared" si="26"/>
        <v>0</v>
      </c>
      <c r="AE69" s="842">
        <f t="shared" si="26"/>
        <v>0</v>
      </c>
      <c r="AF69" s="842">
        <f t="shared" si="26"/>
        <v>0</v>
      </c>
      <c r="AG69" s="842">
        <f t="shared" si="26"/>
        <v>0</v>
      </c>
      <c r="AH69" s="842">
        <f t="shared" si="26"/>
        <v>0</v>
      </c>
      <c r="AI69" s="842">
        <f t="shared" si="26"/>
        <v>0</v>
      </c>
      <c r="AJ69" s="842">
        <f t="shared" si="26"/>
        <v>0</v>
      </c>
      <c r="AK69" s="842">
        <f t="shared" si="26"/>
        <v>0</v>
      </c>
      <c r="AL69" s="842">
        <f t="shared" si="26"/>
        <v>748423.18958299991</v>
      </c>
      <c r="AM69" s="842">
        <f t="shared" si="26"/>
        <v>0</v>
      </c>
      <c r="AN69" s="842">
        <f t="shared" si="26"/>
        <v>0</v>
      </c>
      <c r="AO69" s="842">
        <f t="shared" si="26"/>
        <v>-7466.2662870000004</v>
      </c>
      <c r="AP69" s="842">
        <f t="shared" si="26"/>
        <v>0</v>
      </c>
      <c r="AQ69" s="842">
        <f t="shared" si="26"/>
        <v>0</v>
      </c>
      <c r="AR69" s="842">
        <f t="shared" si="26"/>
        <v>0</v>
      </c>
      <c r="AS69" s="842">
        <f t="shared" si="26"/>
        <v>0</v>
      </c>
      <c r="AT69" s="842">
        <f t="shared" si="26"/>
        <v>15332</v>
      </c>
      <c r="AU69" s="842">
        <f t="shared" si="26"/>
        <v>-4860</v>
      </c>
      <c r="AV69" s="842">
        <f t="shared" si="26"/>
        <v>0</v>
      </c>
      <c r="AW69" s="842">
        <f t="shared" si="26"/>
        <v>0</v>
      </c>
      <c r="AX69" s="842">
        <f t="shared" si="26"/>
        <v>0</v>
      </c>
      <c r="AY69" s="842">
        <f t="shared" si="26"/>
        <v>0</v>
      </c>
      <c r="AZ69" s="842">
        <f t="shared" si="26"/>
        <v>0</v>
      </c>
      <c r="BA69" s="842">
        <f t="shared" si="26"/>
        <v>-4860.0000000000018</v>
      </c>
      <c r="BB69" s="842">
        <f t="shared" si="26"/>
        <v>0</v>
      </c>
      <c r="BC69" s="842">
        <f t="shared" si="26"/>
        <v>0</v>
      </c>
      <c r="BD69" s="842">
        <f t="shared" si="26"/>
        <v>0</v>
      </c>
      <c r="BE69" s="842">
        <f t="shared" si="26"/>
        <v>0</v>
      </c>
      <c r="BF69" s="842">
        <f t="shared" si="26"/>
        <v>0</v>
      </c>
      <c r="BG69" s="842">
        <f t="shared" si="26"/>
        <v>-4860.0000000000018</v>
      </c>
      <c r="BH69" s="842">
        <f t="shared" si="26"/>
        <v>0</v>
      </c>
      <c r="BI69" s="842">
        <f t="shared" si="26"/>
        <v>0</v>
      </c>
      <c r="BJ69" s="842">
        <f t="shared" si="26"/>
        <v>0</v>
      </c>
      <c r="BK69" s="842">
        <f t="shared" si="26"/>
        <v>0</v>
      </c>
      <c r="BL69" s="842">
        <f t="shared" si="26"/>
        <v>0</v>
      </c>
      <c r="BM69" s="842">
        <f t="shared" si="26"/>
        <v>-4860.0000000000009</v>
      </c>
      <c r="BN69" s="842">
        <f t="shared" si="26"/>
        <v>0</v>
      </c>
      <c r="BO69" s="842">
        <f t="shared" si="26"/>
        <v>0</v>
      </c>
      <c r="BP69" s="842">
        <f t="shared" si="26"/>
        <v>0</v>
      </c>
      <c r="BQ69" s="842">
        <f t="shared" si="26"/>
        <v>0</v>
      </c>
      <c r="BR69" s="842">
        <f t="shared" si="26"/>
        <v>-8310</v>
      </c>
      <c r="BS69" s="842">
        <f t="shared" si="26"/>
        <v>-4860.0000000000009</v>
      </c>
      <c r="BT69" s="842">
        <f t="shared" si="26"/>
        <v>0</v>
      </c>
      <c r="BU69" s="842">
        <f t="shared" si="26"/>
        <v>0</v>
      </c>
      <c r="BV69" s="842">
        <f t="shared" ref="BV69:EG69" si="27">BV71-BV83</f>
        <v>0</v>
      </c>
      <c r="BW69" s="842">
        <f t="shared" si="27"/>
        <v>0</v>
      </c>
      <c r="BX69" s="842">
        <f t="shared" si="27"/>
        <v>0</v>
      </c>
      <c r="BY69" s="842">
        <f t="shared" si="27"/>
        <v>-5943</v>
      </c>
      <c r="BZ69" s="842">
        <f t="shared" si="27"/>
        <v>0</v>
      </c>
      <c r="CA69" s="842">
        <f t="shared" si="27"/>
        <v>0</v>
      </c>
      <c r="CB69" s="842">
        <f t="shared" si="27"/>
        <v>0</v>
      </c>
      <c r="CC69" s="842">
        <f t="shared" si="27"/>
        <v>0</v>
      </c>
      <c r="CD69" s="842">
        <f t="shared" si="27"/>
        <v>0</v>
      </c>
      <c r="CE69" s="842">
        <f t="shared" si="27"/>
        <v>-5942.9999999999973</v>
      </c>
      <c r="CF69" s="842">
        <f t="shared" si="27"/>
        <v>0</v>
      </c>
      <c r="CG69" s="842">
        <f t="shared" si="27"/>
        <v>0</v>
      </c>
      <c r="CH69" s="842">
        <f t="shared" si="27"/>
        <v>0</v>
      </c>
      <c r="CI69" s="842">
        <f t="shared" si="27"/>
        <v>0</v>
      </c>
      <c r="CJ69" s="842">
        <f t="shared" si="27"/>
        <v>0</v>
      </c>
      <c r="CK69" s="842">
        <f t="shared" si="27"/>
        <v>-6100.8872171842295</v>
      </c>
      <c r="CL69" s="842">
        <f t="shared" si="27"/>
        <v>0</v>
      </c>
      <c r="CM69" s="842">
        <f t="shared" si="27"/>
        <v>0</v>
      </c>
      <c r="CN69" s="842">
        <f t="shared" si="27"/>
        <v>0</v>
      </c>
      <c r="CO69" s="842">
        <f t="shared" si="27"/>
        <v>0</v>
      </c>
      <c r="CP69" s="842">
        <f t="shared" si="27"/>
        <v>-8570</v>
      </c>
      <c r="CQ69" s="842">
        <f t="shared" si="27"/>
        <v>-5942.9999999999991</v>
      </c>
      <c r="CR69" s="842">
        <f t="shared" si="27"/>
        <v>0</v>
      </c>
      <c r="CS69" s="842">
        <f t="shared" si="27"/>
        <v>0</v>
      </c>
      <c r="CT69" s="842">
        <f t="shared" si="27"/>
        <v>0</v>
      </c>
      <c r="CU69" s="842">
        <f t="shared" si="27"/>
        <v>0</v>
      </c>
      <c r="CV69" s="842">
        <f t="shared" si="27"/>
        <v>0</v>
      </c>
      <c r="CW69" s="842">
        <f t="shared" si="27"/>
        <v>-5943.0000000000018</v>
      </c>
      <c r="CX69" s="842">
        <f t="shared" si="27"/>
        <v>0</v>
      </c>
      <c r="CY69" s="842">
        <f t="shared" si="27"/>
        <v>0</v>
      </c>
      <c r="CZ69" s="842">
        <f t="shared" si="27"/>
        <v>0</v>
      </c>
      <c r="DA69" s="842">
        <f t="shared" si="27"/>
        <v>0</v>
      </c>
      <c r="DB69" s="842">
        <f t="shared" si="27"/>
        <v>0</v>
      </c>
      <c r="DC69" s="842">
        <f t="shared" si="27"/>
        <v>-8059.4802109788398</v>
      </c>
      <c r="DD69" s="842">
        <f t="shared" si="27"/>
        <v>0</v>
      </c>
      <c r="DE69" s="842">
        <f t="shared" si="27"/>
        <v>0</v>
      </c>
      <c r="DF69" s="842">
        <f t="shared" si="27"/>
        <v>0</v>
      </c>
      <c r="DG69" s="842">
        <f t="shared" si="27"/>
        <v>0</v>
      </c>
      <c r="DH69" s="842">
        <f t="shared" si="27"/>
        <v>0</v>
      </c>
      <c r="DI69" s="842">
        <f t="shared" si="27"/>
        <v>-9744.8104223767514</v>
      </c>
      <c r="DJ69" s="842">
        <f t="shared" si="27"/>
        <v>0</v>
      </c>
      <c r="DK69" s="842">
        <f t="shared" si="27"/>
        <v>0</v>
      </c>
      <c r="DL69" s="842">
        <f t="shared" si="27"/>
        <v>0</v>
      </c>
      <c r="DM69" s="842">
        <f t="shared" si="27"/>
        <v>0</v>
      </c>
      <c r="DN69" s="842">
        <f t="shared" si="27"/>
        <v>0</v>
      </c>
      <c r="DO69" s="842">
        <f t="shared" si="27"/>
        <v>-8546.9776538911428</v>
      </c>
      <c r="DP69" s="842">
        <f t="shared" si="27"/>
        <v>0</v>
      </c>
      <c r="DQ69" s="842">
        <f t="shared" si="27"/>
        <v>0</v>
      </c>
      <c r="DR69" s="842">
        <f t="shared" si="27"/>
        <v>0</v>
      </c>
      <c r="DS69" s="842">
        <f t="shared" si="27"/>
        <v>0</v>
      </c>
      <c r="DT69" s="842">
        <f t="shared" si="27"/>
        <v>0</v>
      </c>
      <c r="DU69" s="842">
        <f t="shared" si="27"/>
        <v>-10258.353380260731</v>
      </c>
      <c r="DV69" s="842">
        <f t="shared" si="27"/>
        <v>0</v>
      </c>
      <c r="DW69" s="842">
        <f t="shared" si="27"/>
        <v>0</v>
      </c>
      <c r="DX69" s="842">
        <f t="shared" si="27"/>
        <v>0</v>
      </c>
      <c r="DY69" s="842">
        <f t="shared" si="27"/>
        <v>0</v>
      </c>
      <c r="DZ69" s="842">
        <f t="shared" si="27"/>
        <v>-1108844.3258491072</v>
      </c>
      <c r="EA69" s="842">
        <f t="shared" si="27"/>
        <v>0</v>
      </c>
      <c r="EB69" s="842">
        <f t="shared" si="27"/>
        <v>0</v>
      </c>
      <c r="EC69" s="842">
        <f t="shared" si="27"/>
        <v>0</v>
      </c>
      <c r="ED69" s="842">
        <f t="shared" si="27"/>
        <v>0</v>
      </c>
      <c r="EE69" s="842">
        <f t="shared" si="27"/>
        <v>0</v>
      </c>
      <c r="EF69" s="842">
        <f t="shared" si="27"/>
        <v>0</v>
      </c>
      <c r="EG69" s="842">
        <f t="shared" si="27"/>
        <v>0</v>
      </c>
      <c r="EH69" s="842">
        <f t="shared" ref="EH69:EL69" si="28">EH71-EH83</f>
        <v>0</v>
      </c>
      <c r="EI69" s="842">
        <f t="shared" si="28"/>
        <v>0</v>
      </c>
      <c r="EJ69" s="842">
        <f t="shared" si="28"/>
        <v>0</v>
      </c>
      <c r="EK69" s="842">
        <f t="shared" si="28"/>
        <v>0</v>
      </c>
      <c r="EL69" s="842">
        <f t="shared" si="28"/>
        <v>0</v>
      </c>
    </row>
    <row r="70" spans="2:142">
      <c r="B70" s="1000"/>
      <c r="C70" s="1001"/>
      <c r="D70" s="1001"/>
      <c r="F70" s="1001"/>
      <c r="G70" s="1001"/>
      <c r="H70" s="1067"/>
      <c r="I70" s="833"/>
      <c r="J70" s="214"/>
      <c r="K70" s="214"/>
      <c r="L70" s="214"/>
      <c r="M70" s="214"/>
      <c r="N70" s="214"/>
      <c r="O70" s="214"/>
      <c r="P70" s="214"/>
      <c r="Q70" s="214"/>
      <c r="R70" s="214"/>
      <c r="S70" s="214"/>
      <c r="T70" s="214"/>
      <c r="U70" s="214"/>
      <c r="V70" s="214"/>
      <c r="W70" s="214"/>
      <c r="X70" s="214"/>
      <c r="Y70" s="214"/>
      <c r="Z70" s="214"/>
      <c r="AA70" s="214"/>
      <c r="AB70" s="214"/>
      <c r="AC70" s="214"/>
      <c r="AD70" s="214"/>
      <c r="AE70" s="214"/>
      <c r="AF70" s="214"/>
      <c r="AG70" s="214"/>
      <c r="AH70" s="214"/>
      <c r="AI70" s="214"/>
      <c r="AJ70" s="214"/>
      <c r="AK70" s="214"/>
      <c r="AL70" s="214"/>
      <c r="AM70" s="214"/>
      <c r="AN70" s="214"/>
      <c r="AO70" s="214"/>
      <c r="AP70" s="214"/>
      <c r="AQ70" s="214"/>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N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c r="CM70" s="214"/>
      <c r="CN70" s="214"/>
      <c r="CO70" s="214"/>
      <c r="CP70" s="214"/>
      <c r="CQ70" s="214"/>
      <c r="CR70" s="214"/>
      <c r="CS70" s="214"/>
      <c r="CT70" s="214"/>
      <c r="CU70" s="214"/>
      <c r="CV70" s="214"/>
      <c r="CW70" s="214"/>
      <c r="CX70" s="214"/>
      <c r="CY70" s="214"/>
      <c r="CZ70" s="214"/>
      <c r="DA70" s="214"/>
      <c r="DB70" s="214"/>
      <c r="DC70" s="214"/>
      <c r="DD70" s="214"/>
      <c r="DE70" s="214"/>
      <c r="DF70" s="214"/>
      <c r="DG70" s="214"/>
      <c r="DH70" s="214"/>
      <c r="DI70" s="214"/>
      <c r="DJ70" s="214"/>
      <c r="DK70" s="214"/>
      <c r="DL70" s="214"/>
      <c r="DM70" s="214"/>
      <c r="DN70" s="214"/>
      <c r="DO70" s="214"/>
      <c r="DP70" s="214"/>
      <c r="DQ70" s="214"/>
      <c r="DR70" s="214"/>
      <c r="DS70" s="214"/>
      <c r="DT70" s="214"/>
      <c r="DU70" s="214"/>
      <c r="DV70" s="214"/>
      <c r="DW70" s="214"/>
      <c r="DX70" s="214"/>
      <c r="DY70" s="214"/>
      <c r="DZ70" s="214"/>
      <c r="EA70" s="214"/>
      <c r="EB70" s="214"/>
      <c r="EC70" s="214"/>
      <c r="ED70" s="214"/>
      <c r="EE70" s="214"/>
      <c r="EF70" s="214"/>
      <c r="EG70" s="214"/>
      <c r="EH70" s="214"/>
      <c r="EI70" s="214"/>
      <c r="EJ70" s="214"/>
      <c r="EK70" s="214"/>
      <c r="EL70" s="214"/>
    </row>
    <row r="71" spans="2:142" ht="13.5">
      <c r="B71" s="1000"/>
      <c r="C71" s="1001" t="s">
        <v>2170</v>
      </c>
      <c r="D71" s="1001"/>
      <c r="F71" s="1001"/>
      <c r="G71" s="1001"/>
      <c r="H71" s="848">
        <f>SUM(J71:EL71)</f>
        <v>2411266.2662869999</v>
      </c>
      <c r="I71" s="833"/>
      <c r="J71" s="214">
        <f t="shared" ref="J71:BU71" si="29">SUM(J73:J81)</f>
        <v>0</v>
      </c>
      <c r="K71" s="214">
        <f t="shared" si="29"/>
        <v>0</v>
      </c>
      <c r="L71" s="214">
        <f t="shared" si="29"/>
        <v>0</v>
      </c>
      <c r="M71" s="214">
        <f t="shared" si="29"/>
        <v>0</v>
      </c>
      <c r="N71" s="214">
        <f t="shared" si="29"/>
        <v>0</v>
      </c>
      <c r="O71" s="214">
        <f t="shared" si="29"/>
        <v>0</v>
      </c>
      <c r="P71" s="214">
        <f t="shared" si="29"/>
        <v>0</v>
      </c>
      <c r="Q71" s="214">
        <f t="shared" si="29"/>
        <v>0</v>
      </c>
      <c r="R71" s="214">
        <f t="shared" si="29"/>
        <v>0</v>
      </c>
      <c r="S71" s="214">
        <f t="shared" si="29"/>
        <v>0</v>
      </c>
      <c r="T71" s="214">
        <f t="shared" si="29"/>
        <v>0</v>
      </c>
      <c r="U71" s="214">
        <f t="shared" si="29"/>
        <v>0</v>
      </c>
      <c r="V71" s="214">
        <f t="shared" si="29"/>
        <v>0</v>
      </c>
      <c r="W71" s="214">
        <f t="shared" si="29"/>
        <v>0</v>
      </c>
      <c r="X71" s="214">
        <f t="shared" si="29"/>
        <v>0</v>
      </c>
      <c r="Y71" s="214">
        <f t="shared" si="29"/>
        <v>0</v>
      </c>
      <c r="Z71" s="214">
        <f t="shared" si="29"/>
        <v>0</v>
      </c>
      <c r="AA71" s="214">
        <f t="shared" si="29"/>
        <v>0</v>
      </c>
      <c r="AB71" s="214">
        <f t="shared" si="29"/>
        <v>0</v>
      </c>
      <c r="AC71" s="214">
        <f t="shared" si="29"/>
        <v>0</v>
      </c>
      <c r="AD71" s="214">
        <f t="shared" si="29"/>
        <v>0</v>
      </c>
      <c r="AE71" s="214">
        <f t="shared" si="29"/>
        <v>0</v>
      </c>
      <c r="AF71" s="214">
        <f t="shared" si="29"/>
        <v>0</v>
      </c>
      <c r="AG71" s="214">
        <f t="shared" si="29"/>
        <v>0</v>
      </c>
      <c r="AH71" s="214">
        <f t="shared" si="29"/>
        <v>0</v>
      </c>
      <c r="AI71" s="214">
        <f t="shared" si="29"/>
        <v>0</v>
      </c>
      <c r="AJ71" s="214">
        <f t="shared" si="29"/>
        <v>0</v>
      </c>
      <c r="AK71" s="214">
        <f t="shared" si="29"/>
        <v>0</v>
      </c>
      <c r="AL71" s="214">
        <f t="shared" si="29"/>
        <v>797266.26628699992</v>
      </c>
      <c r="AM71" s="214">
        <f t="shared" si="29"/>
        <v>0</v>
      </c>
      <c r="AN71" s="214">
        <f t="shared" si="29"/>
        <v>0</v>
      </c>
      <c r="AO71" s="214">
        <f t="shared" si="29"/>
        <v>0</v>
      </c>
      <c r="AP71" s="214">
        <f t="shared" si="29"/>
        <v>0</v>
      </c>
      <c r="AQ71" s="214">
        <f t="shared" si="29"/>
        <v>0</v>
      </c>
      <c r="AR71" s="214">
        <f t="shared" si="29"/>
        <v>0</v>
      </c>
      <c r="AS71" s="214">
        <f t="shared" si="29"/>
        <v>0</v>
      </c>
      <c r="AT71" s="214">
        <f t="shared" si="29"/>
        <v>538000</v>
      </c>
      <c r="AU71" s="214">
        <f t="shared" si="29"/>
        <v>0</v>
      </c>
      <c r="AV71" s="214">
        <f t="shared" si="29"/>
        <v>0</v>
      </c>
      <c r="AW71" s="214">
        <f t="shared" si="29"/>
        <v>0</v>
      </c>
      <c r="AX71" s="214">
        <f t="shared" si="29"/>
        <v>0</v>
      </c>
      <c r="AY71" s="214">
        <f t="shared" si="29"/>
        <v>0</v>
      </c>
      <c r="AZ71" s="214">
        <f t="shared" si="29"/>
        <v>0</v>
      </c>
      <c r="BA71" s="214">
        <f t="shared" si="29"/>
        <v>0</v>
      </c>
      <c r="BB71" s="214">
        <f t="shared" si="29"/>
        <v>0</v>
      </c>
      <c r="BC71" s="214">
        <f t="shared" si="29"/>
        <v>0</v>
      </c>
      <c r="BD71" s="214">
        <f t="shared" si="29"/>
        <v>0</v>
      </c>
      <c r="BE71" s="214">
        <f t="shared" si="29"/>
        <v>0</v>
      </c>
      <c r="BF71" s="214">
        <f t="shared" si="29"/>
        <v>0</v>
      </c>
      <c r="BG71" s="214">
        <f t="shared" si="29"/>
        <v>0</v>
      </c>
      <c r="BH71" s="214">
        <f t="shared" si="29"/>
        <v>0</v>
      </c>
      <c r="BI71" s="214">
        <f t="shared" si="29"/>
        <v>0</v>
      </c>
      <c r="BJ71" s="214">
        <f t="shared" si="29"/>
        <v>0</v>
      </c>
      <c r="BK71" s="214">
        <f t="shared" si="29"/>
        <v>0</v>
      </c>
      <c r="BL71" s="214">
        <f t="shared" si="29"/>
        <v>0</v>
      </c>
      <c r="BM71" s="214">
        <f t="shared" si="29"/>
        <v>0</v>
      </c>
      <c r="BN71" s="214">
        <f t="shared" si="29"/>
        <v>0</v>
      </c>
      <c r="BO71" s="214">
        <f t="shared" si="29"/>
        <v>0</v>
      </c>
      <c r="BP71" s="214">
        <f t="shared" si="29"/>
        <v>0</v>
      </c>
      <c r="BQ71" s="214">
        <f t="shared" si="29"/>
        <v>0</v>
      </c>
      <c r="BR71" s="214">
        <f t="shared" si="29"/>
        <v>538000</v>
      </c>
      <c r="BS71" s="214">
        <f t="shared" si="29"/>
        <v>0</v>
      </c>
      <c r="BT71" s="214">
        <f t="shared" si="29"/>
        <v>0</v>
      </c>
      <c r="BU71" s="214">
        <f t="shared" si="29"/>
        <v>0</v>
      </c>
      <c r="BV71" s="214">
        <f t="shared" ref="BV71:EG71" si="30">SUM(BV73:BV81)</f>
        <v>0</v>
      </c>
      <c r="BW71" s="214">
        <f t="shared" si="30"/>
        <v>0</v>
      </c>
      <c r="BX71" s="214">
        <f t="shared" si="30"/>
        <v>0</v>
      </c>
      <c r="BY71" s="214">
        <f t="shared" si="30"/>
        <v>0</v>
      </c>
      <c r="BZ71" s="214">
        <f t="shared" si="30"/>
        <v>0</v>
      </c>
      <c r="CA71" s="214">
        <f t="shared" si="30"/>
        <v>0</v>
      </c>
      <c r="CB71" s="214">
        <f t="shared" si="30"/>
        <v>0</v>
      </c>
      <c r="CC71" s="214">
        <f t="shared" si="30"/>
        <v>0</v>
      </c>
      <c r="CD71" s="214">
        <f t="shared" si="30"/>
        <v>0</v>
      </c>
      <c r="CE71" s="214">
        <f t="shared" si="30"/>
        <v>0</v>
      </c>
      <c r="CF71" s="214">
        <f t="shared" si="30"/>
        <v>0</v>
      </c>
      <c r="CG71" s="214">
        <f t="shared" si="30"/>
        <v>0</v>
      </c>
      <c r="CH71" s="214">
        <f t="shared" si="30"/>
        <v>0</v>
      </c>
      <c r="CI71" s="214">
        <f t="shared" si="30"/>
        <v>0</v>
      </c>
      <c r="CJ71" s="214">
        <f t="shared" si="30"/>
        <v>0</v>
      </c>
      <c r="CK71" s="214">
        <f t="shared" si="30"/>
        <v>0</v>
      </c>
      <c r="CL71" s="214">
        <f t="shared" si="30"/>
        <v>0</v>
      </c>
      <c r="CM71" s="214">
        <f t="shared" si="30"/>
        <v>0</v>
      </c>
      <c r="CN71" s="214">
        <f t="shared" si="30"/>
        <v>0</v>
      </c>
      <c r="CO71" s="214">
        <f t="shared" si="30"/>
        <v>0</v>
      </c>
      <c r="CP71" s="214">
        <f t="shared" si="30"/>
        <v>538000</v>
      </c>
      <c r="CQ71" s="214">
        <f t="shared" si="30"/>
        <v>0</v>
      </c>
      <c r="CR71" s="214">
        <f t="shared" si="30"/>
        <v>0</v>
      </c>
      <c r="CS71" s="214">
        <f t="shared" si="30"/>
        <v>0</v>
      </c>
      <c r="CT71" s="214">
        <f t="shared" si="30"/>
        <v>0</v>
      </c>
      <c r="CU71" s="214">
        <f t="shared" si="30"/>
        <v>0</v>
      </c>
      <c r="CV71" s="214">
        <f t="shared" si="30"/>
        <v>0</v>
      </c>
      <c r="CW71" s="214">
        <f t="shared" si="30"/>
        <v>0</v>
      </c>
      <c r="CX71" s="214">
        <f t="shared" si="30"/>
        <v>0</v>
      </c>
      <c r="CY71" s="214">
        <f t="shared" si="30"/>
        <v>0</v>
      </c>
      <c r="CZ71" s="214">
        <f t="shared" si="30"/>
        <v>0</v>
      </c>
      <c r="DA71" s="214">
        <f t="shared" si="30"/>
        <v>0</v>
      </c>
      <c r="DB71" s="214">
        <f t="shared" si="30"/>
        <v>0</v>
      </c>
      <c r="DC71" s="214">
        <f t="shared" si="30"/>
        <v>0</v>
      </c>
      <c r="DD71" s="214">
        <f t="shared" si="30"/>
        <v>0</v>
      </c>
      <c r="DE71" s="214">
        <f t="shared" si="30"/>
        <v>0</v>
      </c>
      <c r="DF71" s="214">
        <f t="shared" si="30"/>
        <v>0</v>
      </c>
      <c r="DG71" s="214">
        <f t="shared" si="30"/>
        <v>0</v>
      </c>
      <c r="DH71" s="214">
        <f t="shared" si="30"/>
        <v>0</v>
      </c>
      <c r="DI71" s="214">
        <f t="shared" si="30"/>
        <v>0</v>
      </c>
      <c r="DJ71" s="214">
        <f t="shared" si="30"/>
        <v>0</v>
      </c>
      <c r="DK71" s="214">
        <f t="shared" si="30"/>
        <v>0</v>
      </c>
      <c r="DL71" s="214">
        <f t="shared" si="30"/>
        <v>0</v>
      </c>
      <c r="DM71" s="214">
        <f t="shared" si="30"/>
        <v>0</v>
      </c>
      <c r="DN71" s="214">
        <f t="shared" si="30"/>
        <v>0</v>
      </c>
      <c r="DO71" s="214">
        <f t="shared" si="30"/>
        <v>0</v>
      </c>
      <c r="DP71" s="214">
        <f t="shared" si="30"/>
        <v>0</v>
      </c>
      <c r="DQ71" s="214">
        <f t="shared" si="30"/>
        <v>0</v>
      </c>
      <c r="DR71" s="214">
        <f t="shared" si="30"/>
        <v>0</v>
      </c>
      <c r="DS71" s="214">
        <f t="shared" si="30"/>
        <v>0</v>
      </c>
      <c r="DT71" s="214">
        <f t="shared" si="30"/>
        <v>0</v>
      </c>
      <c r="DU71" s="214">
        <f t="shared" si="30"/>
        <v>0</v>
      </c>
      <c r="DV71" s="214">
        <f t="shared" si="30"/>
        <v>0</v>
      </c>
      <c r="DW71" s="214">
        <f t="shared" si="30"/>
        <v>0</v>
      </c>
      <c r="DX71" s="214">
        <f t="shared" si="30"/>
        <v>0</v>
      </c>
      <c r="DY71" s="214">
        <f t="shared" si="30"/>
        <v>0</v>
      </c>
      <c r="DZ71" s="214">
        <f t="shared" si="30"/>
        <v>0</v>
      </c>
      <c r="EA71" s="214">
        <f t="shared" si="30"/>
        <v>0</v>
      </c>
      <c r="EB71" s="214">
        <f t="shared" si="30"/>
        <v>0</v>
      </c>
      <c r="EC71" s="214">
        <f t="shared" si="30"/>
        <v>0</v>
      </c>
      <c r="ED71" s="214">
        <f t="shared" si="30"/>
        <v>0</v>
      </c>
      <c r="EE71" s="214">
        <f t="shared" si="30"/>
        <v>0</v>
      </c>
      <c r="EF71" s="214">
        <f t="shared" si="30"/>
        <v>0</v>
      </c>
      <c r="EG71" s="214">
        <f t="shared" si="30"/>
        <v>0</v>
      </c>
      <c r="EH71" s="214">
        <f t="shared" ref="EH71:EL71" si="31">SUM(EH73:EH81)</f>
        <v>0</v>
      </c>
      <c r="EI71" s="214">
        <f t="shared" si="31"/>
        <v>0</v>
      </c>
      <c r="EJ71" s="214">
        <f t="shared" si="31"/>
        <v>0</v>
      </c>
      <c r="EK71" s="214">
        <f t="shared" si="31"/>
        <v>0</v>
      </c>
      <c r="EL71" s="214">
        <f t="shared" si="31"/>
        <v>0</v>
      </c>
    </row>
    <row r="72" spans="2:142">
      <c r="B72" s="1000"/>
      <c r="C72" s="1001"/>
      <c r="D72" s="1001"/>
      <c r="F72" s="1001"/>
      <c r="G72" s="1001"/>
      <c r="H72" s="1067"/>
      <c r="I72" s="833"/>
      <c r="J72" s="214"/>
      <c r="K72" s="214"/>
      <c r="L72" s="214"/>
      <c r="M72" s="214"/>
      <c r="N72" s="214"/>
      <c r="O72" s="214"/>
      <c r="P72" s="214"/>
      <c r="Q72" s="214"/>
      <c r="R72" s="214"/>
      <c r="S72" s="214"/>
      <c r="T72" s="214"/>
      <c r="U72" s="214"/>
      <c r="V72" s="214"/>
      <c r="W72" s="214"/>
      <c r="X72" s="214"/>
      <c r="Y72" s="214"/>
      <c r="Z72" s="214"/>
      <c r="AA72" s="214"/>
      <c r="AB72" s="214"/>
      <c r="AC72" s="214"/>
      <c r="AD72" s="214"/>
      <c r="AE72" s="214"/>
      <c r="AF72" s="214"/>
      <c r="AG72" s="214"/>
      <c r="AH72" s="214"/>
      <c r="AI72" s="214"/>
      <c r="AJ72" s="214"/>
      <c r="AK72" s="214"/>
      <c r="AL72" s="214"/>
      <c r="AM72" s="214"/>
      <c r="AN72" s="214"/>
      <c r="AO72" s="214"/>
      <c r="AP72" s="214"/>
      <c r="AQ72" s="214"/>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N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c r="CM72" s="214"/>
      <c r="CN72" s="214"/>
      <c r="CO72" s="214"/>
      <c r="CP72" s="214"/>
      <c r="CQ72" s="214"/>
      <c r="CR72" s="214"/>
      <c r="CS72" s="214"/>
      <c r="CT72" s="214"/>
      <c r="CU72" s="214"/>
      <c r="CV72" s="214"/>
      <c r="CW72" s="214"/>
      <c r="CX72" s="214"/>
      <c r="CY72" s="214"/>
      <c r="CZ72" s="214"/>
      <c r="DA72" s="214"/>
      <c r="DB72" s="214"/>
      <c r="DC72" s="214"/>
      <c r="DD72" s="214"/>
      <c r="DE72" s="214"/>
      <c r="DF72" s="214"/>
      <c r="DG72" s="214"/>
      <c r="DH72" s="214"/>
      <c r="DI72" s="214"/>
      <c r="DJ72" s="214"/>
      <c r="DK72" s="214"/>
      <c r="DL72" s="214"/>
      <c r="DM72" s="214"/>
      <c r="DN72" s="214"/>
      <c r="DO72" s="214"/>
      <c r="DP72" s="214"/>
      <c r="DQ72" s="214"/>
      <c r="DR72" s="214"/>
      <c r="DS72" s="214"/>
      <c r="DT72" s="214"/>
      <c r="DU72" s="214"/>
      <c r="DV72" s="214"/>
      <c r="DW72" s="214"/>
      <c r="DX72" s="214"/>
      <c r="DY72" s="214"/>
      <c r="DZ72" s="214"/>
      <c r="EA72" s="214"/>
      <c r="EB72" s="214"/>
      <c r="EC72" s="214"/>
      <c r="ED72" s="214"/>
      <c r="EE72" s="214"/>
      <c r="EF72" s="214"/>
      <c r="EG72" s="214"/>
      <c r="EH72" s="214"/>
      <c r="EI72" s="214"/>
      <c r="EJ72" s="214"/>
      <c r="EK72" s="214"/>
      <c r="EL72" s="214"/>
    </row>
    <row r="73" spans="2:142" ht="13.5">
      <c r="B73" s="1000"/>
      <c r="C73" s="911" t="s">
        <v>2171</v>
      </c>
      <c r="D73" s="881"/>
      <c r="F73" s="1001"/>
      <c r="G73" s="1001"/>
      <c r="H73" s="848">
        <f t="shared" ref="H73:H81" si="32">SUM(J73:EL73)</f>
        <v>242800</v>
      </c>
      <c r="I73" s="833"/>
      <c r="J73" s="848">
        <v>0</v>
      </c>
      <c r="K73" s="848">
        <v>0</v>
      </c>
      <c r="L73" s="848">
        <v>0</v>
      </c>
      <c r="M73" s="848">
        <v>0</v>
      </c>
      <c r="N73" s="848">
        <v>0</v>
      </c>
      <c r="O73" s="848">
        <v>0</v>
      </c>
      <c r="P73" s="848">
        <v>0</v>
      </c>
      <c r="Q73" s="848">
        <v>0</v>
      </c>
      <c r="R73" s="848">
        <v>0</v>
      </c>
      <c r="S73" s="848">
        <v>0</v>
      </c>
      <c r="T73" s="848">
        <v>0</v>
      </c>
      <c r="U73" s="848">
        <v>0</v>
      </c>
      <c r="V73" s="848">
        <v>0</v>
      </c>
      <c r="W73" s="848">
        <v>0</v>
      </c>
      <c r="X73" s="848">
        <v>0</v>
      </c>
      <c r="Y73" s="848">
        <v>0</v>
      </c>
      <c r="Z73" s="848">
        <v>0</v>
      </c>
      <c r="AA73" s="848">
        <v>0</v>
      </c>
      <c r="AB73" s="848">
        <v>0</v>
      </c>
      <c r="AC73" s="848">
        <v>0</v>
      </c>
      <c r="AD73" s="848">
        <v>0</v>
      </c>
      <c r="AE73" s="848">
        <v>0</v>
      </c>
      <c r="AF73" s="848">
        <v>0</v>
      </c>
      <c r="AG73" s="848">
        <v>0</v>
      </c>
      <c r="AH73" s="848">
        <v>0</v>
      </c>
      <c r="AI73" s="848">
        <v>0</v>
      </c>
      <c r="AJ73" s="848">
        <v>0</v>
      </c>
      <c r="AK73" s="848">
        <v>0</v>
      </c>
      <c r="AL73" s="848">
        <v>242800</v>
      </c>
      <c r="AM73" s="848">
        <v>0</v>
      </c>
      <c r="AN73" s="848">
        <v>0</v>
      </c>
      <c r="AO73" s="848">
        <v>0</v>
      </c>
      <c r="AP73" s="848">
        <v>0</v>
      </c>
      <c r="AQ73" s="848">
        <v>0</v>
      </c>
      <c r="AR73" s="848">
        <v>0</v>
      </c>
      <c r="AS73" s="848">
        <v>0</v>
      </c>
      <c r="AT73" s="848">
        <v>0</v>
      </c>
      <c r="AU73" s="848">
        <v>0</v>
      </c>
      <c r="AV73" s="848">
        <v>0</v>
      </c>
      <c r="AW73" s="848">
        <v>0</v>
      </c>
      <c r="AX73" s="848">
        <v>0</v>
      </c>
      <c r="AY73" s="848">
        <v>0</v>
      </c>
      <c r="AZ73" s="848">
        <v>0</v>
      </c>
      <c r="BA73" s="848">
        <v>0</v>
      </c>
      <c r="BB73" s="848">
        <v>0</v>
      </c>
      <c r="BC73" s="848">
        <v>0</v>
      </c>
      <c r="BD73" s="848">
        <v>0</v>
      </c>
      <c r="BE73" s="848">
        <v>0</v>
      </c>
      <c r="BF73" s="848">
        <v>0</v>
      </c>
      <c r="BG73" s="848">
        <v>0</v>
      </c>
      <c r="BH73" s="848">
        <v>0</v>
      </c>
      <c r="BI73" s="848">
        <v>0</v>
      </c>
      <c r="BJ73" s="848">
        <v>0</v>
      </c>
      <c r="BK73" s="848">
        <v>0</v>
      </c>
      <c r="BL73" s="848">
        <v>0</v>
      </c>
      <c r="BM73" s="848">
        <v>0</v>
      </c>
      <c r="BN73" s="848">
        <v>0</v>
      </c>
      <c r="BO73" s="848">
        <v>0</v>
      </c>
      <c r="BP73" s="848">
        <v>0</v>
      </c>
      <c r="BQ73" s="848">
        <v>0</v>
      </c>
      <c r="BR73" s="848">
        <v>0</v>
      </c>
      <c r="BS73" s="848">
        <v>0</v>
      </c>
      <c r="BT73" s="848">
        <v>0</v>
      </c>
      <c r="BU73" s="848">
        <v>0</v>
      </c>
      <c r="BV73" s="848">
        <v>0</v>
      </c>
      <c r="BW73" s="848">
        <v>0</v>
      </c>
      <c r="BX73" s="848">
        <v>0</v>
      </c>
      <c r="BY73" s="848">
        <v>0</v>
      </c>
      <c r="BZ73" s="848">
        <v>0</v>
      </c>
      <c r="CA73" s="848">
        <v>0</v>
      </c>
      <c r="CB73" s="848">
        <v>0</v>
      </c>
      <c r="CC73" s="848">
        <v>0</v>
      </c>
      <c r="CD73" s="848">
        <v>0</v>
      </c>
      <c r="CE73" s="848">
        <v>0</v>
      </c>
      <c r="CF73" s="848">
        <v>0</v>
      </c>
      <c r="CG73" s="848">
        <v>0</v>
      </c>
      <c r="CH73" s="848">
        <v>0</v>
      </c>
      <c r="CI73" s="848">
        <v>0</v>
      </c>
      <c r="CJ73" s="848">
        <v>0</v>
      </c>
      <c r="CK73" s="848">
        <v>0</v>
      </c>
      <c r="CL73" s="848">
        <v>0</v>
      </c>
      <c r="CM73" s="848">
        <v>0</v>
      </c>
      <c r="CN73" s="848">
        <v>0</v>
      </c>
      <c r="CO73" s="848">
        <v>0</v>
      </c>
      <c r="CP73" s="848">
        <v>0</v>
      </c>
      <c r="CQ73" s="848">
        <v>0</v>
      </c>
      <c r="CR73" s="848">
        <v>0</v>
      </c>
      <c r="CS73" s="848">
        <v>0</v>
      </c>
      <c r="CT73" s="848">
        <v>0</v>
      </c>
      <c r="CU73" s="848">
        <v>0</v>
      </c>
      <c r="CV73" s="848">
        <v>0</v>
      </c>
      <c r="CW73" s="848">
        <v>0</v>
      </c>
      <c r="CX73" s="848">
        <v>0</v>
      </c>
      <c r="CY73" s="848">
        <v>0</v>
      </c>
      <c r="CZ73" s="848">
        <v>0</v>
      </c>
      <c r="DA73" s="848">
        <v>0</v>
      </c>
      <c r="DB73" s="848">
        <v>0</v>
      </c>
      <c r="DC73" s="848">
        <v>0</v>
      </c>
      <c r="DD73" s="848">
        <v>0</v>
      </c>
      <c r="DE73" s="848">
        <v>0</v>
      </c>
      <c r="DF73" s="848">
        <v>0</v>
      </c>
      <c r="DG73" s="848">
        <v>0</v>
      </c>
      <c r="DH73" s="848">
        <v>0</v>
      </c>
      <c r="DI73" s="848">
        <v>0</v>
      </c>
      <c r="DJ73" s="848">
        <v>0</v>
      </c>
      <c r="DK73" s="848">
        <v>0</v>
      </c>
      <c r="DL73" s="848">
        <v>0</v>
      </c>
      <c r="DM73" s="848">
        <v>0</v>
      </c>
      <c r="DN73" s="848">
        <v>0</v>
      </c>
      <c r="DO73" s="848">
        <v>0</v>
      </c>
      <c r="DP73" s="848">
        <v>0</v>
      </c>
      <c r="DQ73" s="848">
        <v>0</v>
      </c>
      <c r="DR73" s="848">
        <v>0</v>
      </c>
      <c r="DS73" s="848">
        <v>0</v>
      </c>
      <c r="DT73" s="848">
        <v>0</v>
      </c>
      <c r="DU73" s="848">
        <v>0</v>
      </c>
      <c r="DV73" s="848">
        <v>0</v>
      </c>
      <c r="DW73" s="848">
        <v>0</v>
      </c>
      <c r="DX73" s="848">
        <v>0</v>
      </c>
      <c r="DY73" s="848">
        <v>0</v>
      </c>
      <c r="DZ73" s="848">
        <v>0</v>
      </c>
      <c r="EA73" s="848">
        <v>0</v>
      </c>
      <c r="EB73" s="848">
        <v>0</v>
      </c>
      <c r="EC73" s="848">
        <v>0</v>
      </c>
      <c r="ED73" s="848">
        <v>0</v>
      </c>
      <c r="EE73" s="848">
        <v>0</v>
      </c>
      <c r="EF73" s="848">
        <v>0</v>
      </c>
      <c r="EG73" s="848">
        <v>0</v>
      </c>
      <c r="EH73" s="848">
        <v>0</v>
      </c>
      <c r="EI73" s="848">
        <v>0</v>
      </c>
      <c r="EJ73" s="848">
        <v>0</v>
      </c>
      <c r="EK73" s="848">
        <v>0</v>
      </c>
      <c r="EL73" s="848">
        <v>0</v>
      </c>
    </row>
    <row r="74" spans="2:142" ht="13.5">
      <c r="B74" s="1000"/>
      <c r="C74" s="911" t="s">
        <v>2172</v>
      </c>
      <c r="D74" s="881"/>
      <c r="F74" s="1001"/>
      <c r="G74" s="1001"/>
      <c r="H74" s="848">
        <f t="shared" si="32"/>
        <v>0</v>
      </c>
      <c r="I74" s="833"/>
      <c r="J74" s="848">
        <v>0</v>
      </c>
      <c r="K74" s="848">
        <v>0</v>
      </c>
      <c r="L74" s="848">
        <v>0</v>
      </c>
      <c r="M74" s="848">
        <v>0</v>
      </c>
      <c r="N74" s="848">
        <v>0</v>
      </c>
      <c r="O74" s="848">
        <v>0</v>
      </c>
      <c r="P74" s="848">
        <v>0</v>
      </c>
      <c r="Q74" s="848">
        <v>0</v>
      </c>
      <c r="R74" s="848">
        <v>0</v>
      </c>
      <c r="S74" s="848">
        <v>0</v>
      </c>
      <c r="T74" s="848">
        <v>0</v>
      </c>
      <c r="U74" s="848">
        <v>0</v>
      </c>
      <c r="V74" s="848">
        <v>0</v>
      </c>
      <c r="W74" s="848">
        <v>0</v>
      </c>
      <c r="X74" s="848">
        <v>0</v>
      </c>
      <c r="Y74" s="848">
        <v>0</v>
      </c>
      <c r="Z74" s="848">
        <v>0</v>
      </c>
      <c r="AA74" s="848">
        <v>0</v>
      </c>
      <c r="AB74" s="848">
        <v>0</v>
      </c>
      <c r="AC74" s="848">
        <v>0</v>
      </c>
      <c r="AD74" s="848">
        <v>0</v>
      </c>
      <c r="AE74" s="848">
        <v>0</v>
      </c>
      <c r="AF74" s="848">
        <v>0</v>
      </c>
      <c r="AG74" s="848">
        <v>0</v>
      </c>
      <c r="AH74" s="848">
        <v>0</v>
      </c>
      <c r="AI74" s="848">
        <v>0</v>
      </c>
      <c r="AJ74" s="848">
        <v>0</v>
      </c>
      <c r="AK74" s="848">
        <v>0</v>
      </c>
      <c r="AL74" s="848">
        <v>0</v>
      </c>
      <c r="AM74" s="848">
        <v>0</v>
      </c>
      <c r="AN74" s="848">
        <v>0</v>
      </c>
      <c r="AO74" s="848">
        <v>0</v>
      </c>
      <c r="AP74" s="848">
        <v>0</v>
      </c>
      <c r="AQ74" s="848">
        <v>0</v>
      </c>
      <c r="AR74" s="848">
        <v>0</v>
      </c>
      <c r="AS74" s="848">
        <v>0</v>
      </c>
      <c r="AT74" s="848">
        <v>0</v>
      </c>
      <c r="AU74" s="848">
        <v>0</v>
      </c>
      <c r="AV74" s="848">
        <v>0</v>
      </c>
      <c r="AW74" s="848">
        <v>0</v>
      </c>
      <c r="AX74" s="848">
        <v>0</v>
      </c>
      <c r="AY74" s="848">
        <v>0</v>
      </c>
      <c r="AZ74" s="848">
        <v>0</v>
      </c>
      <c r="BA74" s="848">
        <v>0</v>
      </c>
      <c r="BB74" s="848">
        <v>0</v>
      </c>
      <c r="BC74" s="848">
        <v>0</v>
      </c>
      <c r="BD74" s="848">
        <v>0</v>
      </c>
      <c r="BE74" s="848">
        <v>0</v>
      </c>
      <c r="BF74" s="848">
        <v>0</v>
      </c>
      <c r="BG74" s="848">
        <v>0</v>
      </c>
      <c r="BH74" s="848">
        <v>0</v>
      </c>
      <c r="BI74" s="848">
        <v>0</v>
      </c>
      <c r="BJ74" s="848">
        <v>0</v>
      </c>
      <c r="BK74" s="848">
        <v>0</v>
      </c>
      <c r="BL74" s="848">
        <v>0</v>
      </c>
      <c r="BM74" s="848">
        <v>0</v>
      </c>
      <c r="BN74" s="848">
        <v>0</v>
      </c>
      <c r="BO74" s="848">
        <v>0</v>
      </c>
      <c r="BP74" s="848">
        <v>0</v>
      </c>
      <c r="BQ74" s="848">
        <v>0</v>
      </c>
      <c r="BR74" s="848">
        <v>0</v>
      </c>
      <c r="BS74" s="848">
        <v>0</v>
      </c>
      <c r="BT74" s="848">
        <v>0</v>
      </c>
      <c r="BU74" s="848">
        <v>0</v>
      </c>
      <c r="BV74" s="848">
        <v>0</v>
      </c>
      <c r="BW74" s="848">
        <v>0</v>
      </c>
      <c r="BX74" s="848">
        <v>0</v>
      </c>
      <c r="BY74" s="848">
        <v>0</v>
      </c>
      <c r="BZ74" s="848">
        <v>0</v>
      </c>
      <c r="CA74" s="848">
        <v>0</v>
      </c>
      <c r="CB74" s="848">
        <v>0</v>
      </c>
      <c r="CC74" s="848">
        <v>0</v>
      </c>
      <c r="CD74" s="848">
        <v>0</v>
      </c>
      <c r="CE74" s="848">
        <v>0</v>
      </c>
      <c r="CF74" s="848">
        <v>0</v>
      </c>
      <c r="CG74" s="848">
        <v>0</v>
      </c>
      <c r="CH74" s="848">
        <v>0</v>
      </c>
      <c r="CI74" s="848">
        <v>0</v>
      </c>
      <c r="CJ74" s="848">
        <v>0</v>
      </c>
      <c r="CK74" s="848">
        <v>0</v>
      </c>
      <c r="CL74" s="848">
        <v>0</v>
      </c>
      <c r="CM74" s="848">
        <v>0</v>
      </c>
      <c r="CN74" s="848">
        <v>0</v>
      </c>
      <c r="CO74" s="848">
        <v>0</v>
      </c>
      <c r="CP74" s="848">
        <v>0</v>
      </c>
      <c r="CQ74" s="848">
        <v>0</v>
      </c>
      <c r="CR74" s="848">
        <v>0</v>
      </c>
      <c r="CS74" s="848">
        <v>0</v>
      </c>
      <c r="CT74" s="848">
        <v>0</v>
      </c>
      <c r="CU74" s="848">
        <v>0</v>
      </c>
      <c r="CV74" s="848">
        <v>0</v>
      </c>
      <c r="CW74" s="848">
        <v>0</v>
      </c>
      <c r="CX74" s="848">
        <v>0</v>
      </c>
      <c r="CY74" s="848">
        <v>0</v>
      </c>
      <c r="CZ74" s="848">
        <v>0</v>
      </c>
      <c r="DA74" s="848">
        <v>0</v>
      </c>
      <c r="DB74" s="848">
        <v>0</v>
      </c>
      <c r="DC74" s="848">
        <v>0</v>
      </c>
      <c r="DD74" s="848">
        <v>0</v>
      </c>
      <c r="DE74" s="848">
        <v>0</v>
      </c>
      <c r="DF74" s="848">
        <v>0</v>
      </c>
      <c r="DG74" s="848">
        <v>0</v>
      </c>
      <c r="DH74" s="848">
        <v>0</v>
      </c>
      <c r="DI74" s="848">
        <v>0</v>
      </c>
      <c r="DJ74" s="848">
        <v>0</v>
      </c>
      <c r="DK74" s="848">
        <v>0</v>
      </c>
      <c r="DL74" s="848">
        <v>0</v>
      </c>
      <c r="DM74" s="848">
        <v>0</v>
      </c>
      <c r="DN74" s="848">
        <v>0</v>
      </c>
      <c r="DO74" s="848">
        <v>0</v>
      </c>
      <c r="DP74" s="848">
        <v>0</v>
      </c>
      <c r="DQ74" s="848">
        <v>0</v>
      </c>
      <c r="DR74" s="848">
        <v>0</v>
      </c>
      <c r="DS74" s="848">
        <v>0</v>
      </c>
      <c r="DT74" s="848">
        <v>0</v>
      </c>
      <c r="DU74" s="848">
        <v>0</v>
      </c>
      <c r="DV74" s="848">
        <v>0</v>
      </c>
      <c r="DW74" s="848">
        <v>0</v>
      </c>
      <c r="DX74" s="848">
        <v>0</v>
      </c>
      <c r="DY74" s="848">
        <v>0</v>
      </c>
      <c r="DZ74" s="848">
        <v>0</v>
      </c>
      <c r="EA74" s="848">
        <v>0</v>
      </c>
      <c r="EB74" s="848">
        <v>0</v>
      </c>
      <c r="EC74" s="848">
        <v>0</v>
      </c>
      <c r="ED74" s="848">
        <v>0</v>
      </c>
      <c r="EE74" s="848">
        <v>0</v>
      </c>
      <c r="EF74" s="848">
        <v>0</v>
      </c>
      <c r="EG74" s="848">
        <v>0</v>
      </c>
      <c r="EH74" s="848">
        <v>0</v>
      </c>
      <c r="EI74" s="848">
        <v>0</v>
      </c>
      <c r="EJ74" s="848">
        <v>0</v>
      </c>
      <c r="EK74" s="848">
        <v>0</v>
      </c>
      <c r="EL74" s="848">
        <v>0</v>
      </c>
    </row>
    <row r="75" spans="2:142" ht="13.5">
      <c r="B75" s="1000"/>
      <c r="C75" s="911" t="s">
        <v>947</v>
      </c>
      <c r="D75" s="1001"/>
      <c r="F75" s="1001"/>
      <c r="G75" s="1001"/>
      <c r="H75" s="848">
        <f t="shared" si="32"/>
        <v>35000</v>
      </c>
      <c r="I75" s="833"/>
      <c r="J75" s="848">
        <v>0</v>
      </c>
      <c r="K75" s="848">
        <v>0</v>
      </c>
      <c r="L75" s="848">
        <v>0</v>
      </c>
      <c r="M75" s="848">
        <v>0</v>
      </c>
      <c r="N75" s="848">
        <v>0</v>
      </c>
      <c r="O75" s="848">
        <v>0</v>
      </c>
      <c r="P75" s="848">
        <v>0</v>
      </c>
      <c r="Q75" s="848">
        <v>0</v>
      </c>
      <c r="R75" s="848">
        <v>0</v>
      </c>
      <c r="S75" s="848">
        <v>0</v>
      </c>
      <c r="T75" s="848">
        <v>0</v>
      </c>
      <c r="U75" s="848">
        <v>0</v>
      </c>
      <c r="V75" s="848">
        <v>0</v>
      </c>
      <c r="W75" s="848">
        <v>0</v>
      </c>
      <c r="X75" s="848">
        <v>0</v>
      </c>
      <c r="Y75" s="848">
        <v>0</v>
      </c>
      <c r="Z75" s="848">
        <v>0</v>
      </c>
      <c r="AA75" s="848">
        <v>0</v>
      </c>
      <c r="AB75" s="848">
        <v>0</v>
      </c>
      <c r="AC75" s="848">
        <v>0</v>
      </c>
      <c r="AD75" s="848">
        <v>0</v>
      </c>
      <c r="AE75" s="848">
        <v>0</v>
      </c>
      <c r="AF75" s="848">
        <v>0</v>
      </c>
      <c r="AG75" s="848">
        <v>0</v>
      </c>
      <c r="AH75" s="848">
        <v>0</v>
      </c>
      <c r="AI75" s="848">
        <v>0</v>
      </c>
      <c r="AJ75" s="848">
        <v>0</v>
      </c>
      <c r="AK75" s="848">
        <v>0</v>
      </c>
      <c r="AL75" s="848">
        <v>35000</v>
      </c>
      <c r="AM75" s="848">
        <v>0</v>
      </c>
      <c r="AN75" s="848">
        <v>0</v>
      </c>
      <c r="AO75" s="848">
        <v>0</v>
      </c>
      <c r="AP75" s="848">
        <v>0</v>
      </c>
      <c r="AQ75" s="848">
        <v>0</v>
      </c>
      <c r="AR75" s="848">
        <v>0</v>
      </c>
      <c r="AS75" s="848">
        <v>0</v>
      </c>
      <c r="AT75" s="848">
        <v>0</v>
      </c>
      <c r="AU75" s="848">
        <v>0</v>
      </c>
      <c r="AV75" s="848">
        <v>0</v>
      </c>
      <c r="AW75" s="848">
        <v>0</v>
      </c>
      <c r="AX75" s="848">
        <v>0</v>
      </c>
      <c r="AY75" s="848">
        <v>0</v>
      </c>
      <c r="AZ75" s="848">
        <v>0</v>
      </c>
      <c r="BA75" s="848">
        <v>0</v>
      </c>
      <c r="BB75" s="848">
        <v>0</v>
      </c>
      <c r="BC75" s="848">
        <v>0</v>
      </c>
      <c r="BD75" s="848">
        <v>0</v>
      </c>
      <c r="BE75" s="848">
        <v>0</v>
      </c>
      <c r="BF75" s="848">
        <v>0</v>
      </c>
      <c r="BG75" s="848">
        <v>0</v>
      </c>
      <c r="BH75" s="848">
        <v>0</v>
      </c>
      <c r="BI75" s="848">
        <v>0</v>
      </c>
      <c r="BJ75" s="848">
        <v>0</v>
      </c>
      <c r="BK75" s="848">
        <v>0</v>
      </c>
      <c r="BL75" s="848">
        <v>0</v>
      </c>
      <c r="BM75" s="848">
        <v>0</v>
      </c>
      <c r="BN75" s="848">
        <v>0</v>
      </c>
      <c r="BO75" s="848">
        <v>0</v>
      </c>
      <c r="BP75" s="848">
        <v>0</v>
      </c>
      <c r="BQ75" s="848">
        <v>0</v>
      </c>
      <c r="BR75" s="848">
        <v>0</v>
      </c>
      <c r="BS75" s="848">
        <v>0</v>
      </c>
      <c r="BT75" s="848">
        <v>0</v>
      </c>
      <c r="BU75" s="848">
        <v>0</v>
      </c>
      <c r="BV75" s="848">
        <v>0</v>
      </c>
      <c r="BW75" s="848">
        <v>0</v>
      </c>
      <c r="BX75" s="848">
        <v>0</v>
      </c>
      <c r="BY75" s="848">
        <v>0</v>
      </c>
      <c r="BZ75" s="848">
        <v>0</v>
      </c>
      <c r="CA75" s="848">
        <v>0</v>
      </c>
      <c r="CB75" s="848">
        <v>0</v>
      </c>
      <c r="CC75" s="848">
        <v>0</v>
      </c>
      <c r="CD75" s="848">
        <v>0</v>
      </c>
      <c r="CE75" s="848">
        <v>0</v>
      </c>
      <c r="CF75" s="848">
        <v>0</v>
      </c>
      <c r="CG75" s="848">
        <v>0</v>
      </c>
      <c r="CH75" s="848">
        <v>0</v>
      </c>
      <c r="CI75" s="848">
        <v>0</v>
      </c>
      <c r="CJ75" s="848">
        <v>0</v>
      </c>
      <c r="CK75" s="848">
        <v>0</v>
      </c>
      <c r="CL75" s="848">
        <v>0</v>
      </c>
      <c r="CM75" s="848">
        <v>0</v>
      </c>
      <c r="CN75" s="848">
        <v>0</v>
      </c>
      <c r="CO75" s="848">
        <v>0</v>
      </c>
      <c r="CP75" s="848">
        <v>0</v>
      </c>
      <c r="CQ75" s="848">
        <v>0</v>
      </c>
      <c r="CR75" s="848">
        <v>0</v>
      </c>
      <c r="CS75" s="848">
        <v>0</v>
      </c>
      <c r="CT75" s="848">
        <v>0</v>
      </c>
      <c r="CU75" s="848">
        <v>0</v>
      </c>
      <c r="CV75" s="848">
        <v>0</v>
      </c>
      <c r="CW75" s="848">
        <v>0</v>
      </c>
      <c r="CX75" s="848">
        <v>0</v>
      </c>
      <c r="CY75" s="848">
        <v>0</v>
      </c>
      <c r="CZ75" s="848">
        <v>0</v>
      </c>
      <c r="DA75" s="848">
        <v>0</v>
      </c>
      <c r="DB75" s="848">
        <v>0</v>
      </c>
      <c r="DC75" s="848">
        <v>0</v>
      </c>
      <c r="DD75" s="848">
        <v>0</v>
      </c>
      <c r="DE75" s="848">
        <v>0</v>
      </c>
      <c r="DF75" s="848">
        <v>0</v>
      </c>
      <c r="DG75" s="848">
        <v>0</v>
      </c>
      <c r="DH75" s="848">
        <v>0</v>
      </c>
      <c r="DI75" s="848">
        <v>0</v>
      </c>
      <c r="DJ75" s="848">
        <v>0</v>
      </c>
      <c r="DK75" s="848">
        <v>0</v>
      </c>
      <c r="DL75" s="848">
        <v>0</v>
      </c>
      <c r="DM75" s="848">
        <v>0</v>
      </c>
      <c r="DN75" s="848">
        <v>0</v>
      </c>
      <c r="DO75" s="848">
        <v>0</v>
      </c>
      <c r="DP75" s="848">
        <v>0</v>
      </c>
      <c r="DQ75" s="848">
        <v>0</v>
      </c>
      <c r="DR75" s="848">
        <v>0</v>
      </c>
      <c r="DS75" s="848">
        <v>0</v>
      </c>
      <c r="DT75" s="848">
        <v>0</v>
      </c>
      <c r="DU75" s="848">
        <v>0</v>
      </c>
      <c r="DV75" s="848">
        <v>0</v>
      </c>
      <c r="DW75" s="848">
        <v>0</v>
      </c>
      <c r="DX75" s="848">
        <v>0</v>
      </c>
      <c r="DY75" s="848">
        <v>0</v>
      </c>
      <c r="DZ75" s="848">
        <v>0</v>
      </c>
      <c r="EA75" s="848">
        <v>0</v>
      </c>
      <c r="EB75" s="848">
        <v>0</v>
      </c>
      <c r="EC75" s="848">
        <v>0</v>
      </c>
      <c r="ED75" s="848">
        <v>0</v>
      </c>
      <c r="EE75" s="848">
        <v>0</v>
      </c>
      <c r="EF75" s="848">
        <v>0</v>
      </c>
      <c r="EG75" s="848">
        <v>0</v>
      </c>
      <c r="EH75" s="848">
        <v>0</v>
      </c>
      <c r="EI75" s="848">
        <v>0</v>
      </c>
      <c r="EJ75" s="848">
        <v>0</v>
      </c>
      <c r="EK75" s="848">
        <v>0</v>
      </c>
      <c r="EL75" s="848">
        <v>0</v>
      </c>
    </row>
    <row r="76" spans="2:142" ht="13.5">
      <c r="B76" s="1000"/>
      <c r="C76" s="1072" t="s">
        <v>2173</v>
      </c>
      <c r="D76" s="1001"/>
      <c r="F76" s="1001"/>
      <c r="G76" s="1001"/>
      <c r="H76" s="848">
        <f t="shared" ref="H76" si="33">SUM(J76:EL76)</f>
        <v>7466.2662870000004</v>
      </c>
      <c r="I76" s="833"/>
      <c r="J76" s="848">
        <v>0</v>
      </c>
      <c r="K76" s="848">
        <v>0</v>
      </c>
      <c r="L76" s="848">
        <v>0</v>
      </c>
      <c r="M76" s="848">
        <v>0</v>
      </c>
      <c r="N76" s="848">
        <v>0</v>
      </c>
      <c r="O76" s="848">
        <v>0</v>
      </c>
      <c r="P76" s="848">
        <v>0</v>
      </c>
      <c r="Q76" s="848">
        <v>0</v>
      </c>
      <c r="R76" s="848">
        <v>0</v>
      </c>
      <c r="S76" s="848">
        <v>0</v>
      </c>
      <c r="T76" s="848">
        <v>0</v>
      </c>
      <c r="U76" s="848">
        <v>0</v>
      </c>
      <c r="V76" s="848">
        <v>0</v>
      </c>
      <c r="W76" s="848">
        <v>0</v>
      </c>
      <c r="X76" s="848">
        <v>0</v>
      </c>
      <c r="Y76" s="848">
        <v>0</v>
      </c>
      <c r="Z76" s="848">
        <v>0</v>
      </c>
      <c r="AA76" s="848">
        <v>0</v>
      </c>
      <c r="AB76" s="848">
        <v>0</v>
      </c>
      <c r="AC76" s="848">
        <v>0</v>
      </c>
      <c r="AD76" s="848">
        <v>0</v>
      </c>
      <c r="AE76" s="848">
        <v>0</v>
      </c>
      <c r="AF76" s="848">
        <v>0</v>
      </c>
      <c r="AG76" s="848">
        <v>0</v>
      </c>
      <c r="AH76" s="848">
        <v>0</v>
      </c>
      <c r="AI76" s="848">
        <v>0</v>
      </c>
      <c r="AJ76" s="848">
        <v>0</v>
      </c>
      <c r="AK76" s="848">
        <v>0</v>
      </c>
      <c r="AL76" s="848">
        <v>7466.2662870000004</v>
      </c>
      <c r="AM76" s="848">
        <v>0</v>
      </c>
      <c r="AN76" s="848">
        <v>0</v>
      </c>
      <c r="AO76" s="848">
        <v>0</v>
      </c>
      <c r="AP76" s="848">
        <v>0</v>
      </c>
      <c r="AQ76" s="848">
        <v>0</v>
      </c>
      <c r="AR76" s="848">
        <v>0</v>
      </c>
      <c r="AS76" s="848">
        <v>0</v>
      </c>
      <c r="AT76" s="848">
        <v>0</v>
      </c>
      <c r="AU76" s="848">
        <v>0</v>
      </c>
      <c r="AV76" s="848">
        <v>0</v>
      </c>
      <c r="AW76" s="848">
        <v>0</v>
      </c>
      <c r="AX76" s="848">
        <v>0</v>
      </c>
      <c r="AY76" s="848">
        <v>0</v>
      </c>
      <c r="AZ76" s="848">
        <v>0</v>
      </c>
      <c r="BA76" s="848">
        <v>0</v>
      </c>
      <c r="BB76" s="848">
        <v>0</v>
      </c>
      <c r="BC76" s="848">
        <v>0</v>
      </c>
      <c r="BD76" s="848">
        <v>0</v>
      </c>
      <c r="BE76" s="848">
        <v>0</v>
      </c>
      <c r="BF76" s="848">
        <v>0</v>
      </c>
      <c r="BG76" s="848">
        <v>0</v>
      </c>
      <c r="BH76" s="848">
        <v>0</v>
      </c>
      <c r="BI76" s="848">
        <v>0</v>
      </c>
      <c r="BJ76" s="848">
        <v>0</v>
      </c>
      <c r="BK76" s="848">
        <v>0</v>
      </c>
      <c r="BL76" s="848">
        <v>0</v>
      </c>
      <c r="BM76" s="848">
        <v>0</v>
      </c>
      <c r="BN76" s="848">
        <v>0</v>
      </c>
      <c r="BO76" s="848">
        <v>0</v>
      </c>
      <c r="BP76" s="848">
        <v>0</v>
      </c>
      <c r="BQ76" s="848">
        <v>0</v>
      </c>
      <c r="BR76" s="848">
        <v>0</v>
      </c>
      <c r="BS76" s="848">
        <v>0</v>
      </c>
      <c r="BT76" s="848">
        <v>0</v>
      </c>
      <c r="BU76" s="848">
        <v>0</v>
      </c>
      <c r="BV76" s="848">
        <v>0</v>
      </c>
      <c r="BW76" s="848">
        <v>0</v>
      </c>
      <c r="BX76" s="848">
        <v>0</v>
      </c>
      <c r="BY76" s="848">
        <v>0</v>
      </c>
      <c r="BZ76" s="848">
        <v>0</v>
      </c>
      <c r="CA76" s="848">
        <v>0</v>
      </c>
      <c r="CB76" s="848">
        <v>0</v>
      </c>
      <c r="CC76" s="848">
        <v>0</v>
      </c>
      <c r="CD76" s="848">
        <v>0</v>
      </c>
      <c r="CE76" s="848">
        <v>0</v>
      </c>
      <c r="CF76" s="848">
        <v>0</v>
      </c>
      <c r="CG76" s="848">
        <v>0</v>
      </c>
      <c r="CH76" s="848">
        <v>0</v>
      </c>
      <c r="CI76" s="848">
        <v>0</v>
      </c>
      <c r="CJ76" s="848">
        <v>0</v>
      </c>
      <c r="CK76" s="848">
        <v>0</v>
      </c>
      <c r="CL76" s="848">
        <v>0</v>
      </c>
      <c r="CM76" s="848">
        <v>0</v>
      </c>
      <c r="CN76" s="848">
        <v>0</v>
      </c>
      <c r="CO76" s="848">
        <v>0</v>
      </c>
      <c r="CP76" s="848">
        <v>0</v>
      </c>
      <c r="CQ76" s="848">
        <v>0</v>
      </c>
      <c r="CR76" s="848">
        <v>0</v>
      </c>
      <c r="CS76" s="848">
        <v>0</v>
      </c>
      <c r="CT76" s="848">
        <v>0</v>
      </c>
      <c r="CU76" s="848">
        <v>0</v>
      </c>
      <c r="CV76" s="848">
        <v>0</v>
      </c>
      <c r="CW76" s="848">
        <v>0</v>
      </c>
      <c r="CX76" s="848">
        <v>0</v>
      </c>
      <c r="CY76" s="848">
        <v>0</v>
      </c>
      <c r="CZ76" s="848">
        <v>0</v>
      </c>
      <c r="DA76" s="848">
        <v>0</v>
      </c>
      <c r="DB76" s="848">
        <v>0</v>
      </c>
      <c r="DC76" s="848">
        <v>0</v>
      </c>
      <c r="DD76" s="848">
        <v>0</v>
      </c>
      <c r="DE76" s="848">
        <v>0</v>
      </c>
      <c r="DF76" s="848">
        <v>0</v>
      </c>
      <c r="DG76" s="848">
        <v>0</v>
      </c>
      <c r="DH76" s="848">
        <v>0</v>
      </c>
      <c r="DI76" s="848">
        <v>0</v>
      </c>
      <c r="DJ76" s="848">
        <v>0</v>
      </c>
      <c r="DK76" s="848">
        <v>0</v>
      </c>
      <c r="DL76" s="848">
        <v>0</v>
      </c>
      <c r="DM76" s="848">
        <v>0</v>
      </c>
      <c r="DN76" s="848">
        <v>0</v>
      </c>
      <c r="DO76" s="848">
        <v>0</v>
      </c>
      <c r="DP76" s="848">
        <v>0</v>
      </c>
      <c r="DQ76" s="848">
        <v>0</v>
      </c>
      <c r="DR76" s="848">
        <v>0</v>
      </c>
      <c r="DS76" s="848">
        <v>0</v>
      </c>
      <c r="DT76" s="848">
        <v>0</v>
      </c>
      <c r="DU76" s="848">
        <v>0</v>
      </c>
      <c r="DV76" s="848">
        <v>0</v>
      </c>
      <c r="DW76" s="848">
        <v>0</v>
      </c>
      <c r="DX76" s="848">
        <v>0</v>
      </c>
      <c r="DY76" s="848">
        <v>0</v>
      </c>
      <c r="DZ76" s="848">
        <v>0</v>
      </c>
      <c r="EA76" s="848">
        <v>0</v>
      </c>
      <c r="EB76" s="848">
        <v>0</v>
      </c>
      <c r="EC76" s="848">
        <v>0</v>
      </c>
      <c r="ED76" s="848">
        <v>0</v>
      </c>
      <c r="EE76" s="848">
        <v>0</v>
      </c>
      <c r="EF76" s="848">
        <v>0</v>
      </c>
      <c r="EG76" s="848">
        <v>0</v>
      </c>
      <c r="EH76" s="848">
        <v>0</v>
      </c>
      <c r="EI76" s="848">
        <v>0</v>
      </c>
      <c r="EJ76" s="848">
        <v>0</v>
      </c>
      <c r="EK76" s="848">
        <v>0</v>
      </c>
      <c r="EL76" s="848">
        <v>0</v>
      </c>
    </row>
    <row r="77" spans="2:142" s="833" customFormat="1" ht="13.5">
      <c r="B77" s="1000"/>
      <c r="C77" s="911" t="s">
        <v>2174</v>
      </c>
      <c r="D77" s="1001"/>
      <c r="F77" s="1001"/>
      <c r="G77" s="1001"/>
      <c r="H77" s="848">
        <f t="shared" si="32"/>
        <v>1953900</v>
      </c>
      <c r="J77" s="848">
        <v>0</v>
      </c>
      <c r="K77" s="848">
        <v>0</v>
      </c>
      <c r="L77" s="848">
        <v>0</v>
      </c>
      <c r="M77" s="848">
        <v>0</v>
      </c>
      <c r="N77" s="848">
        <v>0</v>
      </c>
      <c r="O77" s="848">
        <v>0</v>
      </c>
      <c r="P77" s="848">
        <v>0</v>
      </c>
      <c r="Q77" s="848">
        <v>0</v>
      </c>
      <c r="R77" s="848">
        <v>0</v>
      </c>
      <c r="S77" s="848">
        <v>0</v>
      </c>
      <c r="T77" s="848">
        <v>0</v>
      </c>
      <c r="U77" s="848">
        <v>0</v>
      </c>
      <c r="V77" s="848">
        <v>0</v>
      </c>
      <c r="W77" s="848">
        <v>0</v>
      </c>
      <c r="X77" s="848">
        <v>0</v>
      </c>
      <c r="Y77" s="848">
        <v>0</v>
      </c>
      <c r="Z77" s="848">
        <v>0</v>
      </c>
      <c r="AA77" s="848">
        <v>0</v>
      </c>
      <c r="AB77" s="848">
        <v>0</v>
      </c>
      <c r="AC77" s="848">
        <v>0</v>
      </c>
      <c r="AD77" s="848">
        <v>0</v>
      </c>
      <c r="AE77" s="848">
        <v>0</v>
      </c>
      <c r="AF77" s="848">
        <v>0</v>
      </c>
      <c r="AG77" s="848">
        <v>0</v>
      </c>
      <c r="AH77" s="848">
        <v>0</v>
      </c>
      <c r="AI77" s="848">
        <v>0</v>
      </c>
      <c r="AJ77" s="848">
        <v>0</v>
      </c>
      <c r="AK77" s="848">
        <v>0</v>
      </c>
      <c r="AL77" s="848">
        <v>443900</v>
      </c>
      <c r="AM77" s="848">
        <v>0</v>
      </c>
      <c r="AN77" s="848">
        <v>0</v>
      </c>
      <c r="AO77" s="848">
        <v>0</v>
      </c>
      <c r="AP77" s="848">
        <v>0</v>
      </c>
      <c r="AQ77" s="848">
        <v>0</v>
      </c>
      <c r="AR77" s="848">
        <v>0</v>
      </c>
      <c r="AS77" s="848">
        <v>0</v>
      </c>
      <c r="AT77" s="848">
        <v>486000</v>
      </c>
      <c r="AU77" s="848">
        <v>0</v>
      </c>
      <c r="AV77" s="848">
        <v>0</v>
      </c>
      <c r="AW77" s="848">
        <v>0</v>
      </c>
      <c r="AX77" s="848">
        <v>0</v>
      </c>
      <c r="AY77" s="848">
        <v>0</v>
      </c>
      <c r="AZ77" s="848">
        <v>0</v>
      </c>
      <c r="BA77" s="848">
        <v>0</v>
      </c>
      <c r="BB77" s="848">
        <v>0</v>
      </c>
      <c r="BC77" s="848">
        <v>0</v>
      </c>
      <c r="BD77" s="848">
        <v>0</v>
      </c>
      <c r="BE77" s="848">
        <v>0</v>
      </c>
      <c r="BF77" s="848">
        <v>0</v>
      </c>
      <c r="BG77" s="848">
        <v>0</v>
      </c>
      <c r="BH77" s="848">
        <v>0</v>
      </c>
      <c r="BI77" s="848">
        <v>0</v>
      </c>
      <c r="BJ77" s="848">
        <v>0</v>
      </c>
      <c r="BK77" s="848">
        <v>0</v>
      </c>
      <c r="BL77" s="848">
        <v>0</v>
      </c>
      <c r="BM77" s="848">
        <v>0</v>
      </c>
      <c r="BN77" s="848">
        <v>0</v>
      </c>
      <c r="BO77" s="848">
        <v>0</v>
      </c>
      <c r="BP77" s="848">
        <v>0</v>
      </c>
      <c r="BQ77" s="848">
        <v>0</v>
      </c>
      <c r="BR77" s="848">
        <v>486000</v>
      </c>
      <c r="BS77" s="848">
        <v>0</v>
      </c>
      <c r="BT77" s="848">
        <v>0</v>
      </c>
      <c r="BU77" s="848">
        <v>0</v>
      </c>
      <c r="BV77" s="848">
        <v>0</v>
      </c>
      <c r="BW77" s="848">
        <v>0</v>
      </c>
      <c r="BX77" s="848">
        <v>0</v>
      </c>
      <c r="BY77" s="848">
        <v>0</v>
      </c>
      <c r="BZ77" s="848">
        <v>0</v>
      </c>
      <c r="CA77" s="848">
        <v>0</v>
      </c>
      <c r="CB77" s="848">
        <v>0</v>
      </c>
      <c r="CC77" s="848">
        <v>0</v>
      </c>
      <c r="CD77" s="848">
        <v>0</v>
      </c>
      <c r="CE77" s="848">
        <v>0</v>
      </c>
      <c r="CF77" s="848">
        <v>0</v>
      </c>
      <c r="CG77" s="848">
        <v>0</v>
      </c>
      <c r="CH77" s="848">
        <v>0</v>
      </c>
      <c r="CI77" s="848">
        <v>0</v>
      </c>
      <c r="CJ77" s="848">
        <v>0</v>
      </c>
      <c r="CK77" s="848">
        <v>0</v>
      </c>
      <c r="CL77" s="848">
        <v>0</v>
      </c>
      <c r="CM77" s="848">
        <v>0</v>
      </c>
      <c r="CN77" s="848">
        <v>0</v>
      </c>
      <c r="CO77" s="848">
        <v>0</v>
      </c>
      <c r="CP77" s="848">
        <v>538000</v>
      </c>
      <c r="CQ77" s="848">
        <v>0</v>
      </c>
      <c r="CR77" s="848">
        <v>0</v>
      </c>
      <c r="CS77" s="848">
        <v>0</v>
      </c>
      <c r="CT77" s="848">
        <v>0</v>
      </c>
      <c r="CU77" s="848">
        <v>0</v>
      </c>
      <c r="CV77" s="848">
        <v>0</v>
      </c>
      <c r="CW77" s="848">
        <v>0</v>
      </c>
      <c r="CX77" s="848">
        <v>0</v>
      </c>
      <c r="CY77" s="848">
        <v>0</v>
      </c>
      <c r="CZ77" s="848">
        <v>0</v>
      </c>
      <c r="DA77" s="848">
        <v>0</v>
      </c>
      <c r="DB77" s="848">
        <v>0</v>
      </c>
      <c r="DC77" s="848">
        <v>0</v>
      </c>
      <c r="DD77" s="848">
        <v>0</v>
      </c>
      <c r="DE77" s="848">
        <v>0</v>
      </c>
      <c r="DF77" s="848">
        <v>0</v>
      </c>
      <c r="DG77" s="848">
        <v>0</v>
      </c>
      <c r="DH77" s="848">
        <v>0</v>
      </c>
      <c r="DI77" s="848">
        <v>0</v>
      </c>
      <c r="DJ77" s="848">
        <v>0</v>
      </c>
      <c r="DK77" s="848">
        <v>0</v>
      </c>
      <c r="DL77" s="848">
        <v>0</v>
      </c>
      <c r="DM77" s="848">
        <v>0</v>
      </c>
      <c r="DN77" s="848">
        <v>0</v>
      </c>
      <c r="DO77" s="848">
        <v>0</v>
      </c>
      <c r="DP77" s="848">
        <v>0</v>
      </c>
      <c r="DQ77" s="848">
        <v>0</v>
      </c>
      <c r="DR77" s="848">
        <v>0</v>
      </c>
      <c r="DS77" s="848">
        <v>0</v>
      </c>
      <c r="DT77" s="848">
        <v>0</v>
      </c>
      <c r="DU77" s="848">
        <v>0</v>
      </c>
      <c r="DV77" s="848">
        <v>0</v>
      </c>
      <c r="DW77" s="848">
        <v>0</v>
      </c>
      <c r="DX77" s="848">
        <v>0</v>
      </c>
      <c r="DY77" s="848">
        <v>0</v>
      </c>
      <c r="DZ77" s="848">
        <v>0</v>
      </c>
      <c r="EA77" s="848">
        <v>0</v>
      </c>
      <c r="EB77" s="848">
        <v>0</v>
      </c>
      <c r="EC77" s="848">
        <v>0</v>
      </c>
      <c r="ED77" s="848">
        <v>0</v>
      </c>
      <c r="EE77" s="848">
        <v>0</v>
      </c>
      <c r="EF77" s="848">
        <v>0</v>
      </c>
      <c r="EG77" s="848">
        <v>0</v>
      </c>
      <c r="EH77" s="848">
        <v>0</v>
      </c>
      <c r="EI77" s="848">
        <v>0</v>
      </c>
      <c r="EJ77" s="848">
        <v>0</v>
      </c>
      <c r="EK77" s="848">
        <v>0</v>
      </c>
      <c r="EL77" s="848">
        <v>0</v>
      </c>
    </row>
    <row r="78" spans="2:142" s="833" customFormat="1" ht="13.5">
      <c r="B78" s="1000"/>
      <c r="C78" s="911" t="s">
        <v>2175</v>
      </c>
      <c r="D78" s="1001"/>
      <c r="F78" s="1001"/>
      <c r="G78" s="1001"/>
      <c r="H78" s="848">
        <f t="shared" si="32"/>
        <v>172100</v>
      </c>
      <c r="J78" s="848">
        <v>0</v>
      </c>
      <c r="K78" s="848">
        <v>0</v>
      </c>
      <c r="L78" s="848">
        <v>0</v>
      </c>
      <c r="M78" s="848">
        <v>0</v>
      </c>
      <c r="N78" s="848">
        <v>0</v>
      </c>
      <c r="O78" s="848">
        <v>0</v>
      </c>
      <c r="P78" s="848">
        <v>0</v>
      </c>
      <c r="Q78" s="848">
        <v>0</v>
      </c>
      <c r="R78" s="848">
        <v>0</v>
      </c>
      <c r="S78" s="848">
        <v>0</v>
      </c>
      <c r="T78" s="848">
        <v>0</v>
      </c>
      <c r="U78" s="848">
        <v>0</v>
      </c>
      <c r="V78" s="848">
        <v>0</v>
      </c>
      <c r="W78" s="848">
        <v>0</v>
      </c>
      <c r="X78" s="848">
        <v>0</v>
      </c>
      <c r="Y78" s="848">
        <v>0</v>
      </c>
      <c r="Z78" s="848">
        <v>0</v>
      </c>
      <c r="AA78" s="848">
        <v>0</v>
      </c>
      <c r="AB78" s="848">
        <v>0</v>
      </c>
      <c r="AC78" s="848">
        <v>0</v>
      </c>
      <c r="AD78" s="848">
        <v>0</v>
      </c>
      <c r="AE78" s="848">
        <v>0</v>
      </c>
      <c r="AF78" s="848">
        <v>0</v>
      </c>
      <c r="AG78" s="848">
        <v>0</v>
      </c>
      <c r="AH78" s="848">
        <v>0</v>
      </c>
      <c r="AI78" s="848">
        <v>0</v>
      </c>
      <c r="AJ78" s="848">
        <v>0</v>
      </c>
      <c r="AK78" s="848">
        <v>0</v>
      </c>
      <c r="AL78" s="848">
        <v>68100</v>
      </c>
      <c r="AM78" s="848">
        <v>0</v>
      </c>
      <c r="AN78" s="848">
        <v>0</v>
      </c>
      <c r="AO78" s="848">
        <v>0</v>
      </c>
      <c r="AP78" s="848">
        <v>0</v>
      </c>
      <c r="AQ78" s="848">
        <v>0</v>
      </c>
      <c r="AR78" s="848">
        <v>0</v>
      </c>
      <c r="AS78" s="848">
        <v>0</v>
      </c>
      <c r="AT78" s="848">
        <v>52000</v>
      </c>
      <c r="AU78" s="848">
        <v>0</v>
      </c>
      <c r="AV78" s="848">
        <v>0</v>
      </c>
      <c r="AW78" s="848">
        <v>0</v>
      </c>
      <c r="AX78" s="848">
        <v>0</v>
      </c>
      <c r="AY78" s="848">
        <v>0</v>
      </c>
      <c r="AZ78" s="848">
        <v>0</v>
      </c>
      <c r="BA78" s="848">
        <v>0</v>
      </c>
      <c r="BB78" s="848">
        <v>0</v>
      </c>
      <c r="BC78" s="848">
        <v>0</v>
      </c>
      <c r="BD78" s="848">
        <v>0</v>
      </c>
      <c r="BE78" s="848">
        <v>0</v>
      </c>
      <c r="BF78" s="848">
        <v>0</v>
      </c>
      <c r="BG78" s="848">
        <v>0</v>
      </c>
      <c r="BH78" s="848">
        <v>0</v>
      </c>
      <c r="BI78" s="848">
        <v>0</v>
      </c>
      <c r="BJ78" s="848">
        <v>0</v>
      </c>
      <c r="BK78" s="848">
        <v>0</v>
      </c>
      <c r="BL78" s="848">
        <v>0</v>
      </c>
      <c r="BM78" s="848">
        <v>0</v>
      </c>
      <c r="BN78" s="848">
        <v>0</v>
      </c>
      <c r="BO78" s="848">
        <v>0</v>
      </c>
      <c r="BP78" s="848">
        <v>0</v>
      </c>
      <c r="BQ78" s="848">
        <v>0</v>
      </c>
      <c r="BR78" s="848">
        <v>52000</v>
      </c>
      <c r="BS78" s="848">
        <v>0</v>
      </c>
      <c r="BT78" s="848">
        <v>0</v>
      </c>
      <c r="BU78" s="848">
        <v>0</v>
      </c>
      <c r="BV78" s="848">
        <v>0</v>
      </c>
      <c r="BW78" s="848">
        <v>0</v>
      </c>
      <c r="BX78" s="848">
        <v>0</v>
      </c>
      <c r="BY78" s="848">
        <v>0</v>
      </c>
      <c r="BZ78" s="848">
        <v>0</v>
      </c>
      <c r="CA78" s="848">
        <v>0</v>
      </c>
      <c r="CB78" s="848">
        <v>0</v>
      </c>
      <c r="CC78" s="848">
        <v>0</v>
      </c>
      <c r="CD78" s="848">
        <v>0</v>
      </c>
      <c r="CE78" s="848">
        <v>0</v>
      </c>
      <c r="CF78" s="848">
        <v>0</v>
      </c>
      <c r="CG78" s="848">
        <v>0</v>
      </c>
      <c r="CH78" s="848">
        <v>0</v>
      </c>
      <c r="CI78" s="848">
        <v>0</v>
      </c>
      <c r="CJ78" s="848">
        <v>0</v>
      </c>
      <c r="CK78" s="848">
        <v>0</v>
      </c>
      <c r="CL78" s="848">
        <v>0</v>
      </c>
      <c r="CM78" s="848">
        <v>0</v>
      </c>
      <c r="CN78" s="848">
        <v>0</v>
      </c>
      <c r="CO78" s="848">
        <v>0</v>
      </c>
      <c r="CP78" s="848">
        <v>0</v>
      </c>
      <c r="CQ78" s="848">
        <v>0</v>
      </c>
      <c r="CR78" s="848">
        <v>0</v>
      </c>
      <c r="CS78" s="848">
        <v>0</v>
      </c>
      <c r="CT78" s="848">
        <v>0</v>
      </c>
      <c r="CU78" s="848">
        <v>0</v>
      </c>
      <c r="CV78" s="848">
        <v>0</v>
      </c>
      <c r="CW78" s="848">
        <v>0</v>
      </c>
      <c r="CX78" s="848">
        <v>0</v>
      </c>
      <c r="CY78" s="848">
        <v>0</v>
      </c>
      <c r="CZ78" s="848">
        <v>0</v>
      </c>
      <c r="DA78" s="848">
        <v>0</v>
      </c>
      <c r="DB78" s="848">
        <v>0</v>
      </c>
      <c r="DC78" s="848">
        <v>0</v>
      </c>
      <c r="DD78" s="848">
        <v>0</v>
      </c>
      <c r="DE78" s="848">
        <v>0</v>
      </c>
      <c r="DF78" s="848">
        <v>0</v>
      </c>
      <c r="DG78" s="848">
        <v>0</v>
      </c>
      <c r="DH78" s="848">
        <v>0</v>
      </c>
      <c r="DI78" s="848">
        <v>0</v>
      </c>
      <c r="DJ78" s="848">
        <v>0</v>
      </c>
      <c r="DK78" s="848">
        <v>0</v>
      </c>
      <c r="DL78" s="848">
        <v>0</v>
      </c>
      <c r="DM78" s="848">
        <v>0</v>
      </c>
      <c r="DN78" s="848">
        <v>0</v>
      </c>
      <c r="DO78" s="848">
        <v>0</v>
      </c>
      <c r="DP78" s="848">
        <v>0</v>
      </c>
      <c r="DQ78" s="848">
        <v>0</v>
      </c>
      <c r="DR78" s="848">
        <v>0</v>
      </c>
      <c r="DS78" s="848">
        <v>0</v>
      </c>
      <c r="DT78" s="848">
        <v>0</v>
      </c>
      <c r="DU78" s="848">
        <v>0</v>
      </c>
      <c r="DV78" s="848">
        <v>0</v>
      </c>
      <c r="DW78" s="848">
        <v>0</v>
      </c>
      <c r="DX78" s="848">
        <v>0</v>
      </c>
      <c r="DY78" s="848">
        <v>0</v>
      </c>
      <c r="DZ78" s="848">
        <v>0</v>
      </c>
      <c r="EA78" s="848">
        <v>0</v>
      </c>
      <c r="EB78" s="848">
        <v>0</v>
      </c>
      <c r="EC78" s="848">
        <v>0</v>
      </c>
      <c r="ED78" s="848">
        <v>0</v>
      </c>
      <c r="EE78" s="848">
        <v>0</v>
      </c>
      <c r="EF78" s="848">
        <v>0</v>
      </c>
      <c r="EG78" s="848">
        <v>0</v>
      </c>
      <c r="EH78" s="848">
        <v>0</v>
      </c>
      <c r="EI78" s="848">
        <v>0</v>
      </c>
      <c r="EJ78" s="848">
        <v>0</v>
      </c>
      <c r="EK78" s="848">
        <v>0</v>
      </c>
      <c r="EL78" s="848">
        <v>0</v>
      </c>
    </row>
    <row r="79" spans="2:142" s="833" customFormat="1" ht="13.5">
      <c r="B79" s="1000"/>
      <c r="C79" s="911" t="s">
        <v>2176</v>
      </c>
      <c r="D79" s="1001"/>
      <c r="F79" s="1001"/>
      <c r="G79" s="1001"/>
      <c r="H79" s="848">
        <f t="shared" si="32"/>
        <v>0</v>
      </c>
      <c r="J79" s="848">
        <v>0</v>
      </c>
      <c r="K79" s="848">
        <v>0</v>
      </c>
      <c r="L79" s="848">
        <v>0</v>
      </c>
      <c r="M79" s="848">
        <v>0</v>
      </c>
      <c r="N79" s="848">
        <v>0</v>
      </c>
      <c r="O79" s="848">
        <v>0</v>
      </c>
      <c r="P79" s="848">
        <v>0</v>
      </c>
      <c r="Q79" s="848">
        <v>0</v>
      </c>
      <c r="R79" s="848">
        <v>0</v>
      </c>
      <c r="S79" s="848">
        <v>0</v>
      </c>
      <c r="T79" s="848">
        <v>0</v>
      </c>
      <c r="U79" s="848">
        <v>0</v>
      </c>
      <c r="V79" s="848">
        <v>0</v>
      </c>
      <c r="W79" s="848">
        <v>0</v>
      </c>
      <c r="X79" s="848">
        <v>0</v>
      </c>
      <c r="Y79" s="848">
        <v>0</v>
      </c>
      <c r="Z79" s="848">
        <v>0</v>
      </c>
      <c r="AA79" s="848">
        <v>0</v>
      </c>
      <c r="AB79" s="848">
        <v>0</v>
      </c>
      <c r="AC79" s="848">
        <v>0</v>
      </c>
      <c r="AD79" s="848">
        <v>0</v>
      </c>
      <c r="AE79" s="848">
        <v>0</v>
      </c>
      <c r="AF79" s="848">
        <v>0</v>
      </c>
      <c r="AG79" s="848">
        <v>0</v>
      </c>
      <c r="AH79" s="848">
        <v>0</v>
      </c>
      <c r="AI79" s="848">
        <v>0</v>
      </c>
      <c r="AJ79" s="848">
        <v>0</v>
      </c>
      <c r="AK79" s="848">
        <v>0</v>
      </c>
      <c r="AL79" s="848">
        <v>0</v>
      </c>
      <c r="AM79" s="848">
        <v>0</v>
      </c>
      <c r="AN79" s="848">
        <v>0</v>
      </c>
      <c r="AO79" s="848">
        <v>0</v>
      </c>
      <c r="AP79" s="848">
        <v>0</v>
      </c>
      <c r="AQ79" s="848">
        <v>0</v>
      </c>
      <c r="AR79" s="848">
        <v>0</v>
      </c>
      <c r="AS79" s="848">
        <v>0</v>
      </c>
      <c r="AT79" s="848">
        <v>0</v>
      </c>
      <c r="AU79" s="848">
        <v>0</v>
      </c>
      <c r="AV79" s="848">
        <v>0</v>
      </c>
      <c r="AW79" s="848">
        <v>0</v>
      </c>
      <c r="AX79" s="848">
        <v>0</v>
      </c>
      <c r="AY79" s="848">
        <v>0</v>
      </c>
      <c r="AZ79" s="848">
        <v>0</v>
      </c>
      <c r="BA79" s="848">
        <v>0</v>
      </c>
      <c r="BB79" s="848">
        <v>0</v>
      </c>
      <c r="BC79" s="848">
        <v>0</v>
      </c>
      <c r="BD79" s="848">
        <v>0</v>
      </c>
      <c r="BE79" s="848">
        <v>0</v>
      </c>
      <c r="BF79" s="848">
        <v>0</v>
      </c>
      <c r="BG79" s="848">
        <v>0</v>
      </c>
      <c r="BH79" s="848">
        <v>0</v>
      </c>
      <c r="BI79" s="848">
        <v>0</v>
      </c>
      <c r="BJ79" s="848">
        <v>0</v>
      </c>
      <c r="BK79" s="848">
        <v>0</v>
      </c>
      <c r="BL79" s="848">
        <v>0</v>
      </c>
      <c r="BM79" s="848">
        <v>0</v>
      </c>
      <c r="BN79" s="848">
        <v>0</v>
      </c>
      <c r="BO79" s="848">
        <v>0</v>
      </c>
      <c r="BP79" s="848">
        <v>0</v>
      </c>
      <c r="BQ79" s="848">
        <v>0</v>
      </c>
      <c r="BR79" s="848">
        <v>0</v>
      </c>
      <c r="BS79" s="848">
        <v>0</v>
      </c>
      <c r="BT79" s="848">
        <v>0</v>
      </c>
      <c r="BU79" s="848">
        <v>0</v>
      </c>
      <c r="BV79" s="848">
        <v>0</v>
      </c>
      <c r="BW79" s="848">
        <v>0</v>
      </c>
      <c r="BX79" s="848">
        <v>0</v>
      </c>
      <c r="BY79" s="848">
        <v>0</v>
      </c>
      <c r="BZ79" s="848">
        <v>0</v>
      </c>
      <c r="CA79" s="848">
        <v>0</v>
      </c>
      <c r="CB79" s="848">
        <v>0</v>
      </c>
      <c r="CC79" s="848">
        <v>0</v>
      </c>
      <c r="CD79" s="848">
        <v>0</v>
      </c>
      <c r="CE79" s="848">
        <v>0</v>
      </c>
      <c r="CF79" s="848">
        <v>0</v>
      </c>
      <c r="CG79" s="848">
        <v>0</v>
      </c>
      <c r="CH79" s="848">
        <v>0</v>
      </c>
      <c r="CI79" s="848">
        <v>0</v>
      </c>
      <c r="CJ79" s="848">
        <v>0</v>
      </c>
      <c r="CK79" s="848">
        <v>0</v>
      </c>
      <c r="CL79" s="848">
        <v>0</v>
      </c>
      <c r="CM79" s="848">
        <v>0</v>
      </c>
      <c r="CN79" s="848">
        <v>0</v>
      </c>
      <c r="CO79" s="848">
        <v>0</v>
      </c>
      <c r="CP79" s="848">
        <v>0</v>
      </c>
      <c r="CQ79" s="848">
        <v>0</v>
      </c>
      <c r="CR79" s="848">
        <v>0</v>
      </c>
      <c r="CS79" s="848">
        <v>0</v>
      </c>
      <c r="CT79" s="848">
        <v>0</v>
      </c>
      <c r="CU79" s="848">
        <v>0</v>
      </c>
      <c r="CV79" s="848">
        <v>0</v>
      </c>
      <c r="CW79" s="848">
        <v>0</v>
      </c>
      <c r="CX79" s="848">
        <v>0</v>
      </c>
      <c r="CY79" s="848">
        <v>0</v>
      </c>
      <c r="CZ79" s="848">
        <v>0</v>
      </c>
      <c r="DA79" s="848">
        <v>0</v>
      </c>
      <c r="DB79" s="848">
        <v>0</v>
      </c>
      <c r="DC79" s="848">
        <v>0</v>
      </c>
      <c r="DD79" s="848">
        <v>0</v>
      </c>
      <c r="DE79" s="848">
        <v>0</v>
      </c>
      <c r="DF79" s="848">
        <v>0</v>
      </c>
      <c r="DG79" s="848">
        <v>0</v>
      </c>
      <c r="DH79" s="848">
        <v>0</v>
      </c>
      <c r="DI79" s="848">
        <v>0</v>
      </c>
      <c r="DJ79" s="848">
        <v>0</v>
      </c>
      <c r="DK79" s="848">
        <v>0</v>
      </c>
      <c r="DL79" s="848">
        <v>0</v>
      </c>
      <c r="DM79" s="848">
        <v>0</v>
      </c>
      <c r="DN79" s="848">
        <v>0</v>
      </c>
      <c r="DO79" s="848">
        <v>0</v>
      </c>
      <c r="DP79" s="848">
        <v>0</v>
      </c>
      <c r="DQ79" s="848">
        <v>0</v>
      </c>
      <c r="DR79" s="848">
        <v>0</v>
      </c>
      <c r="DS79" s="848">
        <v>0</v>
      </c>
      <c r="DT79" s="848">
        <v>0</v>
      </c>
      <c r="DU79" s="848">
        <v>0</v>
      </c>
      <c r="DV79" s="848">
        <v>0</v>
      </c>
      <c r="DW79" s="848">
        <v>0</v>
      </c>
      <c r="DX79" s="848">
        <v>0</v>
      </c>
      <c r="DY79" s="848">
        <v>0</v>
      </c>
      <c r="DZ79" s="848">
        <v>0</v>
      </c>
      <c r="EA79" s="848">
        <v>0</v>
      </c>
      <c r="EB79" s="848">
        <v>0</v>
      </c>
      <c r="EC79" s="848">
        <v>0</v>
      </c>
      <c r="ED79" s="848">
        <v>0</v>
      </c>
      <c r="EE79" s="848">
        <v>0</v>
      </c>
      <c r="EF79" s="848">
        <v>0</v>
      </c>
      <c r="EG79" s="848">
        <v>0</v>
      </c>
      <c r="EH79" s="848">
        <v>0</v>
      </c>
      <c r="EI79" s="848">
        <v>0</v>
      </c>
      <c r="EJ79" s="848">
        <v>0</v>
      </c>
      <c r="EK79" s="848">
        <v>0</v>
      </c>
      <c r="EL79" s="848">
        <v>0</v>
      </c>
    </row>
    <row r="80" spans="2:142" s="833" customFormat="1" ht="13.5">
      <c r="B80" s="1000"/>
      <c r="C80" s="911" t="s">
        <v>2177</v>
      </c>
      <c r="D80" s="1001"/>
      <c r="F80" s="1001"/>
      <c r="G80" s="1001"/>
      <c r="H80" s="848">
        <f t="shared" si="32"/>
        <v>0</v>
      </c>
      <c r="J80" s="848">
        <v>0</v>
      </c>
      <c r="K80" s="848">
        <v>0</v>
      </c>
      <c r="L80" s="848">
        <v>0</v>
      </c>
      <c r="M80" s="848">
        <v>0</v>
      </c>
      <c r="N80" s="848">
        <v>0</v>
      </c>
      <c r="O80" s="848">
        <v>0</v>
      </c>
      <c r="P80" s="848">
        <v>0</v>
      </c>
      <c r="Q80" s="848">
        <v>0</v>
      </c>
      <c r="R80" s="848">
        <v>0</v>
      </c>
      <c r="S80" s="848">
        <v>0</v>
      </c>
      <c r="T80" s="848">
        <v>0</v>
      </c>
      <c r="U80" s="848">
        <v>0</v>
      </c>
      <c r="V80" s="848">
        <v>0</v>
      </c>
      <c r="W80" s="848">
        <v>0</v>
      </c>
      <c r="X80" s="848">
        <v>0</v>
      </c>
      <c r="Y80" s="848">
        <v>0</v>
      </c>
      <c r="Z80" s="848">
        <v>0</v>
      </c>
      <c r="AA80" s="848">
        <v>0</v>
      </c>
      <c r="AB80" s="848">
        <v>0</v>
      </c>
      <c r="AC80" s="848">
        <v>0</v>
      </c>
      <c r="AD80" s="848">
        <v>0</v>
      </c>
      <c r="AE80" s="848">
        <v>0</v>
      </c>
      <c r="AF80" s="848">
        <v>0</v>
      </c>
      <c r="AG80" s="848">
        <v>0</v>
      </c>
      <c r="AH80" s="848">
        <v>0</v>
      </c>
      <c r="AI80" s="848">
        <v>0</v>
      </c>
      <c r="AJ80" s="848">
        <v>0</v>
      </c>
      <c r="AK80" s="848">
        <v>0</v>
      </c>
      <c r="AL80" s="848">
        <v>0</v>
      </c>
      <c r="AM80" s="848">
        <v>0</v>
      </c>
      <c r="AN80" s="848">
        <v>0</v>
      </c>
      <c r="AO80" s="848">
        <v>0</v>
      </c>
      <c r="AP80" s="848">
        <v>0</v>
      </c>
      <c r="AQ80" s="848">
        <v>0</v>
      </c>
      <c r="AR80" s="848">
        <v>0</v>
      </c>
      <c r="AS80" s="848">
        <v>0</v>
      </c>
      <c r="AT80" s="848">
        <v>0</v>
      </c>
      <c r="AU80" s="848">
        <v>0</v>
      </c>
      <c r="AV80" s="848">
        <v>0</v>
      </c>
      <c r="AW80" s="848">
        <v>0</v>
      </c>
      <c r="AX80" s="848">
        <v>0</v>
      </c>
      <c r="AY80" s="848">
        <v>0</v>
      </c>
      <c r="AZ80" s="848">
        <v>0</v>
      </c>
      <c r="BA80" s="848">
        <v>0</v>
      </c>
      <c r="BB80" s="848">
        <v>0</v>
      </c>
      <c r="BC80" s="848">
        <v>0</v>
      </c>
      <c r="BD80" s="848">
        <v>0</v>
      </c>
      <c r="BE80" s="848">
        <v>0</v>
      </c>
      <c r="BF80" s="848">
        <v>0</v>
      </c>
      <c r="BG80" s="848">
        <v>0</v>
      </c>
      <c r="BH80" s="848">
        <v>0</v>
      </c>
      <c r="BI80" s="848">
        <v>0</v>
      </c>
      <c r="BJ80" s="848">
        <v>0</v>
      </c>
      <c r="BK80" s="848">
        <v>0</v>
      </c>
      <c r="BL80" s="848">
        <v>0</v>
      </c>
      <c r="BM80" s="848">
        <v>0</v>
      </c>
      <c r="BN80" s="848">
        <v>0</v>
      </c>
      <c r="BO80" s="848">
        <v>0</v>
      </c>
      <c r="BP80" s="848">
        <v>0</v>
      </c>
      <c r="BQ80" s="848">
        <v>0</v>
      </c>
      <c r="BR80" s="848">
        <v>0</v>
      </c>
      <c r="BS80" s="848">
        <v>0</v>
      </c>
      <c r="BT80" s="848">
        <v>0</v>
      </c>
      <c r="BU80" s="848">
        <v>0</v>
      </c>
      <c r="BV80" s="848">
        <v>0</v>
      </c>
      <c r="BW80" s="848">
        <v>0</v>
      </c>
      <c r="BX80" s="848">
        <v>0</v>
      </c>
      <c r="BY80" s="848">
        <v>0</v>
      </c>
      <c r="BZ80" s="848">
        <v>0</v>
      </c>
      <c r="CA80" s="848">
        <v>0</v>
      </c>
      <c r="CB80" s="848">
        <v>0</v>
      </c>
      <c r="CC80" s="848">
        <v>0</v>
      </c>
      <c r="CD80" s="848">
        <v>0</v>
      </c>
      <c r="CE80" s="848">
        <v>0</v>
      </c>
      <c r="CF80" s="848">
        <v>0</v>
      </c>
      <c r="CG80" s="848">
        <v>0</v>
      </c>
      <c r="CH80" s="848">
        <v>0</v>
      </c>
      <c r="CI80" s="848">
        <v>0</v>
      </c>
      <c r="CJ80" s="848">
        <v>0</v>
      </c>
      <c r="CK80" s="848">
        <v>0</v>
      </c>
      <c r="CL80" s="848">
        <v>0</v>
      </c>
      <c r="CM80" s="848">
        <v>0</v>
      </c>
      <c r="CN80" s="848">
        <v>0</v>
      </c>
      <c r="CO80" s="848">
        <v>0</v>
      </c>
      <c r="CP80" s="848">
        <v>0</v>
      </c>
      <c r="CQ80" s="848">
        <v>0</v>
      </c>
      <c r="CR80" s="848">
        <v>0</v>
      </c>
      <c r="CS80" s="848">
        <v>0</v>
      </c>
      <c r="CT80" s="848">
        <v>0</v>
      </c>
      <c r="CU80" s="848">
        <v>0</v>
      </c>
      <c r="CV80" s="848">
        <v>0</v>
      </c>
      <c r="CW80" s="848">
        <v>0</v>
      </c>
      <c r="CX80" s="848">
        <v>0</v>
      </c>
      <c r="CY80" s="848">
        <v>0</v>
      </c>
      <c r="CZ80" s="848">
        <v>0</v>
      </c>
      <c r="DA80" s="848">
        <v>0</v>
      </c>
      <c r="DB80" s="848">
        <v>0</v>
      </c>
      <c r="DC80" s="848">
        <v>0</v>
      </c>
      <c r="DD80" s="848">
        <v>0</v>
      </c>
      <c r="DE80" s="848">
        <v>0</v>
      </c>
      <c r="DF80" s="848">
        <v>0</v>
      </c>
      <c r="DG80" s="848">
        <v>0</v>
      </c>
      <c r="DH80" s="848">
        <v>0</v>
      </c>
      <c r="DI80" s="848">
        <v>0</v>
      </c>
      <c r="DJ80" s="848">
        <v>0</v>
      </c>
      <c r="DK80" s="848">
        <v>0</v>
      </c>
      <c r="DL80" s="848">
        <v>0</v>
      </c>
      <c r="DM80" s="848">
        <v>0</v>
      </c>
      <c r="DN80" s="848">
        <v>0</v>
      </c>
      <c r="DO80" s="848">
        <v>0</v>
      </c>
      <c r="DP80" s="848">
        <v>0</v>
      </c>
      <c r="DQ80" s="848">
        <v>0</v>
      </c>
      <c r="DR80" s="848">
        <v>0</v>
      </c>
      <c r="DS80" s="848">
        <v>0</v>
      </c>
      <c r="DT80" s="848">
        <v>0</v>
      </c>
      <c r="DU80" s="848">
        <v>0</v>
      </c>
      <c r="DV80" s="848">
        <v>0</v>
      </c>
      <c r="DW80" s="848">
        <v>0</v>
      </c>
      <c r="DX80" s="848">
        <v>0</v>
      </c>
      <c r="DY80" s="848">
        <v>0</v>
      </c>
      <c r="DZ80" s="848">
        <v>0</v>
      </c>
      <c r="EA80" s="848">
        <v>0</v>
      </c>
      <c r="EB80" s="848">
        <v>0</v>
      </c>
      <c r="EC80" s="848">
        <v>0</v>
      </c>
      <c r="ED80" s="848">
        <v>0</v>
      </c>
      <c r="EE80" s="848">
        <v>0</v>
      </c>
      <c r="EF80" s="848">
        <v>0</v>
      </c>
      <c r="EG80" s="848">
        <v>0</v>
      </c>
      <c r="EH80" s="848">
        <v>0</v>
      </c>
      <c r="EI80" s="848">
        <v>0</v>
      </c>
      <c r="EJ80" s="848">
        <v>0</v>
      </c>
      <c r="EK80" s="848">
        <v>0</v>
      </c>
      <c r="EL80" s="848">
        <v>0</v>
      </c>
    </row>
    <row r="81" spans="2:142" ht="13.5">
      <c r="B81" s="1000"/>
      <c r="C81" s="911" t="s">
        <v>2178</v>
      </c>
      <c r="D81" s="1001"/>
      <c r="F81" s="1001"/>
      <c r="G81" s="1001"/>
      <c r="H81" s="848">
        <f t="shared" si="32"/>
        <v>0</v>
      </c>
      <c r="I81" s="858"/>
      <c r="J81" s="848">
        <f>J127</f>
        <v>0</v>
      </c>
      <c r="K81" s="848">
        <f t="shared" ref="K81:BV81" si="34">K127</f>
        <v>0</v>
      </c>
      <c r="L81" s="848">
        <f t="shared" si="34"/>
        <v>0</v>
      </c>
      <c r="M81" s="848">
        <f t="shared" si="34"/>
        <v>0</v>
      </c>
      <c r="N81" s="848">
        <f t="shared" si="34"/>
        <v>0</v>
      </c>
      <c r="O81" s="848">
        <f t="shared" si="34"/>
        <v>0</v>
      </c>
      <c r="P81" s="848">
        <f t="shared" si="34"/>
        <v>0</v>
      </c>
      <c r="Q81" s="848">
        <f t="shared" si="34"/>
        <v>0</v>
      </c>
      <c r="R81" s="848">
        <f t="shared" si="34"/>
        <v>0</v>
      </c>
      <c r="S81" s="848">
        <f t="shared" si="34"/>
        <v>0</v>
      </c>
      <c r="T81" s="848">
        <f t="shared" si="34"/>
        <v>0</v>
      </c>
      <c r="U81" s="848">
        <f t="shared" si="34"/>
        <v>0</v>
      </c>
      <c r="V81" s="848">
        <f t="shared" si="34"/>
        <v>0</v>
      </c>
      <c r="W81" s="848">
        <f t="shared" si="34"/>
        <v>0</v>
      </c>
      <c r="X81" s="848">
        <f t="shared" si="34"/>
        <v>0</v>
      </c>
      <c r="Y81" s="848">
        <f t="shared" si="34"/>
        <v>0</v>
      </c>
      <c r="Z81" s="848">
        <f t="shared" si="34"/>
        <v>0</v>
      </c>
      <c r="AA81" s="848">
        <f t="shared" si="34"/>
        <v>0</v>
      </c>
      <c r="AB81" s="848">
        <f t="shared" si="34"/>
        <v>0</v>
      </c>
      <c r="AC81" s="848">
        <f t="shared" si="34"/>
        <v>0</v>
      </c>
      <c r="AD81" s="848">
        <f t="shared" si="34"/>
        <v>0</v>
      </c>
      <c r="AE81" s="848">
        <f t="shared" si="34"/>
        <v>0</v>
      </c>
      <c r="AF81" s="848">
        <f t="shared" si="34"/>
        <v>0</v>
      </c>
      <c r="AG81" s="848">
        <f t="shared" si="34"/>
        <v>0</v>
      </c>
      <c r="AH81" s="848">
        <f t="shared" si="34"/>
        <v>0</v>
      </c>
      <c r="AI81" s="848">
        <f t="shared" si="34"/>
        <v>0</v>
      </c>
      <c r="AJ81" s="848">
        <f t="shared" si="34"/>
        <v>0</v>
      </c>
      <c r="AK81" s="848">
        <f t="shared" si="34"/>
        <v>0</v>
      </c>
      <c r="AL81" s="848">
        <f t="shared" si="34"/>
        <v>0</v>
      </c>
      <c r="AM81" s="848">
        <f t="shared" si="34"/>
        <v>0</v>
      </c>
      <c r="AN81" s="848">
        <f t="shared" si="34"/>
        <v>0</v>
      </c>
      <c r="AO81" s="848">
        <f t="shared" si="34"/>
        <v>0</v>
      </c>
      <c r="AP81" s="848">
        <f t="shared" si="34"/>
        <v>0</v>
      </c>
      <c r="AQ81" s="848">
        <f t="shared" si="34"/>
        <v>0</v>
      </c>
      <c r="AR81" s="848">
        <f t="shared" si="34"/>
        <v>0</v>
      </c>
      <c r="AS81" s="848">
        <f t="shared" si="34"/>
        <v>0</v>
      </c>
      <c r="AT81" s="848">
        <f t="shared" si="34"/>
        <v>0</v>
      </c>
      <c r="AU81" s="848">
        <f t="shared" si="34"/>
        <v>0</v>
      </c>
      <c r="AV81" s="848">
        <f t="shared" si="34"/>
        <v>0</v>
      </c>
      <c r="AW81" s="848">
        <f t="shared" si="34"/>
        <v>0</v>
      </c>
      <c r="AX81" s="848">
        <f t="shared" si="34"/>
        <v>0</v>
      </c>
      <c r="AY81" s="848">
        <f t="shared" si="34"/>
        <v>0</v>
      </c>
      <c r="AZ81" s="848">
        <f t="shared" si="34"/>
        <v>0</v>
      </c>
      <c r="BA81" s="848">
        <f t="shared" si="34"/>
        <v>0</v>
      </c>
      <c r="BB81" s="848">
        <f t="shared" si="34"/>
        <v>0</v>
      </c>
      <c r="BC81" s="848">
        <f t="shared" si="34"/>
        <v>0</v>
      </c>
      <c r="BD81" s="848">
        <f t="shared" si="34"/>
        <v>0</v>
      </c>
      <c r="BE81" s="848">
        <f t="shared" si="34"/>
        <v>0</v>
      </c>
      <c r="BF81" s="848">
        <f t="shared" si="34"/>
        <v>0</v>
      </c>
      <c r="BG81" s="848">
        <f t="shared" si="34"/>
        <v>0</v>
      </c>
      <c r="BH81" s="848">
        <f t="shared" si="34"/>
        <v>0</v>
      </c>
      <c r="BI81" s="848">
        <f t="shared" si="34"/>
        <v>0</v>
      </c>
      <c r="BJ81" s="848">
        <f t="shared" si="34"/>
        <v>0</v>
      </c>
      <c r="BK81" s="848">
        <f t="shared" si="34"/>
        <v>0</v>
      </c>
      <c r="BL81" s="848">
        <f t="shared" si="34"/>
        <v>0</v>
      </c>
      <c r="BM81" s="848">
        <f t="shared" si="34"/>
        <v>0</v>
      </c>
      <c r="BN81" s="848">
        <f t="shared" si="34"/>
        <v>0</v>
      </c>
      <c r="BO81" s="848">
        <f t="shared" si="34"/>
        <v>0</v>
      </c>
      <c r="BP81" s="848">
        <f t="shared" si="34"/>
        <v>0</v>
      </c>
      <c r="BQ81" s="848">
        <f t="shared" si="34"/>
        <v>0</v>
      </c>
      <c r="BR81" s="848">
        <f t="shared" si="34"/>
        <v>0</v>
      </c>
      <c r="BS81" s="848">
        <f t="shared" si="34"/>
        <v>0</v>
      </c>
      <c r="BT81" s="848">
        <f t="shared" si="34"/>
        <v>0</v>
      </c>
      <c r="BU81" s="848">
        <f t="shared" si="34"/>
        <v>0</v>
      </c>
      <c r="BV81" s="848">
        <f t="shared" si="34"/>
        <v>0</v>
      </c>
      <c r="BW81" s="848">
        <f t="shared" ref="BW81:EH81" si="35">BW127</f>
        <v>0</v>
      </c>
      <c r="BX81" s="848">
        <f t="shared" si="35"/>
        <v>0</v>
      </c>
      <c r="BY81" s="848">
        <f t="shared" si="35"/>
        <v>0</v>
      </c>
      <c r="BZ81" s="848">
        <f t="shared" si="35"/>
        <v>0</v>
      </c>
      <c r="CA81" s="848">
        <f t="shared" si="35"/>
        <v>0</v>
      </c>
      <c r="CB81" s="848">
        <f t="shared" si="35"/>
        <v>0</v>
      </c>
      <c r="CC81" s="848">
        <f t="shared" si="35"/>
        <v>0</v>
      </c>
      <c r="CD81" s="848">
        <f t="shared" si="35"/>
        <v>0</v>
      </c>
      <c r="CE81" s="848">
        <f t="shared" si="35"/>
        <v>0</v>
      </c>
      <c r="CF81" s="848">
        <f t="shared" si="35"/>
        <v>0</v>
      </c>
      <c r="CG81" s="848">
        <f t="shared" si="35"/>
        <v>0</v>
      </c>
      <c r="CH81" s="848">
        <f t="shared" si="35"/>
        <v>0</v>
      </c>
      <c r="CI81" s="848">
        <f t="shared" si="35"/>
        <v>0</v>
      </c>
      <c r="CJ81" s="848">
        <f t="shared" si="35"/>
        <v>0</v>
      </c>
      <c r="CK81" s="848">
        <f t="shared" si="35"/>
        <v>0</v>
      </c>
      <c r="CL81" s="848">
        <f t="shared" si="35"/>
        <v>0</v>
      </c>
      <c r="CM81" s="848">
        <f t="shared" si="35"/>
        <v>0</v>
      </c>
      <c r="CN81" s="848">
        <f t="shared" si="35"/>
        <v>0</v>
      </c>
      <c r="CO81" s="848">
        <f t="shared" si="35"/>
        <v>0</v>
      </c>
      <c r="CP81" s="848">
        <f t="shared" si="35"/>
        <v>0</v>
      </c>
      <c r="CQ81" s="848">
        <f t="shared" si="35"/>
        <v>0</v>
      </c>
      <c r="CR81" s="848">
        <f t="shared" si="35"/>
        <v>0</v>
      </c>
      <c r="CS81" s="848">
        <f t="shared" si="35"/>
        <v>0</v>
      </c>
      <c r="CT81" s="848">
        <f t="shared" si="35"/>
        <v>0</v>
      </c>
      <c r="CU81" s="848">
        <f t="shared" si="35"/>
        <v>0</v>
      </c>
      <c r="CV81" s="848">
        <f t="shared" si="35"/>
        <v>0</v>
      </c>
      <c r="CW81" s="848">
        <f t="shared" si="35"/>
        <v>0</v>
      </c>
      <c r="CX81" s="848">
        <f t="shared" si="35"/>
        <v>0</v>
      </c>
      <c r="CY81" s="848">
        <f t="shared" si="35"/>
        <v>0</v>
      </c>
      <c r="CZ81" s="848">
        <f t="shared" si="35"/>
        <v>0</v>
      </c>
      <c r="DA81" s="848">
        <f t="shared" si="35"/>
        <v>0</v>
      </c>
      <c r="DB81" s="848">
        <f t="shared" si="35"/>
        <v>0</v>
      </c>
      <c r="DC81" s="848">
        <f t="shared" si="35"/>
        <v>0</v>
      </c>
      <c r="DD81" s="848">
        <f t="shared" si="35"/>
        <v>0</v>
      </c>
      <c r="DE81" s="848">
        <f t="shared" si="35"/>
        <v>0</v>
      </c>
      <c r="DF81" s="848">
        <f t="shared" si="35"/>
        <v>0</v>
      </c>
      <c r="DG81" s="848">
        <f t="shared" si="35"/>
        <v>0</v>
      </c>
      <c r="DH81" s="848">
        <f t="shared" si="35"/>
        <v>0</v>
      </c>
      <c r="DI81" s="848">
        <f t="shared" si="35"/>
        <v>0</v>
      </c>
      <c r="DJ81" s="848">
        <f t="shared" si="35"/>
        <v>0</v>
      </c>
      <c r="DK81" s="848">
        <f t="shared" si="35"/>
        <v>0</v>
      </c>
      <c r="DL81" s="848">
        <f t="shared" si="35"/>
        <v>0</v>
      </c>
      <c r="DM81" s="848">
        <f t="shared" si="35"/>
        <v>0</v>
      </c>
      <c r="DN81" s="848">
        <f t="shared" si="35"/>
        <v>0</v>
      </c>
      <c r="DO81" s="848">
        <f t="shared" si="35"/>
        <v>0</v>
      </c>
      <c r="DP81" s="848">
        <f t="shared" si="35"/>
        <v>0</v>
      </c>
      <c r="DQ81" s="848">
        <f t="shared" si="35"/>
        <v>0</v>
      </c>
      <c r="DR81" s="848">
        <f t="shared" si="35"/>
        <v>0</v>
      </c>
      <c r="DS81" s="848">
        <f t="shared" si="35"/>
        <v>0</v>
      </c>
      <c r="DT81" s="848">
        <f t="shared" si="35"/>
        <v>0</v>
      </c>
      <c r="DU81" s="848">
        <f t="shared" si="35"/>
        <v>0</v>
      </c>
      <c r="DV81" s="848">
        <f t="shared" si="35"/>
        <v>0</v>
      </c>
      <c r="DW81" s="848">
        <f t="shared" si="35"/>
        <v>0</v>
      </c>
      <c r="DX81" s="848">
        <f t="shared" si="35"/>
        <v>0</v>
      </c>
      <c r="DY81" s="848">
        <f t="shared" si="35"/>
        <v>0</v>
      </c>
      <c r="DZ81" s="848">
        <f t="shared" si="35"/>
        <v>0</v>
      </c>
      <c r="EA81" s="848">
        <f t="shared" si="35"/>
        <v>0</v>
      </c>
      <c r="EB81" s="848">
        <f t="shared" si="35"/>
        <v>0</v>
      </c>
      <c r="EC81" s="848">
        <f t="shared" si="35"/>
        <v>0</v>
      </c>
      <c r="ED81" s="848">
        <f t="shared" si="35"/>
        <v>0</v>
      </c>
      <c r="EE81" s="848">
        <f t="shared" si="35"/>
        <v>0</v>
      </c>
      <c r="EF81" s="848">
        <f t="shared" si="35"/>
        <v>0</v>
      </c>
      <c r="EG81" s="848">
        <f t="shared" si="35"/>
        <v>0</v>
      </c>
      <c r="EH81" s="848">
        <f t="shared" si="35"/>
        <v>0</v>
      </c>
      <c r="EI81" s="848">
        <f t="shared" ref="EI81:EL81" si="36">EI127</f>
        <v>0</v>
      </c>
      <c r="EJ81" s="848">
        <f t="shared" si="36"/>
        <v>0</v>
      </c>
      <c r="EK81" s="848">
        <f t="shared" si="36"/>
        <v>0</v>
      </c>
      <c r="EL81" s="848">
        <f t="shared" si="36"/>
        <v>0</v>
      </c>
    </row>
    <row r="82" spans="2:142">
      <c r="B82" s="1000"/>
      <c r="C82" s="1001"/>
      <c r="D82" s="1001"/>
      <c r="F82" s="1001"/>
      <c r="G82" s="1001"/>
      <c r="H82" s="1067"/>
      <c r="I82" s="833"/>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14"/>
      <c r="DI82" s="21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row>
    <row r="83" spans="2:142" ht="13.5">
      <c r="B83" s="1000"/>
      <c r="C83" s="1001" t="s">
        <v>938</v>
      </c>
      <c r="D83" s="1001"/>
      <c r="F83" s="1001"/>
      <c r="G83" s="1001"/>
      <c r="H83" s="848">
        <f>SUM(J83:EL83)</f>
        <v>2871484.1777247991</v>
      </c>
      <c r="I83" s="833"/>
      <c r="J83" s="848">
        <f t="shared" ref="J83:BU83" si="37">SUM(J85:J100)</f>
        <v>0</v>
      </c>
      <c r="K83" s="848">
        <f t="shared" si="37"/>
        <v>0</v>
      </c>
      <c r="L83" s="848">
        <f t="shared" si="37"/>
        <v>0</v>
      </c>
      <c r="M83" s="848">
        <f t="shared" si="37"/>
        <v>0</v>
      </c>
      <c r="N83" s="848">
        <f t="shared" si="37"/>
        <v>0</v>
      </c>
      <c r="O83" s="848">
        <f t="shared" si="37"/>
        <v>0</v>
      </c>
      <c r="P83" s="848">
        <f t="shared" si="37"/>
        <v>0</v>
      </c>
      <c r="Q83" s="848">
        <f t="shared" si="37"/>
        <v>0</v>
      </c>
      <c r="R83" s="848">
        <f t="shared" si="37"/>
        <v>0</v>
      </c>
      <c r="S83" s="848">
        <f t="shared" si="37"/>
        <v>0</v>
      </c>
      <c r="T83" s="848">
        <f t="shared" si="37"/>
        <v>0</v>
      </c>
      <c r="U83" s="848">
        <f t="shared" si="37"/>
        <v>0</v>
      </c>
      <c r="V83" s="848">
        <f t="shared" si="37"/>
        <v>0</v>
      </c>
      <c r="W83" s="848">
        <f t="shared" si="37"/>
        <v>0</v>
      </c>
      <c r="X83" s="848">
        <f t="shared" si="37"/>
        <v>0</v>
      </c>
      <c r="Y83" s="848">
        <f t="shared" si="37"/>
        <v>0</v>
      </c>
      <c r="Z83" s="848">
        <f t="shared" si="37"/>
        <v>0</v>
      </c>
      <c r="AA83" s="848">
        <f t="shared" si="37"/>
        <v>0</v>
      </c>
      <c r="AB83" s="848">
        <f t="shared" si="37"/>
        <v>0</v>
      </c>
      <c r="AC83" s="848">
        <f t="shared" si="37"/>
        <v>0</v>
      </c>
      <c r="AD83" s="848">
        <f t="shared" si="37"/>
        <v>0</v>
      </c>
      <c r="AE83" s="848">
        <f t="shared" si="37"/>
        <v>0</v>
      </c>
      <c r="AF83" s="848">
        <f t="shared" si="37"/>
        <v>0</v>
      </c>
      <c r="AG83" s="848">
        <f t="shared" si="37"/>
        <v>0</v>
      </c>
      <c r="AH83" s="848">
        <f t="shared" si="37"/>
        <v>0</v>
      </c>
      <c r="AI83" s="848">
        <f t="shared" si="37"/>
        <v>0</v>
      </c>
      <c r="AJ83" s="848">
        <f t="shared" si="37"/>
        <v>0</v>
      </c>
      <c r="AK83" s="848">
        <f t="shared" si="37"/>
        <v>0</v>
      </c>
      <c r="AL83" s="848">
        <f t="shared" si="37"/>
        <v>48843.076703999992</v>
      </c>
      <c r="AM83" s="848">
        <f t="shared" si="37"/>
        <v>0</v>
      </c>
      <c r="AN83" s="848">
        <f t="shared" si="37"/>
        <v>0</v>
      </c>
      <c r="AO83" s="848">
        <f t="shared" si="37"/>
        <v>7466.2662870000004</v>
      </c>
      <c r="AP83" s="848">
        <f t="shared" si="37"/>
        <v>0</v>
      </c>
      <c r="AQ83" s="848">
        <f t="shared" si="37"/>
        <v>0</v>
      </c>
      <c r="AR83" s="848">
        <f t="shared" si="37"/>
        <v>0</v>
      </c>
      <c r="AS83" s="848">
        <f t="shared" si="37"/>
        <v>0</v>
      </c>
      <c r="AT83" s="848">
        <f t="shared" si="37"/>
        <v>522668</v>
      </c>
      <c r="AU83" s="848">
        <f t="shared" si="37"/>
        <v>4860</v>
      </c>
      <c r="AV83" s="848">
        <f t="shared" si="37"/>
        <v>0</v>
      </c>
      <c r="AW83" s="848">
        <f t="shared" si="37"/>
        <v>0</v>
      </c>
      <c r="AX83" s="848">
        <f t="shared" si="37"/>
        <v>0</v>
      </c>
      <c r="AY83" s="848">
        <f t="shared" si="37"/>
        <v>0</v>
      </c>
      <c r="AZ83" s="848">
        <f t="shared" si="37"/>
        <v>0</v>
      </c>
      <c r="BA83" s="848">
        <f t="shared" si="37"/>
        <v>4860.0000000000018</v>
      </c>
      <c r="BB83" s="848">
        <f t="shared" si="37"/>
        <v>0</v>
      </c>
      <c r="BC83" s="848">
        <f t="shared" si="37"/>
        <v>0</v>
      </c>
      <c r="BD83" s="848">
        <f t="shared" si="37"/>
        <v>0</v>
      </c>
      <c r="BE83" s="848">
        <f t="shared" si="37"/>
        <v>0</v>
      </c>
      <c r="BF83" s="848">
        <f t="shared" si="37"/>
        <v>0</v>
      </c>
      <c r="BG83" s="848">
        <f t="shared" si="37"/>
        <v>4860.0000000000018</v>
      </c>
      <c r="BH83" s="848">
        <f t="shared" si="37"/>
        <v>0</v>
      </c>
      <c r="BI83" s="848">
        <f t="shared" si="37"/>
        <v>0</v>
      </c>
      <c r="BJ83" s="848">
        <f t="shared" si="37"/>
        <v>0</v>
      </c>
      <c r="BK83" s="848">
        <f t="shared" si="37"/>
        <v>0</v>
      </c>
      <c r="BL83" s="848">
        <f t="shared" si="37"/>
        <v>0</v>
      </c>
      <c r="BM83" s="848">
        <f t="shared" si="37"/>
        <v>4860.0000000000009</v>
      </c>
      <c r="BN83" s="848">
        <f t="shared" si="37"/>
        <v>0</v>
      </c>
      <c r="BO83" s="848">
        <f t="shared" si="37"/>
        <v>0</v>
      </c>
      <c r="BP83" s="848">
        <f t="shared" si="37"/>
        <v>0</v>
      </c>
      <c r="BQ83" s="848">
        <f t="shared" si="37"/>
        <v>0</v>
      </c>
      <c r="BR83" s="848">
        <f t="shared" si="37"/>
        <v>546310</v>
      </c>
      <c r="BS83" s="848">
        <f t="shared" si="37"/>
        <v>4860.0000000000009</v>
      </c>
      <c r="BT83" s="848">
        <f t="shared" si="37"/>
        <v>0</v>
      </c>
      <c r="BU83" s="848">
        <f t="shared" si="37"/>
        <v>0</v>
      </c>
      <c r="BV83" s="848">
        <f t="shared" ref="BV83:EG83" si="38">SUM(BV85:BV100)</f>
        <v>0</v>
      </c>
      <c r="BW83" s="848">
        <f t="shared" si="38"/>
        <v>0</v>
      </c>
      <c r="BX83" s="848">
        <f t="shared" si="38"/>
        <v>0</v>
      </c>
      <c r="BY83" s="848">
        <f t="shared" si="38"/>
        <v>5943</v>
      </c>
      <c r="BZ83" s="848">
        <f t="shared" si="38"/>
        <v>0</v>
      </c>
      <c r="CA83" s="848">
        <f t="shared" si="38"/>
        <v>0</v>
      </c>
      <c r="CB83" s="848">
        <f t="shared" si="38"/>
        <v>0</v>
      </c>
      <c r="CC83" s="848">
        <f t="shared" si="38"/>
        <v>0</v>
      </c>
      <c r="CD83" s="848">
        <f t="shared" si="38"/>
        <v>0</v>
      </c>
      <c r="CE83" s="848">
        <f t="shared" si="38"/>
        <v>5942.9999999999973</v>
      </c>
      <c r="CF83" s="848">
        <f t="shared" si="38"/>
        <v>0</v>
      </c>
      <c r="CG83" s="848">
        <f t="shared" si="38"/>
        <v>0</v>
      </c>
      <c r="CH83" s="848">
        <f t="shared" si="38"/>
        <v>0</v>
      </c>
      <c r="CI83" s="848">
        <f t="shared" si="38"/>
        <v>0</v>
      </c>
      <c r="CJ83" s="848">
        <f t="shared" si="38"/>
        <v>0</v>
      </c>
      <c r="CK83" s="848">
        <f t="shared" si="38"/>
        <v>6100.8872171842295</v>
      </c>
      <c r="CL83" s="848">
        <f t="shared" si="38"/>
        <v>0</v>
      </c>
      <c r="CM83" s="848">
        <f t="shared" si="38"/>
        <v>0</v>
      </c>
      <c r="CN83" s="848">
        <f t="shared" si="38"/>
        <v>0</v>
      </c>
      <c r="CO83" s="848">
        <f t="shared" si="38"/>
        <v>0</v>
      </c>
      <c r="CP83" s="848">
        <f t="shared" si="38"/>
        <v>546570</v>
      </c>
      <c r="CQ83" s="848">
        <f t="shared" si="38"/>
        <v>5942.9999999999991</v>
      </c>
      <c r="CR83" s="848">
        <f t="shared" si="38"/>
        <v>0</v>
      </c>
      <c r="CS83" s="848">
        <f t="shared" si="38"/>
        <v>0</v>
      </c>
      <c r="CT83" s="848">
        <f t="shared" si="38"/>
        <v>0</v>
      </c>
      <c r="CU83" s="848">
        <f t="shared" si="38"/>
        <v>0</v>
      </c>
      <c r="CV83" s="848">
        <f t="shared" si="38"/>
        <v>0</v>
      </c>
      <c r="CW83" s="848">
        <f t="shared" si="38"/>
        <v>5943.0000000000018</v>
      </c>
      <c r="CX83" s="848">
        <f t="shared" si="38"/>
        <v>0</v>
      </c>
      <c r="CY83" s="848">
        <f t="shared" si="38"/>
        <v>0</v>
      </c>
      <c r="CZ83" s="848">
        <f t="shared" si="38"/>
        <v>0</v>
      </c>
      <c r="DA83" s="848">
        <f t="shared" si="38"/>
        <v>0</v>
      </c>
      <c r="DB83" s="848">
        <f t="shared" si="38"/>
        <v>0</v>
      </c>
      <c r="DC83" s="848">
        <f t="shared" si="38"/>
        <v>8059.4802109788398</v>
      </c>
      <c r="DD83" s="848">
        <f t="shared" si="38"/>
        <v>0</v>
      </c>
      <c r="DE83" s="848">
        <f t="shared" si="38"/>
        <v>0</v>
      </c>
      <c r="DF83" s="848">
        <f t="shared" si="38"/>
        <v>0</v>
      </c>
      <c r="DG83" s="848">
        <f t="shared" si="38"/>
        <v>0</v>
      </c>
      <c r="DH83" s="848">
        <f t="shared" si="38"/>
        <v>0</v>
      </c>
      <c r="DI83" s="848">
        <f t="shared" si="38"/>
        <v>9744.8104223767514</v>
      </c>
      <c r="DJ83" s="848">
        <f t="shared" si="38"/>
        <v>0</v>
      </c>
      <c r="DK83" s="848">
        <f t="shared" si="38"/>
        <v>0</v>
      </c>
      <c r="DL83" s="848">
        <f t="shared" si="38"/>
        <v>0</v>
      </c>
      <c r="DM83" s="848">
        <f t="shared" si="38"/>
        <v>0</v>
      </c>
      <c r="DN83" s="848">
        <f t="shared" si="38"/>
        <v>0</v>
      </c>
      <c r="DO83" s="848">
        <f t="shared" si="38"/>
        <v>8546.9776538911428</v>
      </c>
      <c r="DP83" s="848">
        <f t="shared" si="38"/>
        <v>0</v>
      </c>
      <c r="DQ83" s="848">
        <f t="shared" si="38"/>
        <v>0</v>
      </c>
      <c r="DR83" s="848">
        <f t="shared" si="38"/>
        <v>0</v>
      </c>
      <c r="DS83" s="848">
        <f t="shared" si="38"/>
        <v>0</v>
      </c>
      <c r="DT83" s="848">
        <f t="shared" si="38"/>
        <v>0</v>
      </c>
      <c r="DU83" s="848">
        <f t="shared" si="38"/>
        <v>10258.353380260731</v>
      </c>
      <c r="DV83" s="848">
        <f t="shared" si="38"/>
        <v>0</v>
      </c>
      <c r="DW83" s="848">
        <f t="shared" si="38"/>
        <v>0</v>
      </c>
      <c r="DX83" s="848">
        <f t="shared" si="38"/>
        <v>0</v>
      </c>
      <c r="DY83" s="848">
        <f t="shared" si="38"/>
        <v>0</v>
      </c>
      <c r="DZ83" s="848">
        <f t="shared" si="38"/>
        <v>1108844.3258491072</v>
      </c>
      <c r="EA83" s="848">
        <f t="shared" si="38"/>
        <v>0</v>
      </c>
      <c r="EB83" s="848">
        <f t="shared" si="38"/>
        <v>0</v>
      </c>
      <c r="EC83" s="848">
        <f t="shared" si="38"/>
        <v>0</v>
      </c>
      <c r="ED83" s="848">
        <f t="shared" si="38"/>
        <v>0</v>
      </c>
      <c r="EE83" s="848">
        <f t="shared" si="38"/>
        <v>0</v>
      </c>
      <c r="EF83" s="848">
        <f t="shared" si="38"/>
        <v>0</v>
      </c>
      <c r="EG83" s="848">
        <f t="shared" si="38"/>
        <v>0</v>
      </c>
      <c r="EH83" s="848">
        <f t="shared" ref="EH83:EL83" si="39">SUM(EH85:EH100)</f>
        <v>0</v>
      </c>
      <c r="EI83" s="848">
        <f t="shared" si="39"/>
        <v>0</v>
      </c>
      <c r="EJ83" s="848">
        <f t="shared" si="39"/>
        <v>0</v>
      </c>
      <c r="EK83" s="848">
        <f t="shared" si="39"/>
        <v>0</v>
      </c>
      <c r="EL83" s="848">
        <f t="shared" si="39"/>
        <v>0</v>
      </c>
    </row>
    <row r="84" spans="2:142">
      <c r="B84" s="1000"/>
      <c r="C84" s="1001"/>
      <c r="D84" s="1001"/>
      <c r="F84" s="1001"/>
      <c r="G84" s="1001"/>
      <c r="H84" s="848"/>
      <c r="I84" s="833"/>
      <c r="J84" s="848"/>
      <c r="K84" s="848"/>
      <c r="L84" s="848"/>
      <c r="M84" s="848"/>
      <c r="N84" s="848"/>
      <c r="O84" s="848"/>
      <c r="P84" s="848"/>
      <c r="Q84" s="848"/>
      <c r="R84" s="848"/>
      <c r="S84" s="848"/>
      <c r="T84" s="848"/>
      <c r="U84" s="848"/>
      <c r="V84" s="848"/>
      <c r="W84" s="848"/>
      <c r="X84" s="848"/>
      <c r="Y84" s="848"/>
      <c r="Z84" s="848"/>
      <c r="AA84" s="848"/>
      <c r="AB84" s="848"/>
      <c r="AC84" s="848"/>
      <c r="AD84" s="848"/>
      <c r="AE84" s="848"/>
      <c r="AF84" s="848"/>
      <c r="AG84" s="848"/>
      <c r="AH84" s="848"/>
      <c r="AI84" s="848"/>
      <c r="AJ84" s="848"/>
      <c r="AK84" s="848"/>
      <c r="AL84" s="848"/>
      <c r="AM84" s="848"/>
      <c r="AN84" s="848"/>
      <c r="AO84" s="848"/>
      <c r="AP84" s="848"/>
      <c r="AQ84" s="848"/>
      <c r="AR84" s="848"/>
      <c r="AS84" s="848"/>
      <c r="AT84" s="848"/>
      <c r="AU84" s="848"/>
      <c r="AV84" s="848"/>
      <c r="AW84" s="848"/>
      <c r="AX84" s="848"/>
      <c r="AY84" s="848"/>
      <c r="AZ84" s="848"/>
      <c r="BA84" s="848"/>
      <c r="BB84" s="848"/>
      <c r="BC84" s="848"/>
      <c r="BD84" s="848"/>
      <c r="BE84" s="848"/>
      <c r="BF84" s="848"/>
      <c r="BG84" s="848"/>
      <c r="BH84" s="848"/>
      <c r="BI84" s="848"/>
      <c r="BJ84" s="848"/>
      <c r="BK84" s="848"/>
      <c r="BL84" s="848"/>
      <c r="BM84" s="848"/>
      <c r="BN84" s="848"/>
      <c r="BO84" s="848"/>
      <c r="BP84" s="848"/>
      <c r="BQ84" s="848"/>
      <c r="BR84" s="848"/>
      <c r="BS84" s="848"/>
      <c r="BT84" s="848"/>
      <c r="BU84" s="848"/>
      <c r="BV84" s="848"/>
      <c r="BW84" s="848"/>
      <c r="BX84" s="848"/>
      <c r="BY84" s="848"/>
      <c r="BZ84" s="848"/>
      <c r="CA84" s="848"/>
      <c r="CB84" s="848"/>
      <c r="CC84" s="848"/>
      <c r="CD84" s="848"/>
      <c r="CE84" s="848"/>
      <c r="CF84" s="848"/>
      <c r="CG84" s="848"/>
      <c r="CH84" s="848"/>
      <c r="CI84" s="848"/>
      <c r="CJ84" s="848"/>
      <c r="CK84" s="848"/>
      <c r="CL84" s="848"/>
      <c r="CM84" s="848"/>
      <c r="CN84" s="848"/>
      <c r="CO84" s="848"/>
      <c r="CP84" s="848"/>
      <c r="CQ84" s="848"/>
      <c r="CR84" s="848"/>
      <c r="CS84" s="848"/>
      <c r="CT84" s="848"/>
      <c r="CU84" s="848"/>
      <c r="CV84" s="848"/>
      <c r="CW84" s="848"/>
      <c r="CX84" s="848"/>
      <c r="CY84" s="848"/>
      <c r="CZ84" s="848"/>
      <c r="DA84" s="848"/>
      <c r="DB84" s="848"/>
      <c r="DC84" s="848"/>
      <c r="DD84" s="848"/>
      <c r="DE84" s="848"/>
      <c r="DF84" s="848"/>
      <c r="DG84" s="848"/>
      <c r="DH84" s="848"/>
      <c r="DI84" s="848"/>
      <c r="DJ84" s="848"/>
      <c r="DK84" s="848"/>
      <c r="DL84" s="848"/>
      <c r="DM84" s="848"/>
      <c r="DN84" s="848"/>
      <c r="DO84" s="848"/>
      <c r="DP84" s="848"/>
      <c r="DQ84" s="848"/>
      <c r="DR84" s="848"/>
      <c r="DS84" s="848"/>
      <c r="DT84" s="848"/>
      <c r="DU84" s="848"/>
      <c r="DV84" s="848"/>
      <c r="DW84" s="848"/>
      <c r="DX84" s="848"/>
      <c r="DY84" s="848"/>
      <c r="DZ84" s="848"/>
      <c r="EA84" s="848"/>
      <c r="EB84" s="848"/>
      <c r="EC84" s="848"/>
      <c r="ED84" s="848"/>
      <c r="EE84" s="848"/>
      <c r="EF84" s="848"/>
      <c r="EG84" s="848"/>
      <c r="EH84" s="848"/>
      <c r="EI84" s="848"/>
      <c r="EJ84" s="848"/>
      <c r="EK84" s="848"/>
      <c r="EL84" s="848"/>
    </row>
    <row r="85" spans="2:142" s="833" customFormat="1" ht="13.5">
      <c r="B85" s="1000"/>
      <c r="C85" s="1072" t="s">
        <v>2179</v>
      </c>
      <c r="D85" s="1001"/>
      <c r="F85" s="1001"/>
      <c r="G85" s="1001"/>
      <c r="H85" s="848">
        <f t="shared" ref="H85:H100" si="40">SUM(J85:EL85)</f>
        <v>7913.9414589999942</v>
      </c>
      <c r="J85" s="848">
        <v>0</v>
      </c>
      <c r="K85" s="848">
        <v>0</v>
      </c>
      <c r="L85" s="848">
        <v>0</v>
      </c>
      <c r="M85" s="848">
        <v>0</v>
      </c>
      <c r="N85" s="848">
        <v>0</v>
      </c>
      <c r="O85" s="848">
        <v>0</v>
      </c>
      <c r="P85" s="848">
        <v>0</v>
      </c>
      <c r="Q85" s="848">
        <v>0</v>
      </c>
      <c r="R85" s="848">
        <v>0</v>
      </c>
      <c r="S85" s="848">
        <v>0</v>
      </c>
      <c r="T85" s="848">
        <v>0</v>
      </c>
      <c r="U85" s="848">
        <v>0</v>
      </c>
      <c r="V85" s="848">
        <v>0</v>
      </c>
      <c r="W85" s="848">
        <v>0</v>
      </c>
      <c r="X85" s="848">
        <v>0</v>
      </c>
      <c r="Y85" s="848">
        <v>0</v>
      </c>
      <c r="Z85" s="848">
        <v>0</v>
      </c>
      <c r="AA85" s="848">
        <v>0</v>
      </c>
      <c r="AB85" s="848">
        <v>0</v>
      </c>
      <c r="AC85" s="848">
        <v>0</v>
      </c>
      <c r="AD85" s="848">
        <v>0</v>
      </c>
      <c r="AE85" s="848">
        <v>0</v>
      </c>
      <c r="AF85" s="848">
        <v>0</v>
      </c>
      <c r="AG85" s="848">
        <v>0</v>
      </c>
      <c r="AH85" s="848">
        <v>0</v>
      </c>
      <c r="AI85" s="848">
        <v>0</v>
      </c>
      <c r="AJ85" s="848">
        <v>0</v>
      </c>
      <c r="AK85" s="848">
        <v>0</v>
      </c>
      <c r="AL85" s="848">
        <v>7913.9414589999942</v>
      </c>
      <c r="AM85" s="848">
        <v>0</v>
      </c>
      <c r="AN85" s="848">
        <v>0</v>
      </c>
      <c r="AO85" s="848">
        <v>0</v>
      </c>
      <c r="AP85" s="848">
        <v>0</v>
      </c>
      <c r="AQ85" s="848">
        <v>0</v>
      </c>
      <c r="AR85" s="848">
        <v>0</v>
      </c>
      <c r="AS85" s="848">
        <v>0</v>
      </c>
      <c r="AT85" s="848">
        <v>0</v>
      </c>
      <c r="AU85" s="848">
        <v>0</v>
      </c>
      <c r="AV85" s="848">
        <v>0</v>
      </c>
      <c r="AW85" s="848">
        <v>0</v>
      </c>
      <c r="AX85" s="848">
        <v>0</v>
      </c>
      <c r="AY85" s="848">
        <v>0</v>
      </c>
      <c r="AZ85" s="848">
        <v>0</v>
      </c>
      <c r="BA85" s="848">
        <v>0</v>
      </c>
      <c r="BB85" s="848">
        <v>0</v>
      </c>
      <c r="BC85" s="848">
        <v>0</v>
      </c>
      <c r="BD85" s="848">
        <v>0</v>
      </c>
      <c r="BE85" s="848">
        <v>0</v>
      </c>
      <c r="BF85" s="848">
        <v>0</v>
      </c>
      <c r="BG85" s="848">
        <v>0</v>
      </c>
      <c r="BH85" s="848">
        <v>0</v>
      </c>
      <c r="BI85" s="848">
        <v>0</v>
      </c>
      <c r="BJ85" s="848">
        <v>0</v>
      </c>
      <c r="BK85" s="848">
        <v>0</v>
      </c>
      <c r="BL85" s="848">
        <v>0</v>
      </c>
      <c r="BM85" s="848">
        <v>0</v>
      </c>
      <c r="BN85" s="848">
        <v>0</v>
      </c>
      <c r="BO85" s="848">
        <v>0</v>
      </c>
      <c r="BP85" s="848">
        <v>0</v>
      </c>
      <c r="BQ85" s="848">
        <v>0</v>
      </c>
      <c r="BR85" s="848">
        <v>0</v>
      </c>
      <c r="BS85" s="848">
        <v>0</v>
      </c>
      <c r="BT85" s="848">
        <v>0</v>
      </c>
      <c r="BU85" s="848">
        <v>0</v>
      </c>
      <c r="BV85" s="848">
        <v>0</v>
      </c>
      <c r="BW85" s="848">
        <v>0</v>
      </c>
      <c r="BX85" s="848">
        <v>0</v>
      </c>
      <c r="BY85" s="848">
        <v>0</v>
      </c>
      <c r="BZ85" s="848">
        <v>0</v>
      </c>
      <c r="CA85" s="848">
        <v>0</v>
      </c>
      <c r="CB85" s="848">
        <v>0</v>
      </c>
      <c r="CC85" s="848">
        <v>0</v>
      </c>
      <c r="CD85" s="848">
        <v>0</v>
      </c>
      <c r="CE85" s="848">
        <v>0</v>
      </c>
      <c r="CF85" s="848">
        <v>0</v>
      </c>
      <c r="CG85" s="848">
        <v>0</v>
      </c>
      <c r="CH85" s="848">
        <v>0</v>
      </c>
      <c r="CI85" s="848">
        <v>0</v>
      </c>
      <c r="CJ85" s="848">
        <v>0</v>
      </c>
      <c r="CK85" s="848">
        <v>0</v>
      </c>
      <c r="CL85" s="848">
        <v>0</v>
      </c>
      <c r="CM85" s="848">
        <v>0</v>
      </c>
      <c r="CN85" s="848">
        <v>0</v>
      </c>
      <c r="CO85" s="848">
        <v>0</v>
      </c>
      <c r="CP85" s="848">
        <v>0</v>
      </c>
      <c r="CQ85" s="848">
        <v>0</v>
      </c>
      <c r="CR85" s="848">
        <v>0</v>
      </c>
      <c r="CS85" s="848">
        <v>0</v>
      </c>
      <c r="CT85" s="848">
        <v>0</v>
      </c>
      <c r="CU85" s="848">
        <v>0</v>
      </c>
      <c r="CV85" s="848">
        <v>0</v>
      </c>
      <c r="CW85" s="848">
        <v>0</v>
      </c>
      <c r="CX85" s="848">
        <v>0</v>
      </c>
      <c r="CY85" s="848">
        <v>0</v>
      </c>
      <c r="CZ85" s="848">
        <v>0</v>
      </c>
      <c r="DA85" s="848">
        <v>0</v>
      </c>
      <c r="DB85" s="848">
        <v>0</v>
      </c>
      <c r="DC85" s="848">
        <v>0</v>
      </c>
      <c r="DD85" s="848">
        <v>0</v>
      </c>
      <c r="DE85" s="848">
        <v>0</v>
      </c>
      <c r="DF85" s="848">
        <v>0</v>
      </c>
      <c r="DG85" s="848">
        <v>0</v>
      </c>
      <c r="DH85" s="848">
        <v>0</v>
      </c>
      <c r="DI85" s="848">
        <v>0</v>
      </c>
      <c r="DJ85" s="848">
        <v>0</v>
      </c>
      <c r="DK85" s="848">
        <v>0</v>
      </c>
      <c r="DL85" s="848">
        <v>0</v>
      </c>
      <c r="DM85" s="848">
        <v>0</v>
      </c>
      <c r="DN85" s="848">
        <v>0</v>
      </c>
      <c r="DO85" s="848">
        <v>0</v>
      </c>
      <c r="DP85" s="848">
        <v>0</v>
      </c>
      <c r="DQ85" s="848">
        <v>0</v>
      </c>
      <c r="DR85" s="848">
        <v>0</v>
      </c>
      <c r="DS85" s="848">
        <v>0</v>
      </c>
      <c r="DT85" s="848">
        <v>0</v>
      </c>
      <c r="DU85" s="848">
        <v>0</v>
      </c>
      <c r="DV85" s="848">
        <v>0</v>
      </c>
      <c r="DW85" s="848">
        <v>0</v>
      </c>
      <c r="DX85" s="848">
        <v>0</v>
      </c>
      <c r="DY85" s="848">
        <v>0</v>
      </c>
      <c r="DZ85" s="848">
        <v>0</v>
      </c>
      <c r="EA85" s="848">
        <v>0</v>
      </c>
      <c r="EB85" s="848">
        <v>0</v>
      </c>
      <c r="EC85" s="848">
        <v>0</v>
      </c>
      <c r="ED85" s="848">
        <v>0</v>
      </c>
      <c r="EE85" s="848">
        <v>0</v>
      </c>
      <c r="EF85" s="848">
        <v>0</v>
      </c>
      <c r="EG85" s="848">
        <v>0</v>
      </c>
      <c r="EH85" s="848">
        <v>0</v>
      </c>
      <c r="EI85" s="848">
        <v>0</v>
      </c>
      <c r="EJ85" s="848">
        <v>0</v>
      </c>
      <c r="EK85" s="848">
        <v>0</v>
      </c>
      <c r="EL85" s="848">
        <v>0</v>
      </c>
    </row>
    <row r="86" spans="2:142" ht="13.5">
      <c r="B86" s="1000"/>
      <c r="C86" s="1072" t="s">
        <v>2180</v>
      </c>
      <c r="D86" s="1001"/>
      <c r="F86" s="1001"/>
      <c r="G86" s="1001"/>
      <c r="H86" s="848">
        <f t="shared" si="40"/>
        <v>7466.2662870000004</v>
      </c>
      <c r="I86" s="833"/>
      <c r="J86" s="848">
        <v>0</v>
      </c>
      <c r="K86" s="848">
        <v>0</v>
      </c>
      <c r="L86" s="848">
        <v>0</v>
      </c>
      <c r="M86" s="848">
        <v>0</v>
      </c>
      <c r="N86" s="848">
        <v>0</v>
      </c>
      <c r="O86" s="848">
        <v>0</v>
      </c>
      <c r="P86" s="848">
        <v>0</v>
      </c>
      <c r="Q86" s="848">
        <v>0</v>
      </c>
      <c r="R86" s="848">
        <v>0</v>
      </c>
      <c r="S86" s="848">
        <v>0</v>
      </c>
      <c r="T86" s="848">
        <v>0</v>
      </c>
      <c r="U86" s="848">
        <v>0</v>
      </c>
      <c r="V86" s="848">
        <v>0</v>
      </c>
      <c r="W86" s="848">
        <v>0</v>
      </c>
      <c r="X86" s="848">
        <v>0</v>
      </c>
      <c r="Y86" s="848">
        <v>0</v>
      </c>
      <c r="Z86" s="848">
        <v>0</v>
      </c>
      <c r="AA86" s="848">
        <v>0</v>
      </c>
      <c r="AB86" s="848">
        <v>0</v>
      </c>
      <c r="AC86" s="848">
        <v>0</v>
      </c>
      <c r="AD86" s="848">
        <v>0</v>
      </c>
      <c r="AE86" s="848">
        <v>0</v>
      </c>
      <c r="AF86" s="848">
        <v>0</v>
      </c>
      <c r="AG86" s="848">
        <v>0</v>
      </c>
      <c r="AH86" s="848">
        <v>0</v>
      </c>
      <c r="AI86" s="848">
        <v>0</v>
      </c>
      <c r="AJ86" s="848">
        <v>0</v>
      </c>
      <c r="AK86" s="848">
        <v>0</v>
      </c>
      <c r="AL86" s="848">
        <v>0</v>
      </c>
      <c r="AM86" s="848">
        <v>0</v>
      </c>
      <c r="AN86" s="848">
        <v>0</v>
      </c>
      <c r="AO86" s="848">
        <v>7466.2662870000004</v>
      </c>
      <c r="AP86" s="848">
        <v>0</v>
      </c>
      <c r="AQ86" s="848">
        <v>0</v>
      </c>
      <c r="AR86" s="848">
        <v>0</v>
      </c>
      <c r="AS86" s="848">
        <v>0</v>
      </c>
      <c r="AT86" s="848">
        <v>0</v>
      </c>
      <c r="AU86" s="848">
        <v>0</v>
      </c>
      <c r="AV86" s="848">
        <v>0</v>
      </c>
      <c r="AW86" s="848">
        <v>0</v>
      </c>
      <c r="AX86" s="848">
        <v>0</v>
      </c>
      <c r="AY86" s="848">
        <v>0</v>
      </c>
      <c r="AZ86" s="848">
        <v>0</v>
      </c>
      <c r="BA86" s="848">
        <v>0</v>
      </c>
      <c r="BB86" s="848">
        <v>0</v>
      </c>
      <c r="BC86" s="848">
        <v>0</v>
      </c>
      <c r="BD86" s="848">
        <v>0</v>
      </c>
      <c r="BE86" s="848">
        <v>0</v>
      </c>
      <c r="BF86" s="848">
        <v>0</v>
      </c>
      <c r="BG86" s="848">
        <v>0</v>
      </c>
      <c r="BH86" s="848">
        <v>0</v>
      </c>
      <c r="BI86" s="848">
        <v>0</v>
      </c>
      <c r="BJ86" s="848">
        <v>0</v>
      </c>
      <c r="BK86" s="848">
        <v>0</v>
      </c>
      <c r="BL86" s="848">
        <v>0</v>
      </c>
      <c r="BM86" s="848">
        <v>0</v>
      </c>
      <c r="BN86" s="848">
        <v>0</v>
      </c>
      <c r="BO86" s="848">
        <v>0</v>
      </c>
      <c r="BP86" s="848">
        <v>0</v>
      </c>
      <c r="BQ86" s="848">
        <v>0</v>
      </c>
      <c r="BR86" s="848">
        <v>0</v>
      </c>
      <c r="BS86" s="848">
        <v>0</v>
      </c>
      <c r="BT86" s="848">
        <v>0</v>
      </c>
      <c r="BU86" s="848">
        <v>0</v>
      </c>
      <c r="BV86" s="848">
        <v>0</v>
      </c>
      <c r="BW86" s="848">
        <v>0</v>
      </c>
      <c r="BX86" s="848">
        <v>0</v>
      </c>
      <c r="BY86" s="848">
        <v>0</v>
      </c>
      <c r="BZ86" s="848">
        <v>0</v>
      </c>
      <c r="CA86" s="848">
        <v>0</v>
      </c>
      <c r="CB86" s="848">
        <v>0</v>
      </c>
      <c r="CC86" s="848">
        <v>0</v>
      </c>
      <c r="CD86" s="848">
        <v>0</v>
      </c>
      <c r="CE86" s="848">
        <v>0</v>
      </c>
      <c r="CF86" s="848">
        <v>0</v>
      </c>
      <c r="CG86" s="848">
        <v>0</v>
      </c>
      <c r="CH86" s="848">
        <v>0</v>
      </c>
      <c r="CI86" s="848">
        <v>0</v>
      </c>
      <c r="CJ86" s="848">
        <v>0</v>
      </c>
      <c r="CK86" s="848">
        <v>0</v>
      </c>
      <c r="CL86" s="848">
        <v>0</v>
      </c>
      <c r="CM86" s="848">
        <v>0</v>
      </c>
      <c r="CN86" s="848">
        <v>0</v>
      </c>
      <c r="CO86" s="848">
        <v>0</v>
      </c>
      <c r="CP86" s="848">
        <v>0</v>
      </c>
      <c r="CQ86" s="848">
        <v>0</v>
      </c>
      <c r="CR86" s="848">
        <v>0</v>
      </c>
      <c r="CS86" s="848">
        <v>0</v>
      </c>
      <c r="CT86" s="848">
        <v>0</v>
      </c>
      <c r="CU86" s="848">
        <v>0</v>
      </c>
      <c r="CV86" s="848">
        <v>0</v>
      </c>
      <c r="CW86" s="848">
        <v>0</v>
      </c>
      <c r="CX86" s="848">
        <v>0</v>
      </c>
      <c r="CY86" s="848">
        <v>0</v>
      </c>
      <c r="CZ86" s="848">
        <v>0</v>
      </c>
      <c r="DA86" s="848">
        <v>0</v>
      </c>
      <c r="DB86" s="848">
        <v>0</v>
      </c>
      <c r="DC86" s="848">
        <v>0</v>
      </c>
      <c r="DD86" s="848">
        <v>0</v>
      </c>
      <c r="DE86" s="848">
        <v>0</v>
      </c>
      <c r="DF86" s="848">
        <v>0</v>
      </c>
      <c r="DG86" s="848">
        <v>0</v>
      </c>
      <c r="DH86" s="848">
        <v>0</v>
      </c>
      <c r="DI86" s="848">
        <v>0</v>
      </c>
      <c r="DJ86" s="848">
        <v>0</v>
      </c>
      <c r="DK86" s="848">
        <v>0</v>
      </c>
      <c r="DL86" s="848">
        <v>0</v>
      </c>
      <c r="DM86" s="848">
        <v>0</v>
      </c>
      <c r="DN86" s="848">
        <v>0</v>
      </c>
      <c r="DO86" s="848">
        <v>0</v>
      </c>
      <c r="DP86" s="848">
        <v>0</v>
      </c>
      <c r="DQ86" s="848">
        <v>0</v>
      </c>
      <c r="DR86" s="848">
        <v>0</v>
      </c>
      <c r="DS86" s="848">
        <v>0</v>
      </c>
      <c r="DT86" s="848">
        <v>0</v>
      </c>
      <c r="DU86" s="848">
        <v>0</v>
      </c>
      <c r="DV86" s="848">
        <v>0</v>
      </c>
      <c r="DW86" s="848">
        <v>0</v>
      </c>
      <c r="DX86" s="848">
        <v>0</v>
      </c>
      <c r="DY86" s="848">
        <v>0</v>
      </c>
      <c r="DZ86" s="848">
        <v>0</v>
      </c>
      <c r="EA86" s="848">
        <v>0</v>
      </c>
      <c r="EB86" s="848">
        <v>0</v>
      </c>
      <c r="EC86" s="848">
        <v>0</v>
      </c>
      <c r="ED86" s="848">
        <v>0</v>
      </c>
      <c r="EE86" s="848">
        <v>0</v>
      </c>
      <c r="EF86" s="848">
        <v>0</v>
      </c>
      <c r="EG86" s="848">
        <v>0</v>
      </c>
      <c r="EH86" s="848">
        <v>0</v>
      </c>
      <c r="EI86" s="848">
        <v>0</v>
      </c>
      <c r="EJ86" s="848">
        <v>0</v>
      </c>
      <c r="EK86" s="848">
        <v>0</v>
      </c>
      <c r="EL86" s="848">
        <v>0</v>
      </c>
    </row>
    <row r="87" spans="2:142" s="833" customFormat="1" ht="13.5">
      <c r="B87" s="1000"/>
      <c r="C87" s="2343" t="s">
        <v>2181</v>
      </c>
      <c r="D87" s="1001"/>
      <c r="E87" s="835"/>
      <c r="F87" s="1001"/>
      <c r="G87" s="1001"/>
      <c r="H87" s="848">
        <f t="shared" si="40"/>
        <v>40929.135244999998</v>
      </c>
      <c r="J87" s="901">
        <v>0</v>
      </c>
      <c r="K87" s="901">
        <v>0</v>
      </c>
      <c r="L87" s="901">
        <v>0</v>
      </c>
      <c r="M87" s="901">
        <v>0</v>
      </c>
      <c r="N87" s="901">
        <v>0</v>
      </c>
      <c r="O87" s="901">
        <v>0</v>
      </c>
      <c r="P87" s="901">
        <v>0</v>
      </c>
      <c r="Q87" s="901">
        <v>0</v>
      </c>
      <c r="R87" s="901">
        <v>0</v>
      </c>
      <c r="S87" s="901">
        <v>0</v>
      </c>
      <c r="T87" s="901">
        <v>0</v>
      </c>
      <c r="U87" s="901">
        <v>0</v>
      </c>
      <c r="V87" s="901">
        <v>0</v>
      </c>
      <c r="W87" s="901">
        <v>0</v>
      </c>
      <c r="X87" s="901">
        <v>0</v>
      </c>
      <c r="Y87" s="901">
        <v>0</v>
      </c>
      <c r="Z87" s="901">
        <v>0</v>
      </c>
      <c r="AA87" s="901">
        <v>0</v>
      </c>
      <c r="AB87" s="901">
        <v>0</v>
      </c>
      <c r="AC87" s="901">
        <v>0</v>
      </c>
      <c r="AD87" s="901">
        <v>0</v>
      </c>
      <c r="AE87" s="901">
        <v>0</v>
      </c>
      <c r="AF87" s="901">
        <v>0</v>
      </c>
      <c r="AG87" s="901">
        <v>0</v>
      </c>
      <c r="AH87" s="901">
        <v>0</v>
      </c>
      <c r="AI87" s="901">
        <v>0</v>
      </c>
      <c r="AJ87" s="901">
        <v>0</v>
      </c>
      <c r="AK87" s="901">
        <v>0</v>
      </c>
      <c r="AL87" s="901">
        <v>40929.135244999998</v>
      </c>
      <c r="AM87" s="901">
        <v>0</v>
      </c>
      <c r="AN87" s="901">
        <v>0</v>
      </c>
      <c r="AO87" s="901">
        <v>0</v>
      </c>
      <c r="AP87" s="901">
        <v>0</v>
      </c>
      <c r="AQ87" s="901">
        <v>0</v>
      </c>
      <c r="AR87" s="901">
        <v>0</v>
      </c>
      <c r="AS87" s="901">
        <v>0</v>
      </c>
      <c r="AT87" s="901">
        <v>0</v>
      </c>
      <c r="AU87" s="901">
        <v>0</v>
      </c>
      <c r="AV87" s="901">
        <v>0</v>
      </c>
      <c r="AW87" s="901">
        <v>0</v>
      </c>
      <c r="AX87" s="901">
        <v>0</v>
      </c>
      <c r="AY87" s="901">
        <v>0</v>
      </c>
      <c r="AZ87" s="901">
        <v>0</v>
      </c>
      <c r="BA87" s="901">
        <v>0</v>
      </c>
      <c r="BB87" s="901">
        <v>0</v>
      </c>
      <c r="BC87" s="901">
        <v>0</v>
      </c>
      <c r="BD87" s="901">
        <v>0</v>
      </c>
      <c r="BE87" s="901">
        <v>0</v>
      </c>
      <c r="BF87" s="901">
        <v>0</v>
      </c>
      <c r="BG87" s="901">
        <v>0</v>
      </c>
      <c r="BH87" s="901">
        <v>0</v>
      </c>
      <c r="BI87" s="901">
        <v>0</v>
      </c>
      <c r="BJ87" s="901">
        <v>0</v>
      </c>
      <c r="BK87" s="901">
        <v>0</v>
      </c>
      <c r="BL87" s="901">
        <v>0</v>
      </c>
      <c r="BM87" s="901">
        <v>0</v>
      </c>
      <c r="BN87" s="901">
        <v>0</v>
      </c>
      <c r="BO87" s="901">
        <v>0</v>
      </c>
      <c r="BP87" s="901">
        <v>0</v>
      </c>
      <c r="BQ87" s="901">
        <v>0</v>
      </c>
      <c r="BR87" s="901">
        <v>0</v>
      </c>
      <c r="BS87" s="901">
        <v>0</v>
      </c>
      <c r="BT87" s="901">
        <v>0</v>
      </c>
      <c r="BU87" s="901">
        <v>0</v>
      </c>
      <c r="BV87" s="901">
        <v>0</v>
      </c>
      <c r="BW87" s="901">
        <v>0</v>
      </c>
      <c r="BX87" s="901">
        <v>0</v>
      </c>
      <c r="BY87" s="901">
        <v>0</v>
      </c>
      <c r="BZ87" s="901">
        <v>0</v>
      </c>
      <c r="CA87" s="901">
        <v>0</v>
      </c>
      <c r="CB87" s="901">
        <v>0</v>
      </c>
      <c r="CC87" s="901">
        <v>0</v>
      </c>
      <c r="CD87" s="901">
        <v>0</v>
      </c>
      <c r="CE87" s="901">
        <v>0</v>
      </c>
      <c r="CF87" s="901">
        <v>0</v>
      </c>
      <c r="CG87" s="901">
        <v>0</v>
      </c>
      <c r="CH87" s="901">
        <v>0</v>
      </c>
      <c r="CI87" s="901">
        <v>0</v>
      </c>
      <c r="CJ87" s="901">
        <v>0</v>
      </c>
      <c r="CK87" s="901">
        <v>0</v>
      </c>
      <c r="CL87" s="901">
        <v>0</v>
      </c>
      <c r="CM87" s="901">
        <v>0</v>
      </c>
      <c r="CN87" s="901">
        <v>0</v>
      </c>
      <c r="CO87" s="901">
        <v>0</v>
      </c>
      <c r="CP87" s="901">
        <v>0</v>
      </c>
      <c r="CQ87" s="901">
        <v>0</v>
      </c>
      <c r="CR87" s="901">
        <v>0</v>
      </c>
      <c r="CS87" s="901">
        <v>0</v>
      </c>
      <c r="CT87" s="901">
        <v>0</v>
      </c>
      <c r="CU87" s="901">
        <v>0</v>
      </c>
      <c r="CV87" s="901">
        <v>0</v>
      </c>
      <c r="CW87" s="901">
        <v>0</v>
      </c>
      <c r="CX87" s="901">
        <v>0</v>
      </c>
      <c r="CY87" s="901">
        <v>0</v>
      </c>
      <c r="CZ87" s="901">
        <v>0</v>
      </c>
      <c r="DA87" s="901">
        <v>0</v>
      </c>
      <c r="DB87" s="901">
        <v>0</v>
      </c>
      <c r="DC87" s="901">
        <v>0</v>
      </c>
      <c r="DD87" s="901">
        <v>0</v>
      </c>
      <c r="DE87" s="901">
        <v>0</v>
      </c>
      <c r="DF87" s="901">
        <v>0</v>
      </c>
      <c r="DG87" s="901">
        <v>0</v>
      </c>
      <c r="DH87" s="901">
        <v>0</v>
      </c>
      <c r="DI87" s="901">
        <v>0</v>
      </c>
      <c r="DJ87" s="901">
        <v>0</v>
      </c>
      <c r="DK87" s="901">
        <v>0</v>
      </c>
      <c r="DL87" s="901">
        <v>0</v>
      </c>
      <c r="DM87" s="901">
        <v>0</v>
      </c>
      <c r="DN87" s="901">
        <v>0</v>
      </c>
      <c r="DO87" s="901">
        <v>0</v>
      </c>
      <c r="DP87" s="901">
        <v>0</v>
      </c>
      <c r="DQ87" s="901">
        <v>0</v>
      </c>
      <c r="DR87" s="901">
        <v>0</v>
      </c>
      <c r="DS87" s="901">
        <v>0</v>
      </c>
      <c r="DT87" s="901">
        <v>0</v>
      </c>
      <c r="DU87" s="901">
        <v>0</v>
      </c>
      <c r="DV87" s="901">
        <v>0</v>
      </c>
      <c r="DW87" s="901">
        <v>0</v>
      </c>
      <c r="DX87" s="901">
        <v>0</v>
      </c>
      <c r="DY87" s="901">
        <v>0</v>
      </c>
      <c r="DZ87" s="901">
        <v>0</v>
      </c>
      <c r="EA87" s="901">
        <v>0</v>
      </c>
      <c r="EB87" s="901">
        <v>0</v>
      </c>
      <c r="EC87" s="901">
        <v>0</v>
      </c>
      <c r="ED87" s="901">
        <v>0</v>
      </c>
      <c r="EE87" s="901">
        <v>0</v>
      </c>
      <c r="EF87" s="901">
        <v>0</v>
      </c>
      <c r="EG87" s="901">
        <v>0</v>
      </c>
      <c r="EH87" s="901">
        <v>0</v>
      </c>
      <c r="EI87" s="901">
        <v>0</v>
      </c>
      <c r="EJ87" s="901">
        <v>0</v>
      </c>
      <c r="EK87" s="901">
        <v>0</v>
      </c>
      <c r="EL87" s="901">
        <v>0</v>
      </c>
    </row>
    <row r="88" spans="2:142" s="833" customFormat="1" ht="13.5">
      <c r="B88" s="1000"/>
      <c r="C88" s="2343" t="s">
        <v>2182</v>
      </c>
      <c r="D88" s="1001"/>
      <c r="E88" s="835"/>
      <c r="F88" s="1001"/>
      <c r="G88" s="1001"/>
      <c r="H88" s="848">
        <f t="shared" si="40"/>
        <v>0</v>
      </c>
      <c r="J88" s="901">
        <v>0</v>
      </c>
      <c r="K88" s="901">
        <v>0</v>
      </c>
      <c r="L88" s="901">
        <v>0</v>
      </c>
      <c r="M88" s="901">
        <v>0</v>
      </c>
      <c r="N88" s="901">
        <v>0</v>
      </c>
      <c r="O88" s="901">
        <v>0</v>
      </c>
      <c r="P88" s="901">
        <v>0</v>
      </c>
      <c r="Q88" s="901">
        <v>0</v>
      </c>
      <c r="R88" s="901">
        <v>0</v>
      </c>
      <c r="S88" s="901">
        <v>0</v>
      </c>
      <c r="T88" s="901">
        <v>0</v>
      </c>
      <c r="U88" s="901">
        <v>0</v>
      </c>
      <c r="V88" s="901">
        <v>0</v>
      </c>
      <c r="W88" s="901">
        <v>0</v>
      </c>
      <c r="X88" s="901">
        <v>0</v>
      </c>
      <c r="Y88" s="901">
        <v>0</v>
      </c>
      <c r="Z88" s="901">
        <v>0</v>
      </c>
      <c r="AA88" s="901">
        <v>0</v>
      </c>
      <c r="AB88" s="901">
        <v>0</v>
      </c>
      <c r="AC88" s="901">
        <v>0</v>
      </c>
      <c r="AD88" s="901">
        <v>0</v>
      </c>
      <c r="AE88" s="901">
        <v>0</v>
      </c>
      <c r="AF88" s="901">
        <v>0</v>
      </c>
      <c r="AG88" s="901">
        <v>0</v>
      </c>
      <c r="AH88" s="901">
        <v>0</v>
      </c>
      <c r="AI88" s="901">
        <v>0</v>
      </c>
      <c r="AJ88" s="901">
        <v>0</v>
      </c>
      <c r="AK88" s="901">
        <v>0</v>
      </c>
      <c r="AL88" s="901">
        <v>0</v>
      </c>
      <c r="AM88" s="901">
        <v>0</v>
      </c>
      <c r="AN88" s="901">
        <v>0</v>
      </c>
      <c r="AO88" s="901">
        <v>0</v>
      </c>
      <c r="AP88" s="901">
        <v>0</v>
      </c>
      <c r="AQ88" s="901">
        <v>0</v>
      </c>
      <c r="AR88" s="901">
        <v>0</v>
      </c>
      <c r="AS88" s="901">
        <v>0</v>
      </c>
      <c r="AT88" s="901">
        <v>0</v>
      </c>
      <c r="AU88" s="901">
        <v>0</v>
      </c>
      <c r="AV88" s="901">
        <v>0</v>
      </c>
      <c r="AW88" s="901">
        <v>0</v>
      </c>
      <c r="AX88" s="901">
        <v>0</v>
      </c>
      <c r="AY88" s="901">
        <v>0</v>
      </c>
      <c r="AZ88" s="901">
        <v>0</v>
      </c>
      <c r="BA88" s="901">
        <v>0</v>
      </c>
      <c r="BB88" s="901">
        <v>0</v>
      </c>
      <c r="BC88" s="901">
        <v>0</v>
      </c>
      <c r="BD88" s="901">
        <v>0</v>
      </c>
      <c r="BE88" s="901">
        <v>0</v>
      </c>
      <c r="BF88" s="901">
        <v>0</v>
      </c>
      <c r="BG88" s="901">
        <v>0</v>
      </c>
      <c r="BH88" s="901">
        <v>0</v>
      </c>
      <c r="BI88" s="901">
        <v>0</v>
      </c>
      <c r="BJ88" s="901">
        <v>0</v>
      </c>
      <c r="BK88" s="901">
        <v>0</v>
      </c>
      <c r="BL88" s="901">
        <v>0</v>
      </c>
      <c r="BM88" s="901">
        <v>0</v>
      </c>
      <c r="BN88" s="901">
        <v>0</v>
      </c>
      <c r="BO88" s="901">
        <v>0</v>
      </c>
      <c r="BP88" s="901">
        <v>0</v>
      </c>
      <c r="BQ88" s="901">
        <v>0</v>
      </c>
      <c r="BR88" s="901">
        <v>0</v>
      </c>
      <c r="BS88" s="901">
        <v>0</v>
      </c>
      <c r="BT88" s="901">
        <v>0</v>
      </c>
      <c r="BU88" s="901">
        <v>0</v>
      </c>
      <c r="BV88" s="901">
        <v>0</v>
      </c>
      <c r="BW88" s="901">
        <v>0</v>
      </c>
      <c r="BX88" s="901">
        <v>0</v>
      </c>
      <c r="BY88" s="901">
        <v>0</v>
      </c>
      <c r="BZ88" s="901">
        <v>0</v>
      </c>
      <c r="CA88" s="901">
        <v>0</v>
      </c>
      <c r="CB88" s="901">
        <v>0</v>
      </c>
      <c r="CC88" s="901">
        <v>0</v>
      </c>
      <c r="CD88" s="901">
        <v>0</v>
      </c>
      <c r="CE88" s="901">
        <v>0</v>
      </c>
      <c r="CF88" s="901">
        <v>0</v>
      </c>
      <c r="CG88" s="901">
        <v>0</v>
      </c>
      <c r="CH88" s="901">
        <v>0</v>
      </c>
      <c r="CI88" s="901">
        <v>0</v>
      </c>
      <c r="CJ88" s="901">
        <v>0</v>
      </c>
      <c r="CK88" s="901">
        <v>0</v>
      </c>
      <c r="CL88" s="901">
        <v>0</v>
      </c>
      <c r="CM88" s="901">
        <v>0</v>
      </c>
      <c r="CN88" s="901">
        <v>0</v>
      </c>
      <c r="CO88" s="901">
        <v>0</v>
      </c>
      <c r="CP88" s="901">
        <v>0</v>
      </c>
      <c r="CQ88" s="901">
        <v>0</v>
      </c>
      <c r="CR88" s="901">
        <v>0</v>
      </c>
      <c r="CS88" s="901">
        <v>0</v>
      </c>
      <c r="CT88" s="901">
        <v>0</v>
      </c>
      <c r="CU88" s="901">
        <v>0</v>
      </c>
      <c r="CV88" s="901">
        <v>0</v>
      </c>
      <c r="CW88" s="901">
        <v>0</v>
      </c>
      <c r="CX88" s="901">
        <v>0</v>
      </c>
      <c r="CY88" s="901">
        <v>0</v>
      </c>
      <c r="CZ88" s="901">
        <v>0</v>
      </c>
      <c r="DA88" s="901">
        <v>0</v>
      </c>
      <c r="DB88" s="901">
        <v>0</v>
      </c>
      <c r="DC88" s="901">
        <v>0</v>
      </c>
      <c r="DD88" s="901">
        <v>0</v>
      </c>
      <c r="DE88" s="901">
        <v>0</v>
      </c>
      <c r="DF88" s="901">
        <v>0</v>
      </c>
      <c r="DG88" s="901">
        <v>0</v>
      </c>
      <c r="DH88" s="901">
        <v>0</v>
      </c>
      <c r="DI88" s="901">
        <v>0</v>
      </c>
      <c r="DJ88" s="901">
        <v>0</v>
      </c>
      <c r="DK88" s="901">
        <v>0</v>
      </c>
      <c r="DL88" s="901">
        <v>0</v>
      </c>
      <c r="DM88" s="901">
        <v>0</v>
      </c>
      <c r="DN88" s="901">
        <v>0</v>
      </c>
      <c r="DO88" s="901">
        <v>0</v>
      </c>
      <c r="DP88" s="901">
        <v>0</v>
      </c>
      <c r="DQ88" s="901">
        <v>0</v>
      </c>
      <c r="DR88" s="901">
        <v>0</v>
      </c>
      <c r="DS88" s="901">
        <v>0</v>
      </c>
      <c r="DT88" s="901">
        <v>0</v>
      </c>
      <c r="DU88" s="901">
        <v>0</v>
      </c>
      <c r="DV88" s="901">
        <v>0</v>
      </c>
      <c r="DW88" s="901">
        <v>0</v>
      </c>
      <c r="DX88" s="901">
        <v>0</v>
      </c>
      <c r="DY88" s="901">
        <v>0</v>
      </c>
      <c r="DZ88" s="901">
        <v>0</v>
      </c>
      <c r="EA88" s="901">
        <v>0</v>
      </c>
      <c r="EB88" s="901">
        <v>0</v>
      </c>
      <c r="EC88" s="901">
        <v>0</v>
      </c>
      <c r="ED88" s="901">
        <v>0</v>
      </c>
      <c r="EE88" s="901">
        <v>0</v>
      </c>
      <c r="EF88" s="901">
        <v>0</v>
      </c>
      <c r="EG88" s="901">
        <v>0</v>
      </c>
      <c r="EH88" s="901">
        <v>0</v>
      </c>
      <c r="EI88" s="901">
        <v>0</v>
      </c>
      <c r="EJ88" s="901">
        <v>0</v>
      </c>
      <c r="EK88" s="901">
        <v>0</v>
      </c>
      <c r="EL88" s="901">
        <v>0</v>
      </c>
    </row>
    <row r="89" spans="2:142" ht="13.5">
      <c r="B89" s="1000"/>
      <c r="C89" s="911" t="s">
        <v>2183</v>
      </c>
      <c r="D89" s="1001"/>
      <c r="F89" s="1001"/>
      <c r="G89" s="1001"/>
      <c r="H89" s="848">
        <f t="shared" si="40"/>
        <v>27548</v>
      </c>
      <c r="I89" s="833"/>
      <c r="J89" s="850">
        <v>0</v>
      </c>
      <c r="K89" s="850">
        <v>0</v>
      </c>
      <c r="L89" s="850">
        <v>0</v>
      </c>
      <c r="M89" s="850">
        <v>0</v>
      </c>
      <c r="N89" s="850">
        <v>0</v>
      </c>
      <c r="O89" s="850">
        <v>0</v>
      </c>
      <c r="P89" s="850">
        <v>0</v>
      </c>
      <c r="Q89" s="850">
        <v>0</v>
      </c>
      <c r="R89" s="850">
        <v>0</v>
      </c>
      <c r="S89" s="850">
        <v>0</v>
      </c>
      <c r="T89" s="850">
        <v>0</v>
      </c>
      <c r="U89" s="850">
        <v>0</v>
      </c>
      <c r="V89" s="850">
        <v>0</v>
      </c>
      <c r="W89" s="850">
        <v>0</v>
      </c>
      <c r="X89" s="850">
        <v>0</v>
      </c>
      <c r="Y89" s="850">
        <v>0</v>
      </c>
      <c r="Z89" s="850">
        <v>0</v>
      </c>
      <c r="AA89" s="850">
        <v>0</v>
      </c>
      <c r="AB89" s="850">
        <v>0</v>
      </c>
      <c r="AC89" s="850">
        <v>0</v>
      </c>
      <c r="AD89" s="850">
        <v>0</v>
      </c>
      <c r="AE89" s="850">
        <v>0</v>
      </c>
      <c r="AF89" s="850">
        <v>0</v>
      </c>
      <c r="AG89" s="850">
        <v>0</v>
      </c>
      <c r="AH89" s="850">
        <v>0</v>
      </c>
      <c r="AI89" s="850">
        <v>0</v>
      </c>
      <c r="AJ89" s="850">
        <v>0</v>
      </c>
      <c r="AK89" s="850">
        <v>0</v>
      </c>
      <c r="AL89" s="850">
        <v>0</v>
      </c>
      <c r="AM89" s="850">
        <v>0</v>
      </c>
      <c r="AN89" s="850">
        <v>0</v>
      </c>
      <c r="AO89" s="850">
        <v>0</v>
      </c>
      <c r="AP89" s="850">
        <v>0</v>
      </c>
      <c r="AQ89" s="850">
        <v>0</v>
      </c>
      <c r="AR89" s="850">
        <v>0</v>
      </c>
      <c r="AS89" s="850">
        <v>0</v>
      </c>
      <c r="AT89" s="850">
        <v>10668</v>
      </c>
      <c r="AU89" s="850">
        <v>0</v>
      </c>
      <c r="AV89" s="850">
        <v>0</v>
      </c>
      <c r="AW89" s="850">
        <v>0</v>
      </c>
      <c r="AX89" s="850">
        <v>0</v>
      </c>
      <c r="AY89" s="850">
        <v>0</v>
      </c>
      <c r="AZ89" s="850">
        <v>0</v>
      </c>
      <c r="BA89" s="850">
        <v>0</v>
      </c>
      <c r="BB89" s="850">
        <v>0</v>
      </c>
      <c r="BC89" s="850">
        <v>0</v>
      </c>
      <c r="BD89" s="850">
        <v>0</v>
      </c>
      <c r="BE89" s="850">
        <v>0</v>
      </c>
      <c r="BF89" s="850">
        <v>0</v>
      </c>
      <c r="BG89" s="850">
        <v>0</v>
      </c>
      <c r="BH89" s="850">
        <v>0</v>
      </c>
      <c r="BI89" s="850">
        <v>0</v>
      </c>
      <c r="BJ89" s="850">
        <v>0</v>
      </c>
      <c r="BK89" s="850">
        <v>0</v>
      </c>
      <c r="BL89" s="850">
        <v>0</v>
      </c>
      <c r="BM89" s="850">
        <v>0</v>
      </c>
      <c r="BN89" s="850">
        <v>0</v>
      </c>
      <c r="BO89" s="850">
        <v>0</v>
      </c>
      <c r="BP89" s="850">
        <v>0</v>
      </c>
      <c r="BQ89" s="850">
        <v>0</v>
      </c>
      <c r="BR89" s="850">
        <v>8310</v>
      </c>
      <c r="BS89" s="850">
        <v>0</v>
      </c>
      <c r="BT89" s="850">
        <v>0</v>
      </c>
      <c r="BU89" s="850">
        <v>0</v>
      </c>
      <c r="BV89" s="850">
        <v>0</v>
      </c>
      <c r="BW89" s="850">
        <v>0</v>
      </c>
      <c r="BX89" s="850">
        <v>0</v>
      </c>
      <c r="BY89" s="850">
        <v>0</v>
      </c>
      <c r="BZ89" s="850">
        <v>0</v>
      </c>
      <c r="CA89" s="850">
        <v>0</v>
      </c>
      <c r="CB89" s="850">
        <v>0</v>
      </c>
      <c r="CC89" s="850">
        <v>0</v>
      </c>
      <c r="CD89" s="850">
        <v>0</v>
      </c>
      <c r="CE89" s="850">
        <v>0</v>
      </c>
      <c r="CF89" s="850">
        <v>0</v>
      </c>
      <c r="CG89" s="850">
        <v>0</v>
      </c>
      <c r="CH89" s="850">
        <v>0</v>
      </c>
      <c r="CI89" s="850">
        <v>0</v>
      </c>
      <c r="CJ89" s="850">
        <v>0</v>
      </c>
      <c r="CK89" s="850">
        <v>0</v>
      </c>
      <c r="CL89" s="850">
        <v>0</v>
      </c>
      <c r="CM89" s="850">
        <v>0</v>
      </c>
      <c r="CN89" s="850">
        <v>0</v>
      </c>
      <c r="CO89" s="850">
        <v>0</v>
      </c>
      <c r="CP89" s="850">
        <v>8570</v>
      </c>
      <c r="CQ89" s="850">
        <v>0</v>
      </c>
      <c r="CR89" s="850">
        <v>0</v>
      </c>
      <c r="CS89" s="850">
        <v>0</v>
      </c>
      <c r="CT89" s="850">
        <v>0</v>
      </c>
      <c r="CU89" s="850">
        <v>0</v>
      </c>
      <c r="CV89" s="850">
        <v>0</v>
      </c>
      <c r="CW89" s="850">
        <v>0</v>
      </c>
      <c r="CX89" s="850">
        <v>0</v>
      </c>
      <c r="CY89" s="850">
        <v>0</v>
      </c>
      <c r="CZ89" s="850">
        <v>0</v>
      </c>
      <c r="DA89" s="850">
        <v>0</v>
      </c>
      <c r="DB89" s="850">
        <v>0</v>
      </c>
      <c r="DC89" s="850">
        <v>0</v>
      </c>
      <c r="DD89" s="850">
        <v>0</v>
      </c>
      <c r="DE89" s="850">
        <v>0</v>
      </c>
      <c r="DF89" s="850">
        <v>0</v>
      </c>
      <c r="DG89" s="850">
        <v>0</v>
      </c>
      <c r="DH89" s="850">
        <v>0</v>
      </c>
      <c r="DI89" s="850">
        <v>0</v>
      </c>
      <c r="DJ89" s="850">
        <v>0</v>
      </c>
      <c r="DK89" s="850">
        <v>0</v>
      </c>
      <c r="DL89" s="850">
        <v>0</v>
      </c>
      <c r="DM89" s="850">
        <v>0</v>
      </c>
      <c r="DN89" s="850">
        <v>0</v>
      </c>
      <c r="DO89" s="850">
        <v>0</v>
      </c>
      <c r="DP89" s="850">
        <v>0</v>
      </c>
      <c r="DQ89" s="850">
        <v>0</v>
      </c>
      <c r="DR89" s="850">
        <v>0</v>
      </c>
      <c r="DS89" s="850">
        <v>0</v>
      </c>
      <c r="DT89" s="850">
        <v>0</v>
      </c>
      <c r="DU89" s="850">
        <v>0</v>
      </c>
      <c r="DV89" s="850">
        <v>0</v>
      </c>
      <c r="DW89" s="850">
        <v>0</v>
      </c>
      <c r="DX89" s="850">
        <v>0</v>
      </c>
      <c r="DY89" s="850">
        <v>0</v>
      </c>
      <c r="DZ89" s="850">
        <v>0</v>
      </c>
      <c r="EA89" s="850">
        <v>0</v>
      </c>
      <c r="EB89" s="850">
        <v>0</v>
      </c>
      <c r="EC89" s="850">
        <v>0</v>
      </c>
      <c r="ED89" s="850">
        <v>0</v>
      </c>
      <c r="EE89" s="850">
        <v>0</v>
      </c>
      <c r="EF89" s="850">
        <v>0</v>
      </c>
      <c r="EG89" s="850">
        <v>0</v>
      </c>
      <c r="EH89" s="850">
        <v>0</v>
      </c>
      <c r="EI89" s="850">
        <v>0</v>
      </c>
      <c r="EJ89" s="850">
        <v>0</v>
      </c>
      <c r="EK89" s="850">
        <v>0</v>
      </c>
      <c r="EL89" s="850">
        <v>0</v>
      </c>
    </row>
    <row r="90" spans="2:142" s="833" customFormat="1" ht="13.5">
      <c r="B90" s="1000"/>
      <c r="C90" s="911" t="s">
        <v>948</v>
      </c>
      <c r="D90" s="1001"/>
      <c r="F90" s="1001"/>
      <c r="G90" s="1001"/>
      <c r="H90" s="848">
        <f t="shared" si="40"/>
        <v>1953900</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0</v>
      </c>
      <c r="AE90" s="848">
        <v>0</v>
      </c>
      <c r="AF90" s="848">
        <v>0</v>
      </c>
      <c r="AG90" s="848">
        <v>0</v>
      </c>
      <c r="AH90" s="848">
        <v>0</v>
      </c>
      <c r="AI90" s="848">
        <v>0</v>
      </c>
      <c r="AJ90" s="848">
        <v>0</v>
      </c>
      <c r="AK90" s="848">
        <v>0</v>
      </c>
      <c r="AL90" s="848">
        <v>0</v>
      </c>
      <c r="AM90" s="848">
        <v>0</v>
      </c>
      <c r="AN90" s="848">
        <v>0</v>
      </c>
      <c r="AO90" s="848">
        <v>0</v>
      </c>
      <c r="AP90" s="848">
        <v>0</v>
      </c>
      <c r="AQ90" s="848">
        <v>0</v>
      </c>
      <c r="AR90" s="848">
        <v>0</v>
      </c>
      <c r="AS90" s="848">
        <v>0</v>
      </c>
      <c r="AT90" s="848">
        <v>443900</v>
      </c>
      <c r="AU90" s="848">
        <v>0</v>
      </c>
      <c r="AV90" s="848">
        <v>0</v>
      </c>
      <c r="AW90" s="848">
        <v>0</v>
      </c>
      <c r="AX90" s="848">
        <v>0</v>
      </c>
      <c r="AY90" s="848">
        <v>0</v>
      </c>
      <c r="AZ90" s="848">
        <v>0</v>
      </c>
      <c r="BA90" s="848">
        <v>0</v>
      </c>
      <c r="BB90" s="848">
        <v>0</v>
      </c>
      <c r="BC90" s="848">
        <v>0</v>
      </c>
      <c r="BD90" s="848">
        <v>0</v>
      </c>
      <c r="BE90" s="848">
        <v>0</v>
      </c>
      <c r="BF90" s="848">
        <v>0</v>
      </c>
      <c r="BG90" s="848">
        <v>0</v>
      </c>
      <c r="BH90" s="848">
        <v>0</v>
      </c>
      <c r="BI90" s="848">
        <v>0</v>
      </c>
      <c r="BJ90" s="848">
        <v>0</v>
      </c>
      <c r="BK90" s="848">
        <v>0</v>
      </c>
      <c r="BL90" s="848">
        <v>0</v>
      </c>
      <c r="BM90" s="848">
        <v>0</v>
      </c>
      <c r="BN90" s="848">
        <v>0</v>
      </c>
      <c r="BO90" s="848">
        <v>0</v>
      </c>
      <c r="BP90" s="848">
        <v>0</v>
      </c>
      <c r="BQ90" s="848">
        <v>0</v>
      </c>
      <c r="BR90" s="848">
        <v>486000</v>
      </c>
      <c r="BS90" s="848">
        <v>0</v>
      </c>
      <c r="BT90" s="848">
        <v>0</v>
      </c>
      <c r="BU90" s="848">
        <v>0</v>
      </c>
      <c r="BV90" s="848">
        <v>0</v>
      </c>
      <c r="BW90" s="848">
        <v>0</v>
      </c>
      <c r="BX90" s="848">
        <v>0</v>
      </c>
      <c r="BY90" s="848">
        <v>0</v>
      </c>
      <c r="BZ90" s="848">
        <v>0</v>
      </c>
      <c r="CA90" s="848">
        <v>0</v>
      </c>
      <c r="CB90" s="848">
        <v>0</v>
      </c>
      <c r="CC90" s="848">
        <v>0</v>
      </c>
      <c r="CD90" s="848">
        <v>0</v>
      </c>
      <c r="CE90" s="848">
        <v>0</v>
      </c>
      <c r="CF90" s="848">
        <v>0</v>
      </c>
      <c r="CG90" s="848">
        <v>0</v>
      </c>
      <c r="CH90" s="848">
        <v>0</v>
      </c>
      <c r="CI90" s="848">
        <v>0</v>
      </c>
      <c r="CJ90" s="848">
        <v>0</v>
      </c>
      <c r="CK90" s="848">
        <v>0</v>
      </c>
      <c r="CL90" s="848">
        <v>0</v>
      </c>
      <c r="CM90" s="848">
        <v>0</v>
      </c>
      <c r="CN90" s="848">
        <v>0</v>
      </c>
      <c r="CO90" s="848">
        <v>0</v>
      </c>
      <c r="CP90" s="848">
        <v>486000</v>
      </c>
      <c r="CQ90" s="848">
        <v>0</v>
      </c>
      <c r="CR90" s="848">
        <v>0</v>
      </c>
      <c r="CS90" s="848">
        <v>0</v>
      </c>
      <c r="CT90" s="848">
        <v>0</v>
      </c>
      <c r="CU90" s="848">
        <v>0</v>
      </c>
      <c r="CV90" s="848">
        <v>0</v>
      </c>
      <c r="CW90" s="848">
        <v>0</v>
      </c>
      <c r="CX90" s="848">
        <v>0</v>
      </c>
      <c r="CY90" s="848">
        <v>0</v>
      </c>
      <c r="CZ90" s="848">
        <v>0</v>
      </c>
      <c r="DA90" s="848">
        <v>0</v>
      </c>
      <c r="DB90" s="848">
        <v>0</v>
      </c>
      <c r="DC90" s="848">
        <v>0</v>
      </c>
      <c r="DD90" s="848">
        <v>0</v>
      </c>
      <c r="DE90" s="848">
        <v>0</v>
      </c>
      <c r="DF90" s="848">
        <v>0</v>
      </c>
      <c r="DG90" s="848">
        <v>0</v>
      </c>
      <c r="DH90" s="848">
        <v>0</v>
      </c>
      <c r="DI90" s="848">
        <v>0</v>
      </c>
      <c r="DJ90" s="848">
        <v>0</v>
      </c>
      <c r="DK90" s="848">
        <v>0</v>
      </c>
      <c r="DL90" s="848">
        <v>0</v>
      </c>
      <c r="DM90" s="848">
        <v>0</v>
      </c>
      <c r="DN90" s="848">
        <v>0</v>
      </c>
      <c r="DO90" s="848">
        <v>0</v>
      </c>
      <c r="DP90" s="848">
        <v>0</v>
      </c>
      <c r="DQ90" s="848">
        <v>0</v>
      </c>
      <c r="DR90" s="848">
        <v>0</v>
      </c>
      <c r="DS90" s="848">
        <v>0</v>
      </c>
      <c r="DT90" s="848">
        <v>0</v>
      </c>
      <c r="DU90" s="848">
        <v>0</v>
      </c>
      <c r="DV90" s="848">
        <v>0</v>
      </c>
      <c r="DW90" s="848">
        <v>0</v>
      </c>
      <c r="DX90" s="848">
        <v>0</v>
      </c>
      <c r="DY90" s="848">
        <v>0</v>
      </c>
      <c r="DZ90" s="848">
        <v>538000</v>
      </c>
      <c r="EA90" s="848">
        <v>0</v>
      </c>
      <c r="EB90" s="848">
        <v>0</v>
      </c>
      <c r="EC90" s="848">
        <v>0</v>
      </c>
      <c r="ED90" s="848">
        <v>0</v>
      </c>
      <c r="EE90" s="848">
        <v>0</v>
      </c>
      <c r="EF90" s="848">
        <v>0</v>
      </c>
      <c r="EG90" s="848">
        <v>0</v>
      </c>
      <c r="EH90" s="848">
        <v>0</v>
      </c>
      <c r="EI90" s="848">
        <v>0</v>
      </c>
      <c r="EJ90" s="848">
        <v>0</v>
      </c>
      <c r="EK90" s="848">
        <v>0</v>
      </c>
      <c r="EL90" s="848">
        <v>0</v>
      </c>
    </row>
    <row r="91" spans="2:142" s="833" customFormat="1" ht="13.5">
      <c r="B91" s="1000"/>
      <c r="C91" s="911" t="s">
        <v>2184</v>
      </c>
      <c r="D91" s="1001"/>
      <c r="F91" s="1001"/>
      <c r="G91" s="1001"/>
      <c r="H91" s="848">
        <f>SUM(J91:EL91)</f>
        <v>172100</v>
      </c>
      <c r="J91" s="848">
        <v>0</v>
      </c>
      <c r="K91" s="848">
        <v>0</v>
      </c>
      <c r="L91" s="848">
        <v>0</v>
      </c>
      <c r="M91" s="848">
        <v>0</v>
      </c>
      <c r="N91" s="848">
        <v>0</v>
      </c>
      <c r="O91" s="848">
        <v>0</v>
      </c>
      <c r="P91" s="848">
        <v>0</v>
      </c>
      <c r="Q91" s="848">
        <v>0</v>
      </c>
      <c r="R91" s="848">
        <v>0</v>
      </c>
      <c r="S91" s="848">
        <v>0</v>
      </c>
      <c r="T91" s="848">
        <v>0</v>
      </c>
      <c r="U91" s="848">
        <v>0</v>
      </c>
      <c r="V91" s="848">
        <v>0</v>
      </c>
      <c r="W91" s="848">
        <v>0</v>
      </c>
      <c r="X91" s="848">
        <v>0</v>
      </c>
      <c r="Y91" s="848">
        <v>0</v>
      </c>
      <c r="Z91" s="848">
        <v>0</v>
      </c>
      <c r="AA91" s="848">
        <v>0</v>
      </c>
      <c r="AB91" s="848">
        <v>0</v>
      </c>
      <c r="AC91" s="848">
        <v>0</v>
      </c>
      <c r="AD91" s="848">
        <v>0</v>
      </c>
      <c r="AE91" s="848">
        <v>0</v>
      </c>
      <c r="AF91" s="848">
        <v>0</v>
      </c>
      <c r="AG91" s="848">
        <v>0</v>
      </c>
      <c r="AH91" s="848">
        <v>0</v>
      </c>
      <c r="AI91" s="848">
        <v>0</v>
      </c>
      <c r="AJ91" s="848">
        <v>0</v>
      </c>
      <c r="AK91" s="848">
        <v>0</v>
      </c>
      <c r="AL91" s="848">
        <v>0</v>
      </c>
      <c r="AM91" s="848">
        <v>0</v>
      </c>
      <c r="AN91" s="848">
        <v>0</v>
      </c>
      <c r="AO91" s="848">
        <v>0</v>
      </c>
      <c r="AP91" s="848">
        <v>0</v>
      </c>
      <c r="AQ91" s="848">
        <v>0</v>
      </c>
      <c r="AR91" s="848">
        <v>0</v>
      </c>
      <c r="AS91" s="848">
        <v>0</v>
      </c>
      <c r="AT91" s="848">
        <v>68100</v>
      </c>
      <c r="AU91" s="848">
        <v>0</v>
      </c>
      <c r="AV91" s="848">
        <v>0</v>
      </c>
      <c r="AW91" s="848">
        <v>0</v>
      </c>
      <c r="AX91" s="848">
        <v>0</v>
      </c>
      <c r="AY91" s="848">
        <v>0</v>
      </c>
      <c r="AZ91" s="848">
        <v>0</v>
      </c>
      <c r="BA91" s="848">
        <v>0</v>
      </c>
      <c r="BB91" s="848">
        <v>0</v>
      </c>
      <c r="BC91" s="848">
        <v>0</v>
      </c>
      <c r="BD91" s="848">
        <v>0</v>
      </c>
      <c r="BE91" s="848">
        <v>0</v>
      </c>
      <c r="BF91" s="848">
        <v>0</v>
      </c>
      <c r="BG91" s="848">
        <v>0</v>
      </c>
      <c r="BH91" s="848">
        <v>0</v>
      </c>
      <c r="BI91" s="848">
        <v>0</v>
      </c>
      <c r="BJ91" s="848">
        <v>0</v>
      </c>
      <c r="BK91" s="848">
        <v>0</v>
      </c>
      <c r="BL91" s="848">
        <v>0</v>
      </c>
      <c r="BM91" s="848">
        <v>0</v>
      </c>
      <c r="BN91" s="848">
        <v>0</v>
      </c>
      <c r="BO91" s="848">
        <v>0</v>
      </c>
      <c r="BP91" s="848">
        <v>0</v>
      </c>
      <c r="BQ91" s="848">
        <v>0</v>
      </c>
      <c r="BR91" s="848">
        <v>52000</v>
      </c>
      <c r="BS91" s="848">
        <v>0</v>
      </c>
      <c r="BT91" s="848">
        <v>0</v>
      </c>
      <c r="BU91" s="848">
        <v>0</v>
      </c>
      <c r="BV91" s="848">
        <v>0</v>
      </c>
      <c r="BW91" s="848">
        <v>0</v>
      </c>
      <c r="BX91" s="848">
        <v>0</v>
      </c>
      <c r="BY91" s="848">
        <v>0</v>
      </c>
      <c r="BZ91" s="848">
        <v>0</v>
      </c>
      <c r="CA91" s="848">
        <v>0</v>
      </c>
      <c r="CB91" s="848">
        <v>0</v>
      </c>
      <c r="CC91" s="848">
        <v>0</v>
      </c>
      <c r="CD91" s="848">
        <v>0</v>
      </c>
      <c r="CE91" s="848">
        <v>0</v>
      </c>
      <c r="CF91" s="848">
        <v>0</v>
      </c>
      <c r="CG91" s="848">
        <v>0</v>
      </c>
      <c r="CH91" s="848">
        <v>0</v>
      </c>
      <c r="CI91" s="848">
        <v>0</v>
      </c>
      <c r="CJ91" s="848">
        <v>0</v>
      </c>
      <c r="CK91" s="848">
        <v>0</v>
      </c>
      <c r="CL91" s="848">
        <v>0</v>
      </c>
      <c r="CM91" s="848">
        <v>0</v>
      </c>
      <c r="CN91" s="848">
        <v>0</v>
      </c>
      <c r="CO91" s="848">
        <v>0</v>
      </c>
      <c r="CP91" s="848">
        <v>52000</v>
      </c>
      <c r="CQ91" s="848">
        <v>0</v>
      </c>
      <c r="CR91" s="848">
        <v>0</v>
      </c>
      <c r="CS91" s="848">
        <v>0</v>
      </c>
      <c r="CT91" s="848">
        <v>0</v>
      </c>
      <c r="CU91" s="848">
        <v>0</v>
      </c>
      <c r="CV91" s="848">
        <v>0</v>
      </c>
      <c r="CW91" s="848">
        <v>0</v>
      </c>
      <c r="CX91" s="848">
        <v>0</v>
      </c>
      <c r="CY91" s="848">
        <v>0</v>
      </c>
      <c r="CZ91" s="848">
        <v>0</v>
      </c>
      <c r="DA91" s="848">
        <v>0</v>
      </c>
      <c r="DB91" s="848">
        <v>0</v>
      </c>
      <c r="DC91" s="848">
        <v>0</v>
      </c>
      <c r="DD91" s="848">
        <v>0</v>
      </c>
      <c r="DE91" s="848">
        <v>0</v>
      </c>
      <c r="DF91" s="848">
        <v>0</v>
      </c>
      <c r="DG91" s="848">
        <v>0</v>
      </c>
      <c r="DH91" s="848">
        <v>0</v>
      </c>
      <c r="DI91" s="848">
        <v>0</v>
      </c>
      <c r="DJ91" s="848">
        <v>0</v>
      </c>
      <c r="DK91" s="848">
        <v>0</v>
      </c>
      <c r="DL91" s="848">
        <v>0</v>
      </c>
      <c r="DM91" s="848">
        <v>0</v>
      </c>
      <c r="DN91" s="848">
        <v>0</v>
      </c>
      <c r="DO91" s="848">
        <v>0</v>
      </c>
      <c r="DP91" s="848">
        <v>0</v>
      </c>
      <c r="DQ91" s="848">
        <v>0</v>
      </c>
      <c r="DR91" s="848">
        <v>0</v>
      </c>
      <c r="DS91" s="848">
        <v>0</v>
      </c>
      <c r="DT91" s="848">
        <v>0</v>
      </c>
      <c r="DU91" s="848">
        <v>0</v>
      </c>
      <c r="DV91" s="848">
        <v>0</v>
      </c>
      <c r="DW91" s="848">
        <v>0</v>
      </c>
      <c r="DX91" s="848">
        <v>0</v>
      </c>
      <c r="DY91" s="848">
        <v>0</v>
      </c>
      <c r="DZ91" s="848">
        <v>0</v>
      </c>
      <c r="EA91" s="848">
        <v>0</v>
      </c>
      <c r="EB91" s="848">
        <v>0</v>
      </c>
      <c r="EC91" s="848">
        <v>0</v>
      </c>
      <c r="ED91" s="848">
        <v>0</v>
      </c>
      <c r="EE91" s="848">
        <v>0</v>
      </c>
      <c r="EF91" s="848">
        <v>0</v>
      </c>
      <c r="EG91" s="848">
        <v>0</v>
      </c>
      <c r="EH91" s="848">
        <v>0</v>
      </c>
      <c r="EI91" s="848">
        <v>0</v>
      </c>
      <c r="EJ91" s="848">
        <v>0</v>
      </c>
      <c r="EK91" s="848">
        <v>0</v>
      </c>
      <c r="EL91" s="848">
        <v>0</v>
      </c>
    </row>
    <row r="92" spans="2:142" s="833" customFormat="1" ht="13.5">
      <c r="B92" s="1000"/>
      <c r="C92" s="911" t="s">
        <v>2185</v>
      </c>
      <c r="D92" s="1001"/>
      <c r="F92" s="1001"/>
      <c r="G92" s="1001"/>
      <c r="H92" s="848">
        <f t="shared" si="40"/>
        <v>0</v>
      </c>
      <c r="J92" s="848">
        <v>0</v>
      </c>
      <c r="K92" s="848">
        <v>0</v>
      </c>
      <c r="L92" s="848">
        <v>0</v>
      </c>
      <c r="M92" s="848">
        <v>0</v>
      </c>
      <c r="N92" s="848">
        <v>0</v>
      </c>
      <c r="O92" s="848">
        <v>0</v>
      </c>
      <c r="P92" s="848">
        <v>0</v>
      </c>
      <c r="Q92" s="848">
        <v>0</v>
      </c>
      <c r="R92" s="848">
        <v>0</v>
      </c>
      <c r="S92" s="848">
        <v>0</v>
      </c>
      <c r="T92" s="848">
        <v>0</v>
      </c>
      <c r="U92" s="848">
        <v>0</v>
      </c>
      <c r="V92" s="848">
        <v>0</v>
      </c>
      <c r="W92" s="848">
        <v>0</v>
      </c>
      <c r="X92" s="848">
        <v>0</v>
      </c>
      <c r="Y92" s="848">
        <v>0</v>
      </c>
      <c r="Z92" s="848">
        <v>0</v>
      </c>
      <c r="AA92" s="848">
        <v>0</v>
      </c>
      <c r="AB92" s="848">
        <v>0</v>
      </c>
      <c r="AC92" s="848">
        <v>0</v>
      </c>
      <c r="AD92" s="848">
        <v>0</v>
      </c>
      <c r="AE92" s="848">
        <v>0</v>
      </c>
      <c r="AF92" s="848">
        <v>0</v>
      </c>
      <c r="AG92" s="848">
        <v>0</v>
      </c>
      <c r="AH92" s="848">
        <v>0</v>
      </c>
      <c r="AI92" s="848">
        <v>0</v>
      </c>
      <c r="AJ92" s="848">
        <v>0</v>
      </c>
      <c r="AK92" s="848">
        <v>0</v>
      </c>
      <c r="AL92" s="848">
        <v>0</v>
      </c>
      <c r="AM92" s="848">
        <v>0</v>
      </c>
      <c r="AN92" s="848">
        <v>0</v>
      </c>
      <c r="AO92" s="848">
        <v>0</v>
      </c>
      <c r="AP92" s="848">
        <v>0</v>
      </c>
      <c r="AQ92" s="848">
        <v>0</v>
      </c>
      <c r="AR92" s="848">
        <v>0</v>
      </c>
      <c r="AS92" s="848">
        <v>0</v>
      </c>
      <c r="AT92" s="848">
        <v>0</v>
      </c>
      <c r="AU92" s="848">
        <v>0</v>
      </c>
      <c r="AV92" s="848">
        <v>0</v>
      </c>
      <c r="AW92" s="848">
        <v>0</v>
      </c>
      <c r="AX92" s="848">
        <v>0</v>
      </c>
      <c r="AY92" s="848">
        <v>0</v>
      </c>
      <c r="AZ92" s="848">
        <v>0</v>
      </c>
      <c r="BA92" s="848">
        <v>0</v>
      </c>
      <c r="BB92" s="848">
        <v>0</v>
      </c>
      <c r="BC92" s="848">
        <v>0</v>
      </c>
      <c r="BD92" s="848">
        <v>0</v>
      </c>
      <c r="BE92" s="848">
        <v>0</v>
      </c>
      <c r="BF92" s="848">
        <v>0</v>
      </c>
      <c r="BG92" s="848">
        <v>0</v>
      </c>
      <c r="BH92" s="848">
        <v>0</v>
      </c>
      <c r="BI92" s="848">
        <v>0</v>
      </c>
      <c r="BJ92" s="848">
        <v>0</v>
      </c>
      <c r="BK92" s="848">
        <v>0</v>
      </c>
      <c r="BL92" s="848">
        <v>0</v>
      </c>
      <c r="BM92" s="848">
        <v>0</v>
      </c>
      <c r="BN92" s="848">
        <v>0</v>
      </c>
      <c r="BO92" s="848">
        <v>0</v>
      </c>
      <c r="BP92" s="848">
        <v>0</v>
      </c>
      <c r="BQ92" s="848">
        <v>0</v>
      </c>
      <c r="BR92" s="848">
        <v>0</v>
      </c>
      <c r="BS92" s="848">
        <v>0</v>
      </c>
      <c r="BT92" s="848">
        <v>0</v>
      </c>
      <c r="BU92" s="848">
        <v>0</v>
      </c>
      <c r="BV92" s="848">
        <v>0</v>
      </c>
      <c r="BW92" s="848">
        <v>0</v>
      </c>
      <c r="BX92" s="848">
        <v>0</v>
      </c>
      <c r="BY92" s="848">
        <v>0</v>
      </c>
      <c r="BZ92" s="848">
        <v>0</v>
      </c>
      <c r="CA92" s="848">
        <v>0</v>
      </c>
      <c r="CB92" s="848">
        <v>0</v>
      </c>
      <c r="CC92" s="848">
        <v>0</v>
      </c>
      <c r="CD92" s="848">
        <v>0</v>
      </c>
      <c r="CE92" s="848">
        <v>0</v>
      </c>
      <c r="CF92" s="848">
        <v>0</v>
      </c>
      <c r="CG92" s="848">
        <v>0</v>
      </c>
      <c r="CH92" s="848">
        <v>0</v>
      </c>
      <c r="CI92" s="848">
        <v>0</v>
      </c>
      <c r="CJ92" s="848">
        <v>0</v>
      </c>
      <c r="CK92" s="848">
        <v>0</v>
      </c>
      <c r="CL92" s="848">
        <v>0</v>
      </c>
      <c r="CM92" s="848">
        <v>0</v>
      </c>
      <c r="CN92" s="848">
        <v>0</v>
      </c>
      <c r="CO92" s="848">
        <v>0</v>
      </c>
      <c r="CP92" s="848">
        <v>0</v>
      </c>
      <c r="CQ92" s="848">
        <v>0</v>
      </c>
      <c r="CR92" s="848">
        <v>0</v>
      </c>
      <c r="CS92" s="848">
        <v>0</v>
      </c>
      <c r="CT92" s="848">
        <v>0</v>
      </c>
      <c r="CU92" s="848">
        <v>0</v>
      </c>
      <c r="CV92" s="848">
        <v>0</v>
      </c>
      <c r="CW92" s="848">
        <v>0</v>
      </c>
      <c r="CX92" s="848">
        <v>0</v>
      </c>
      <c r="CY92" s="848">
        <v>0</v>
      </c>
      <c r="CZ92" s="848">
        <v>0</v>
      </c>
      <c r="DA92" s="848">
        <v>0</v>
      </c>
      <c r="DB92" s="848">
        <v>0</v>
      </c>
      <c r="DC92" s="848">
        <v>0</v>
      </c>
      <c r="DD92" s="848">
        <v>0</v>
      </c>
      <c r="DE92" s="848">
        <v>0</v>
      </c>
      <c r="DF92" s="848">
        <v>0</v>
      </c>
      <c r="DG92" s="848">
        <v>0</v>
      </c>
      <c r="DH92" s="848">
        <v>0</v>
      </c>
      <c r="DI92" s="848">
        <v>0</v>
      </c>
      <c r="DJ92" s="848">
        <v>0</v>
      </c>
      <c r="DK92" s="848">
        <v>0</v>
      </c>
      <c r="DL92" s="848">
        <v>0</v>
      </c>
      <c r="DM92" s="848">
        <v>0</v>
      </c>
      <c r="DN92" s="848">
        <v>0</v>
      </c>
      <c r="DO92" s="848">
        <v>0</v>
      </c>
      <c r="DP92" s="848">
        <v>0</v>
      </c>
      <c r="DQ92" s="848">
        <v>0</v>
      </c>
      <c r="DR92" s="848">
        <v>0</v>
      </c>
      <c r="DS92" s="848">
        <v>0</v>
      </c>
      <c r="DT92" s="848">
        <v>0</v>
      </c>
      <c r="DU92" s="848">
        <v>0</v>
      </c>
      <c r="DV92" s="848">
        <v>0</v>
      </c>
      <c r="DW92" s="848">
        <v>0</v>
      </c>
      <c r="DX92" s="848">
        <v>0</v>
      </c>
      <c r="DY92" s="848">
        <v>0</v>
      </c>
      <c r="DZ92" s="848">
        <v>0</v>
      </c>
      <c r="EA92" s="848">
        <v>0</v>
      </c>
      <c r="EB92" s="848">
        <v>0</v>
      </c>
      <c r="EC92" s="848">
        <v>0</v>
      </c>
      <c r="ED92" s="848">
        <v>0</v>
      </c>
      <c r="EE92" s="848">
        <v>0</v>
      </c>
      <c r="EF92" s="848">
        <v>0</v>
      </c>
      <c r="EG92" s="848">
        <v>0</v>
      </c>
      <c r="EH92" s="848">
        <v>0</v>
      </c>
      <c r="EI92" s="848">
        <v>0</v>
      </c>
      <c r="EJ92" s="848">
        <v>0</v>
      </c>
      <c r="EK92" s="848">
        <v>0</v>
      </c>
      <c r="EL92" s="848">
        <v>0</v>
      </c>
    </row>
    <row r="93" spans="2:142" ht="13.5">
      <c r="B93" s="1000"/>
      <c r="C93" s="911" t="s">
        <v>949</v>
      </c>
      <c r="D93" s="1001"/>
      <c r="F93" s="1001"/>
      <c r="G93" s="1001"/>
      <c r="H93" s="848">
        <f t="shared" si="40"/>
        <v>0</v>
      </c>
      <c r="I93" s="833"/>
      <c r="J93" s="848">
        <v>0</v>
      </c>
      <c r="K93" s="848">
        <v>0</v>
      </c>
      <c r="L93" s="848">
        <v>0</v>
      </c>
      <c r="M93" s="848">
        <v>0</v>
      </c>
      <c r="N93" s="848">
        <v>0</v>
      </c>
      <c r="O93" s="848">
        <v>0</v>
      </c>
      <c r="P93" s="848">
        <v>0</v>
      </c>
      <c r="Q93" s="848">
        <v>0</v>
      </c>
      <c r="R93" s="848">
        <v>0</v>
      </c>
      <c r="S93" s="848">
        <v>0</v>
      </c>
      <c r="T93" s="848">
        <v>0</v>
      </c>
      <c r="U93" s="848">
        <v>0</v>
      </c>
      <c r="V93" s="848">
        <v>0</v>
      </c>
      <c r="W93" s="848">
        <v>0</v>
      </c>
      <c r="X93" s="848">
        <v>0</v>
      </c>
      <c r="Y93" s="848">
        <v>0</v>
      </c>
      <c r="Z93" s="848">
        <v>0</v>
      </c>
      <c r="AA93" s="848">
        <v>0</v>
      </c>
      <c r="AB93" s="848">
        <v>0</v>
      </c>
      <c r="AC93" s="848">
        <v>0</v>
      </c>
      <c r="AD93" s="848">
        <v>0</v>
      </c>
      <c r="AE93" s="848">
        <v>0</v>
      </c>
      <c r="AF93" s="848">
        <v>0</v>
      </c>
      <c r="AG93" s="848">
        <v>0</v>
      </c>
      <c r="AH93" s="848">
        <v>0</v>
      </c>
      <c r="AI93" s="848">
        <v>0</v>
      </c>
      <c r="AJ93" s="848">
        <v>0</v>
      </c>
      <c r="AK93" s="848">
        <v>0</v>
      </c>
      <c r="AL93" s="848">
        <v>0</v>
      </c>
      <c r="AM93" s="848">
        <v>0</v>
      </c>
      <c r="AN93" s="848">
        <v>0</v>
      </c>
      <c r="AO93" s="848">
        <v>0</v>
      </c>
      <c r="AP93" s="848">
        <v>0</v>
      </c>
      <c r="AQ93" s="848">
        <v>0</v>
      </c>
      <c r="AR93" s="848">
        <v>0</v>
      </c>
      <c r="AS93" s="848">
        <v>0</v>
      </c>
      <c r="AT93" s="848">
        <v>0</v>
      </c>
      <c r="AU93" s="848">
        <v>0</v>
      </c>
      <c r="AV93" s="848">
        <v>0</v>
      </c>
      <c r="AW93" s="848">
        <v>0</v>
      </c>
      <c r="AX93" s="848">
        <v>0</v>
      </c>
      <c r="AY93" s="848">
        <v>0</v>
      </c>
      <c r="AZ93" s="848">
        <v>0</v>
      </c>
      <c r="BA93" s="848">
        <v>0</v>
      </c>
      <c r="BB93" s="848">
        <v>0</v>
      </c>
      <c r="BC93" s="848">
        <v>0</v>
      </c>
      <c r="BD93" s="848">
        <v>0</v>
      </c>
      <c r="BE93" s="848">
        <v>0</v>
      </c>
      <c r="BF93" s="848">
        <v>0</v>
      </c>
      <c r="BG93" s="848">
        <v>0</v>
      </c>
      <c r="BH93" s="848">
        <v>0</v>
      </c>
      <c r="BI93" s="848">
        <v>0</v>
      </c>
      <c r="BJ93" s="848">
        <v>0</v>
      </c>
      <c r="BK93" s="848">
        <v>0</v>
      </c>
      <c r="BL93" s="848">
        <v>0</v>
      </c>
      <c r="BM93" s="848">
        <v>0</v>
      </c>
      <c r="BN93" s="848">
        <v>0</v>
      </c>
      <c r="BO93" s="848">
        <v>0</v>
      </c>
      <c r="BP93" s="848">
        <v>0</v>
      </c>
      <c r="BQ93" s="848">
        <v>0</v>
      </c>
      <c r="BR93" s="848">
        <v>0</v>
      </c>
      <c r="BS93" s="848">
        <v>0</v>
      </c>
      <c r="BT93" s="848">
        <v>0</v>
      </c>
      <c r="BU93" s="848">
        <v>0</v>
      </c>
      <c r="BV93" s="848">
        <v>0</v>
      </c>
      <c r="BW93" s="848">
        <v>0</v>
      </c>
      <c r="BX93" s="848">
        <v>0</v>
      </c>
      <c r="BY93" s="848">
        <v>0</v>
      </c>
      <c r="BZ93" s="848">
        <v>0</v>
      </c>
      <c r="CA93" s="848">
        <v>0</v>
      </c>
      <c r="CB93" s="848">
        <v>0</v>
      </c>
      <c r="CC93" s="848">
        <v>0</v>
      </c>
      <c r="CD93" s="848">
        <v>0</v>
      </c>
      <c r="CE93" s="848">
        <v>0</v>
      </c>
      <c r="CF93" s="848">
        <v>0</v>
      </c>
      <c r="CG93" s="848">
        <v>0</v>
      </c>
      <c r="CH93" s="848">
        <v>0</v>
      </c>
      <c r="CI93" s="848">
        <v>0</v>
      </c>
      <c r="CJ93" s="848">
        <v>0</v>
      </c>
      <c r="CK93" s="848">
        <v>0</v>
      </c>
      <c r="CL93" s="848">
        <v>0</v>
      </c>
      <c r="CM93" s="848">
        <v>0</v>
      </c>
      <c r="CN93" s="848">
        <v>0</v>
      </c>
      <c r="CO93" s="848">
        <v>0</v>
      </c>
      <c r="CP93" s="848">
        <v>0</v>
      </c>
      <c r="CQ93" s="848">
        <v>0</v>
      </c>
      <c r="CR93" s="848">
        <v>0</v>
      </c>
      <c r="CS93" s="848">
        <v>0</v>
      </c>
      <c r="CT93" s="848">
        <v>0</v>
      </c>
      <c r="CU93" s="848">
        <v>0</v>
      </c>
      <c r="CV93" s="848">
        <v>0</v>
      </c>
      <c r="CW93" s="848">
        <v>0</v>
      </c>
      <c r="CX93" s="848">
        <v>0</v>
      </c>
      <c r="CY93" s="848">
        <v>0</v>
      </c>
      <c r="CZ93" s="848">
        <v>0</v>
      </c>
      <c r="DA93" s="848">
        <v>0</v>
      </c>
      <c r="DB93" s="848">
        <v>0</v>
      </c>
      <c r="DC93" s="848">
        <v>0</v>
      </c>
      <c r="DD93" s="848">
        <v>0</v>
      </c>
      <c r="DE93" s="848">
        <v>0</v>
      </c>
      <c r="DF93" s="848">
        <v>0</v>
      </c>
      <c r="DG93" s="848">
        <v>0</v>
      </c>
      <c r="DH93" s="848">
        <v>0</v>
      </c>
      <c r="DI93" s="848">
        <v>0</v>
      </c>
      <c r="DJ93" s="848">
        <v>0</v>
      </c>
      <c r="DK93" s="848">
        <v>0</v>
      </c>
      <c r="DL93" s="848">
        <v>0</v>
      </c>
      <c r="DM93" s="848">
        <v>0</v>
      </c>
      <c r="DN93" s="848">
        <v>0</v>
      </c>
      <c r="DO93" s="848">
        <v>0</v>
      </c>
      <c r="DP93" s="848">
        <v>0</v>
      </c>
      <c r="DQ93" s="848">
        <v>0</v>
      </c>
      <c r="DR93" s="848">
        <v>0</v>
      </c>
      <c r="DS93" s="848">
        <v>0</v>
      </c>
      <c r="DT93" s="848">
        <v>0</v>
      </c>
      <c r="DU93" s="848">
        <v>0</v>
      </c>
      <c r="DV93" s="848">
        <v>0</v>
      </c>
      <c r="DW93" s="848">
        <v>0</v>
      </c>
      <c r="DX93" s="848">
        <v>0</v>
      </c>
      <c r="DY93" s="848">
        <v>0</v>
      </c>
      <c r="DZ93" s="848">
        <v>0</v>
      </c>
      <c r="EA93" s="848">
        <v>0</v>
      </c>
      <c r="EB93" s="848">
        <v>0</v>
      </c>
      <c r="EC93" s="848">
        <v>0</v>
      </c>
      <c r="ED93" s="848">
        <v>0</v>
      </c>
      <c r="EE93" s="848">
        <v>0</v>
      </c>
      <c r="EF93" s="848">
        <v>0</v>
      </c>
      <c r="EG93" s="848">
        <v>0</v>
      </c>
      <c r="EH93" s="848">
        <v>0</v>
      </c>
      <c r="EI93" s="848">
        <v>0</v>
      </c>
      <c r="EJ93" s="848">
        <v>0</v>
      </c>
      <c r="EK93" s="848">
        <v>0</v>
      </c>
      <c r="EL93" s="848">
        <v>0</v>
      </c>
    </row>
    <row r="94" spans="2:142" ht="13.5">
      <c r="B94" s="1000"/>
      <c r="C94" s="911" t="s">
        <v>2066</v>
      </c>
      <c r="D94" s="1001"/>
      <c r="F94" s="1001"/>
      <c r="G94" s="1001"/>
      <c r="H94" s="848">
        <f t="shared" si="40"/>
        <v>0</v>
      </c>
      <c r="I94" s="833"/>
      <c r="J94" s="848">
        <f>J128</f>
        <v>0</v>
      </c>
      <c r="K94" s="848">
        <f t="shared" ref="K94:BV94" si="41">K128</f>
        <v>0</v>
      </c>
      <c r="L94" s="848">
        <f t="shared" si="41"/>
        <v>0</v>
      </c>
      <c r="M94" s="848">
        <f t="shared" si="41"/>
        <v>0</v>
      </c>
      <c r="N94" s="848">
        <f t="shared" si="41"/>
        <v>0</v>
      </c>
      <c r="O94" s="848">
        <f t="shared" si="41"/>
        <v>0</v>
      </c>
      <c r="P94" s="848">
        <f t="shared" si="41"/>
        <v>0</v>
      </c>
      <c r="Q94" s="848">
        <f t="shared" si="41"/>
        <v>0</v>
      </c>
      <c r="R94" s="848">
        <f t="shared" si="41"/>
        <v>0</v>
      </c>
      <c r="S94" s="848">
        <f t="shared" si="41"/>
        <v>0</v>
      </c>
      <c r="T94" s="848">
        <f t="shared" si="41"/>
        <v>0</v>
      </c>
      <c r="U94" s="848">
        <f t="shared" si="41"/>
        <v>0</v>
      </c>
      <c r="V94" s="848">
        <f t="shared" si="41"/>
        <v>0</v>
      </c>
      <c r="W94" s="848">
        <f t="shared" si="41"/>
        <v>0</v>
      </c>
      <c r="X94" s="848">
        <f t="shared" si="41"/>
        <v>0</v>
      </c>
      <c r="Y94" s="848">
        <f t="shared" si="41"/>
        <v>0</v>
      </c>
      <c r="Z94" s="848">
        <f t="shared" si="41"/>
        <v>0</v>
      </c>
      <c r="AA94" s="848">
        <f t="shared" si="41"/>
        <v>0</v>
      </c>
      <c r="AB94" s="848">
        <f t="shared" si="41"/>
        <v>0</v>
      </c>
      <c r="AC94" s="848">
        <f t="shared" si="41"/>
        <v>0</v>
      </c>
      <c r="AD94" s="848">
        <f t="shared" si="41"/>
        <v>0</v>
      </c>
      <c r="AE94" s="848">
        <f t="shared" si="41"/>
        <v>0</v>
      </c>
      <c r="AF94" s="848">
        <f t="shared" si="41"/>
        <v>0</v>
      </c>
      <c r="AG94" s="848">
        <f t="shared" si="41"/>
        <v>0</v>
      </c>
      <c r="AH94" s="848">
        <f t="shared" si="41"/>
        <v>0</v>
      </c>
      <c r="AI94" s="848">
        <f t="shared" si="41"/>
        <v>0</v>
      </c>
      <c r="AJ94" s="848">
        <f t="shared" si="41"/>
        <v>0</v>
      </c>
      <c r="AK94" s="848">
        <f t="shared" si="41"/>
        <v>0</v>
      </c>
      <c r="AL94" s="848">
        <f t="shared" si="41"/>
        <v>0</v>
      </c>
      <c r="AM94" s="848">
        <f t="shared" si="41"/>
        <v>0</v>
      </c>
      <c r="AN94" s="848">
        <f t="shared" si="41"/>
        <v>0</v>
      </c>
      <c r="AO94" s="848">
        <f t="shared" si="41"/>
        <v>0</v>
      </c>
      <c r="AP94" s="848">
        <f t="shared" si="41"/>
        <v>0</v>
      </c>
      <c r="AQ94" s="848">
        <f t="shared" si="41"/>
        <v>0</v>
      </c>
      <c r="AR94" s="848">
        <f t="shared" si="41"/>
        <v>0</v>
      </c>
      <c r="AS94" s="848">
        <f t="shared" si="41"/>
        <v>0</v>
      </c>
      <c r="AT94" s="848">
        <f t="shared" si="41"/>
        <v>0</v>
      </c>
      <c r="AU94" s="848">
        <f t="shared" si="41"/>
        <v>0</v>
      </c>
      <c r="AV94" s="848">
        <f t="shared" si="41"/>
        <v>0</v>
      </c>
      <c r="AW94" s="848">
        <f t="shared" si="41"/>
        <v>0</v>
      </c>
      <c r="AX94" s="848">
        <f t="shared" si="41"/>
        <v>0</v>
      </c>
      <c r="AY94" s="848">
        <f t="shared" si="41"/>
        <v>0</v>
      </c>
      <c r="AZ94" s="848">
        <f t="shared" si="41"/>
        <v>0</v>
      </c>
      <c r="BA94" s="848">
        <f t="shared" si="41"/>
        <v>0</v>
      </c>
      <c r="BB94" s="848">
        <f t="shared" si="41"/>
        <v>0</v>
      </c>
      <c r="BC94" s="848">
        <f t="shared" si="41"/>
        <v>0</v>
      </c>
      <c r="BD94" s="848">
        <f t="shared" si="41"/>
        <v>0</v>
      </c>
      <c r="BE94" s="848">
        <f t="shared" si="41"/>
        <v>0</v>
      </c>
      <c r="BF94" s="848">
        <f t="shared" si="41"/>
        <v>0</v>
      </c>
      <c r="BG94" s="848">
        <f t="shared" si="41"/>
        <v>0</v>
      </c>
      <c r="BH94" s="848">
        <f t="shared" si="41"/>
        <v>0</v>
      </c>
      <c r="BI94" s="848">
        <f t="shared" si="41"/>
        <v>0</v>
      </c>
      <c r="BJ94" s="848">
        <f t="shared" si="41"/>
        <v>0</v>
      </c>
      <c r="BK94" s="848">
        <f t="shared" si="41"/>
        <v>0</v>
      </c>
      <c r="BL94" s="848">
        <f t="shared" si="41"/>
        <v>0</v>
      </c>
      <c r="BM94" s="848">
        <f t="shared" si="41"/>
        <v>0</v>
      </c>
      <c r="BN94" s="848">
        <f t="shared" si="41"/>
        <v>0</v>
      </c>
      <c r="BO94" s="848">
        <f t="shared" si="41"/>
        <v>0</v>
      </c>
      <c r="BP94" s="848">
        <f t="shared" si="41"/>
        <v>0</v>
      </c>
      <c r="BQ94" s="848">
        <f t="shared" si="41"/>
        <v>0</v>
      </c>
      <c r="BR94" s="848">
        <f t="shared" si="41"/>
        <v>0</v>
      </c>
      <c r="BS94" s="848">
        <f t="shared" si="41"/>
        <v>0</v>
      </c>
      <c r="BT94" s="848">
        <f t="shared" si="41"/>
        <v>0</v>
      </c>
      <c r="BU94" s="848">
        <f t="shared" si="41"/>
        <v>0</v>
      </c>
      <c r="BV94" s="848">
        <f t="shared" si="41"/>
        <v>0</v>
      </c>
      <c r="BW94" s="848">
        <f t="shared" ref="BW94:EH94" si="42">BW128</f>
        <v>0</v>
      </c>
      <c r="BX94" s="848">
        <f t="shared" si="42"/>
        <v>0</v>
      </c>
      <c r="BY94" s="848">
        <f t="shared" si="42"/>
        <v>0</v>
      </c>
      <c r="BZ94" s="848">
        <f t="shared" si="42"/>
        <v>0</v>
      </c>
      <c r="CA94" s="848">
        <f t="shared" si="42"/>
        <v>0</v>
      </c>
      <c r="CB94" s="848">
        <f t="shared" si="42"/>
        <v>0</v>
      </c>
      <c r="CC94" s="848">
        <f t="shared" si="42"/>
        <v>0</v>
      </c>
      <c r="CD94" s="848">
        <f t="shared" si="42"/>
        <v>0</v>
      </c>
      <c r="CE94" s="848">
        <f t="shared" si="42"/>
        <v>0</v>
      </c>
      <c r="CF94" s="848">
        <f t="shared" si="42"/>
        <v>0</v>
      </c>
      <c r="CG94" s="848">
        <f t="shared" si="42"/>
        <v>0</v>
      </c>
      <c r="CH94" s="848">
        <f t="shared" si="42"/>
        <v>0</v>
      </c>
      <c r="CI94" s="848">
        <f t="shared" si="42"/>
        <v>0</v>
      </c>
      <c r="CJ94" s="848">
        <f t="shared" si="42"/>
        <v>0</v>
      </c>
      <c r="CK94" s="848">
        <f t="shared" si="42"/>
        <v>0</v>
      </c>
      <c r="CL94" s="848">
        <f t="shared" si="42"/>
        <v>0</v>
      </c>
      <c r="CM94" s="848">
        <f t="shared" si="42"/>
        <v>0</v>
      </c>
      <c r="CN94" s="848">
        <f t="shared" si="42"/>
        <v>0</v>
      </c>
      <c r="CO94" s="848">
        <f t="shared" si="42"/>
        <v>0</v>
      </c>
      <c r="CP94" s="848">
        <f t="shared" si="42"/>
        <v>0</v>
      </c>
      <c r="CQ94" s="848">
        <f t="shared" si="42"/>
        <v>0</v>
      </c>
      <c r="CR94" s="848">
        <f t="shared" si="42"/>
        <v>0</v>
      </c>
      <c r="CS94" s="848">
        <f t="shared" si="42"/>
        <v>0</v>
      </c>
      <c r="CT94" s="848">
        <f t="shared" si="42"/>
        <v>0</v>
      </c>
      <c r="CU94" s="848">
        <f t="shared" si="42"/>
        <v>0</v>
      </c>
      <c r="CV94" s="848">
        <f t="shared" si="42"/>
        <v>0</v>
      </c>
      <c r="CW94" s="848">
        <f t="shared" si="42"/>
        <v>0</v>
      </c>
      <c r="CX94" s="848">
        <f t="shared" si="42"/>
        <v>0</v>
      </c>
      <c r="CY94" s="848">
        <f t="shared" si="42"/>
        <v>0</v>
      </c>
      <c r="CZ94" s="848">
        <f t="shared" si="42"/>
        <v>0</v>
      </c>
      <c r="DA94" s="848">
        <f t="shared" si="42"/>
        <v>0</v>
      </c>
      <c r="DB94" s="848">
        <f t="shared" si="42"/>
        <v>0</v>
      </c>
      <c r="DC94" s="848">
        <f t="shared" si="42"/>
        <v>0</v>
      </c>
      <c r="DD94" s="848">
        <f t="shared" si="42"/>
        <v>0</v>
      </c>
      <c r="DE94" s="848">
        <f t="shared" si="42"/>
        <v>0</v>
      </c>
      <c r="DF94" s="848">
        <f t="shared" si="42"/>
        <v>0</v>
      </c>
      <c r="DG94" s="848">
        <f t="shared" si="42"/>
        <v>0</v>
      </c>
      <c r="DH94" s="848">
        <f t="shared" si="42"/>
        <v>0</v>
      </c>
      <c r="DI94" s="848">
        <f t="shared" si="42"/>
        <v>0</v>
      </c>
      <c r="DJ94" s="848">
        <f t="shared" si="42"/>
        <v>0</v>
      </c>
      <c r="DK94" s="848">
        <f t="shared" si="42"/>
        <v>0</v>
      </c>
      <c r="DL94" s="848">
        <f t="shared" si="42"/>
        <v>0</v>
      </c>
      <c r="DM94" s="848">
        <f t="shared" si="42"/>
        <v>0</v>
      </c>
      <c r="DN94" s="848">
        <f t="shared" si="42"/>
        <v>0</v>
      </c>
      <c r="DO94" s="848">
        <f t="shared" si="42"/>
        <v>0</v>
      </c>
      <c r="DP94" s="848">
        <f t="shared" si="42"/>
        <v>0</v>
      </c>
      <c r="DQ94" s="848">
        <f t="shared" si="42"/>
        <v>0</v>
      </c>
      <c r="DR94" s="848">
        <f t="shared" si="42"/>
        <v>0</v>
      </c>
      <c r="DS94" s="848">
        <f t="shared" si="42"/>
        <v>0</v>
      </c>
      <c r="DT94" s="848">
        <f t="shared" si="42"/>
        <v>0</v>
      </c>
      <c r="DU94" s="848">
        <f t="shared" si="42"/>
        <v>0</v>
      </c>
      <c r="DV94" s="848">
        <f t="shared" si="42"/>
        <v>0</v>
      </c>
      <c r="DW94" s="848">
        <f t="shared" si="42"/>
        <v>0</v>
      </c>
      <c r="DX94" s="848">
        <f t="shared" si="42"/>
        <v>0</v>
      </c>
      <c r="DY94" s="848">
        <f t="shared" si="42"/>
        <v>0</v>
      </c>
      <c r="DZ94" s="848">
        <f t="shared" si="42"/>
        <v>0</v>
      </c>
      <c r="EA94" s="848">
        <f t="shared" si="42"/>
        <v>0</v>
      </c>
      <c r="EB94" s="848">
        <f t="shared" si="42"/>
        <v>0</v>
      </c>
      <c r="EC94" s="848">
        <f t="shared" si="42"/>
        <v>0</v>
      </c>
      <c r="ED94" s="848">
        <f t="shared" si="42"/>
        <v>0</v>
      </c>
      <c r="EE94" s="848">
        <f t="shared" si="42"/>
        <v>0</v>
      </c>
      <c r="EF94" s="848">
        <f t="shared" si="42"/>
        <v>0</v>
      </c>
      <c r="EG94" s="848">
        <f t="shared" si="42"/>
        <v>0</v>
      </c>
      <c r="EH94" s="848">
        <f t="shared" si="42"/>
        <v>0</v>
      </c>
      <c r="EI94" s="848">
        <f t="shared" ref="EI94:EL94" si="43">EI128</f>
        <v>0</v>
      </c>
      <c r="EJ94" s="848">
        <f t="shared" si="43"/>
        <v>0</v>
      </c>
      <c r="EK94" s="848">
        <f t="shared" si="43"/>
        <v>0</v>
      </c>
      <c r="EL94" s="848">
        <f t="shared" si="43"/>
        <v>0</v>
      </c>
    </row>
    <row r="95" spans="2:142" ht="13.5">
      <c r="B95" s="1000"/>
      <c r="C95" s="911" t="s">
        <v>950</v>
      </c>
      <c r="D95" s="1001"/>
      <c r="F95" s="1001"/>
      <c r="G95" s="1001"/>
      <c r="H95" s="848">
        <f>SUM(J95:EL95)</f>
        <v>558608.53422372055</v>
      </c>
      <c r="I95" s="833"/>
      <c r="J95" s="901">
        <v>0</v>
      </c>
      <c r="K95" s="901">
        <v>0</v>
      </c>
      <c r="L95" s="901">
        <v>0</v>
      </c>
      <c r="M95" s="901">
        <v>0</v>
      </c>
      <c r="N95" s="901">
        <v>0</v>
      </c>
      <c r="O95" s="901">
        <v>0</v>
      </c>
      <c r="P95" s="901">
        <v>0</v>
      </c>
      <c r="Q95" s="901">
        <v>0</v>
      </c>
      <c r="R95" s="901">
        <v>0</v>
      </c>
      <c r="S95" s="901">
        <v>0</v>
      </c>
      <c r="T95" s="901">
        <v>0</v>
      </c>
      <c r="U95" s="901">
        <v>0</v>
      </c>
      <c r="V95" s="901">
        <v>0</v>
      </c>
      <c r="W95" s="901">
        <v>0</v>
      </c>
      <c r="X95" s="901">
        <v>0</v>
      </c>
      <c r="Y95" s="901">
        <v>0</v>
      </c>
      <c r="Z95" s="901">
        <v>0</v>
      </c>
      <c r="AA95" s="901">
        <v>0</v>
      </c>
      <c r="AB95" s="901">
        <v>0</v>
      </c>
      <c r="AC95" s="901">
        <v>0</v>
      </c>
      <c r="AD95" s="901">
        <v>0</v>
      </c>
      <c r="AE95" s="901">
        <v>0</v>
      </c>
      <c r="AF95" s="901">
        <v>0</v>
      </c>
      <c r="AG95" s="901">
        <v>0</v>
      </c>
      <c r="AH95" s="901">
        <v>0</v>
      </c>
      <c r="AI95" s="901">
        <v>0</v>
      </c>
      <c r="AJ95" s="901">
        <v>0</v>
      </c>
      <c r="AK95" s="901">
        <v>0</v>
      </c>
      <c r="AL95" s="901">
        <v>0</v>
      </c>
      <c r="AM95" s="901">
        <v>0</v>
      </c>
      <c r="AN95" s="901">
        <v>0</v>
      </c>
      <c r="AO95" s="901">
        <v>0</v>
      </c>
      <c r="AP95" s="901">
        <v>0</v>
      </c>
      <c r="AQ95" s="901">
        <v>0</v>
      </c>
      <c r="AR95" s="901">
        <v>0</v>
      </c>
      <c r="AS95" s="901">
        <v>0</v>
      </c>
      <c r="AT95" s="901">
        <v>0</v>
      </c>
      <c r="AU95" s="901">
        <v>4860</v>
      </c>
      <c r="AV95" s="901">
        <v>0</v>
      </c>
      <c r="AW95" s="901">
        <v>0</v>
      </c>
      <c r="AX95" s="901">
        <v>0</v>
      </c>
      <c r="AY95" s="901">
        <v>0</v>
      </c>
      <c r="AZ95" s="901">
        <v>0</v>
      </c>
      <c r="BA95" s="901">
        <v>4860.0000000000018</v>
      </c>
      <c r="BB95" s="901">
        <v>0</v>
      </c>
      <c r="BC95" s="901">
        <v>0</v>
      </c>
      <c r="BD95" s="901">
        <v>0</v>
      </c>
      <c r="BE95" s="901">
        <v>0</v>
      </c>
      <c r="BF95" s="901">
        <v>0</v>
      </c>
      <c r="BG95" s="901">
        <v>4860.0000000000018</v>
      </c>
      <c r="BH95" s="901">
        <v>0</v>
      </c>
      <c r="BI95" s="901">
        <v>0</v>
      </c>
      <c r="BJ95" s="901">
        <v>0</v>
      </c>
      <c r="BK95" s="901">
        <v>0</v>
      </c>
      <c r="BL95" s="901">
        <v>0</v>
      </c>
      <c r="BM95" s="901">
        <v>4860.0000000000009</v>
      </c>
      <c r="BN95" s="901">
        <v>0</v>
      </c>
      <c r="BO95" s="901">
        <v>0</v>
      </c>
      <c r="BP95" s="901">
        <v>0</v>
      </c>
      <c r="BQ95" s="901">
        <v>0</v>
      </c>
      <c r="BR95" s="901">
        <v>0</v>
      </c>
      <c r="BS95" s="901">
        <v>4860.0000000000009</v>
      </c>
      <c r="BT95" s="901">
        <v>0</v>
      </c>
      <c r="BU95" s="901">
        <v>0</v>
      </c>
      <c r="BV95" s="901">
        <v>0</v>
      </c>
      <c r="BW95" s="901">
        <v>0</v>
      </c>
      <c r="BX95" s="901">
        <v>0</v>
      </c>
      <c r="BY95" s="901">
        <v>5943</v>
      </c>
      <c r="BZ95" s="901">
        <v>0</v>
      </c>
      <c r="CA95" s="901">
        <v>0</v>
      </c>
      <c r="CB95" s="901">
        <v>0</v>
      </c>
      <c r="CC95" s="901">
        <v>0</v>
      </c>
      <c r="CD95" s="901">
        <v>0</v>
      </c>
      <c r="CE95" s="901">
        <v>5942.9999999999973</v>
      </c>
      <c r="CF95" s="901">
        <v>0</v>
      </c>
      <c r="CG95" s="901">
        <v>0</v>
      </c>
      <c r="CH95" s="901">
        <v>0</v>
      </c>
      <c r="CI95" s="901">
        <v>0</v>
      </c>
      <c r="CJ95" s="901">
        <v>0</v>
      </c>
      <c r="CK95" s="901">
        <v>6100.8872171842295</v>
      </c>
      <c r="CL95" s="901">
        <v>0</v>
      </c>
      <c r="CM95" s="901">
        <v>0</v>
      </c>
      <c r="CN95" s="901">
        <v>0</v>
      </c>
      <c r="CO95" s="901">
        <v>0</v>
      </c>
      <c r="CP95" s="901">
        <v>0</v>
      </c>
      <c r="CQ95" s="901">
        <v>5942.9999999999991</v>
      </c>
      <c r="CR95" s="901">
        <v>0</v>
      </c>
      <c r="CS95" s="901">
        <v>0</v>
      </c>
      <c r="CT95" s="901">
        <v>0</v>
      </c>
      <c r="CU95" s="901">
        <v>0</v>
      </c>
      <c r="CV95" s="901">
        <v>0</v>
      </c>
      <c r="CW95" s="901">
        <v>5943.0000000000018</v>
      </c>
      <c r="CX95" s="901">
        <v>0</v>
      </c>
      <c r="CY95" s="901">
        <v>0</v>
      </c>
      <c r="CZ95" s="901">
        <v>0</v>
      </c>
      <c r="DA95" s="901">
        <v>0</v>
      </c>
      <c r="DB95" s="901">
        <v>0</v>
      </c>
      <c r="DC95" s="901">
        <v>8059.4802109788398</v>
      </c>
      <c r="DD95" s="901">
        <v>0</v>
      </c>
      <c r="DE95" s="901">
        <v>0</v>
      </c>
      <c r="DF95" s="901">
        <v>0</v>
      </c>
      <c r="DG95" s="901">
        <v>0</v>
      </c>
      <c r="DH95" s="901">
        <v>0</v>
      </c>
      <c r="DI95" s="901">
        <v>9744.8104223767514</v>
      </c>
      <c r="DJ95" s="901">
        <v>0</v>
      </c>
      <c r="DK95" s="901">
        <v>0</v>
      </c>
      <c r="DL95" s="901">
        <v>0</v>
      </c>
      <c r="DM95" s="901">
        <v>0</v>
      </c>
      <c r="DN95" s="901">
        <v>0</v>
      </c>
      <c r="DO95" s="901">
        <v>8546.9776538911428</v>
      </c>
      <c r="DP95" s="901">
        <v>0</v>
      </c>
      <c r="DQ95" s="901">
        <v>0</v>
      </c>
      <c r="DR95" s="901">
        <v>0</v>
      </c>
      <c r="DS95" s="901">
        <v>0</v>
      </c>
      <c r="DT95" s="901">
        <v>0</v>
      </c>
      <c r="DU95" s="901">
        <v>10258.353380260731</v>
      </c>
      <c r="DV95" s="901">
        <v>0</v>
      </c>
      <c r="DW95" s="901">
        <v>0</v>
      </c>
      <c r="DX95" s="901">
        <v>0</v>
      </c>
      <c r="DY95" s="901">
        <v>0</v>
      </c>
      <c r="DZ95" s="901">
        <v>467826.02533902886</v>
      </c>
      <c r="EA95" s="901">
        <v>0</v>
      </c>
      <c r="EB95" s="901">
        <v>0</v>
      </c>
      <c r="EC95" s="901">
        <v>0</v>
      </c>
      <c r="ED95" s="901">
        <v>0</v>
      </c>
      <c r="EE95" s="901">
        <v>0</v>
      </c>
      <c r="EF95" s="901">
        <v>0</v>
      </c>
      <c r="EG95" s="901">
        <v>0</v>
      </c>
      <c r="EH95" s="901">
        <v>0</v>
      </c>
      <c r="EI95" s="901">
        <v>0</v>
      </c>
      <c r="EJ95" s="901">
        <v>0</v>
      </c>
      <c r="EK95" s="901">
        <v>0</v>
      </c>
      <c r="EL95" s="901">
        <v>0</v>
      </c>
    </row>
    <row r="96" spans="2:142" ht="13.5">
      <c r="B96" s="1000"/>
      <c r="C96" s="911" t="s">
        <v>2186</v>
      </c>
      <c r="D96" s="1001"/>
      <c r="F96" s="1001"/>
      <c r="G96" s="1001"/>
      <c r="H96" s="848">
        <f>SUM(J96:EL96)</f>
        <v>0</v>
      </c>
      <c r="I96" s="833"/>
      <c r="J96" s="848">
        <v>0</v>
      </c>
      <c r="K96" s="848">
        <v>0</v>
      </c>
      <c r="L96" s="848">
        <v>0</v>
      </c>
      <c r="M96" s="848">
        <v>0</v>
      </c>
      <c r="N96" s="848">
        <v>0</v>
      </c>
      <c r="O96" s="848">
        <v>0</v>
      </c>
      <c r="P96" s="848">
        <v>0</v>
      </c>
      <c r="Q96" s="848">
        <v>0</v>
      </c>
      <c r="R96" s="848">
        <v>0</v>
      </c>
      <c r="S96" s="848">
        <v>0</v>
      </c>
      <c r="T96" s="848">
        <v>0</v>
      </c>
      <c r="U96" s="848">
        <v>0</v>
      </c>
      <c r="V96" s="848">
        <v>0</v>
      </c>
      <c r="W96" s="848">
        <v>0</v>
      </c>
      <c r="X96" s="848">
        <v>0</v>
      </c>
      <c r="Y96" s="848">
        <v>0</v>
      </c>
      <c r="Z96" s="848">
        <v>0</v>
      </c>
      <c r="AA96" s="848">
        <v>0</v>
      </c>
      <c r="AB96" s="848">
        <v>0</v>
      </c>
      <c r="AC96" s="848">
        <v>0</v>
      </c>
      <c r="AD96" s="848">
        <v>0</v>
      </c>
      <c r="AE96" s="848">
        <v>0</v>
      </c>
      <c r="AF96" s="848">
        <v>0</v>
      </c>
      <c r="AG96" s="848">
        <v>0</v>
      </c>
      <c r="AH96" s="848">
        <v>0</v>
      </c>
      <c r="AI96" s="848">
        <v>0</v>
      </c>
      <c r="AJ96" s="848">
        <v>0</v>
      </c>
      <c r="AK96" s="848">
        <v>0</v>
      </c>
      <c r="AL96" s="848">
        <v>0</v>
      </c>
      <c r="AM96" s="848">
        <v>0</v>
      </c>
      <c r="AN96" s="848">
        <v>0</v>
      </c>
      <c r="AO96" s="848">
        <v>0</v>
      </c>
      <c r="AP96" s="848">
        <v>0</v>
      </c>
      <c r="AQ96" s="848">
        <v>0</v>
      </c>
      <c r="AR96" s="848">
        <v>0</v>
      </c>
      <c r="AS96" s="848">
        <v>0</v>
      </c>
      <c r="AT96" s="848">
        <v>0</v>
      </c>
      <c r="AU96" s="848">
        <v>0</v>
      </c>
      <c r="AV96" s="848">
        <v>0</v>
      </c>
      <c r="AW96" s="848">
        <v>0</v>
      </c>
      <c r="AX96" s="848">
        <v>0</v>
      </c>
      <c r="AY96" s="848">
        <v>0</v>
      </c>
      <c r="AZ96" s="848">
        <v>0</v>
      </c>
      <c r="BA96" s="848">
        <v>0</v>
      </c>
      <c r="BB96" s="848">
        <v>0</v>
      </c>
      <c r="BC96" s="848">
        <v>0</v>
      </c>
      <c r="BD96" s="848">
        <v>0</v>
      </c>
      <c r="BE96" s="848">
        <v>0</v>
      </c>
      <c r="BF96" s="848">
        <v>0</v>
      </c>
      <c r="BG96" s="848">
        <v>0</v>
      </c>
      <c r="BH96" s="848">
        <v>0</v>
      </c>
      <c r="BI96" s="848">
        <v>0</v>
      </c>
      <c r="BJ96" s="848">
        <v>0</v>
      </c>
      <c r="BK96" s="848">
        <v>0</v>
      </c>
      <c r="BL96" s="848">
        <v>0</v>
      </c>
      <c r="BM96" s="848">
        <v>0</v>
      </c>
      <c r="BN96" s="848">
        <v>0</v>
      </c>
      <c r="BO96" s="848">
        <v>0</v>
      </c>
      <c r="BP96" s="848">
        <v>0</v>
      </c>
      <c r="BQ96" s="848">
        <v>0</v>
      </c>
      <c r="BR96" s="848">
        <v>0</v>
      </c>
      <c r="BS96" s="848">
        <v>0</v>
      </c>
      <c r="BT96" s="848">
        <v>0</v>
      </c>
      <c r="BU96" s="848">
        <v>0</v>
      </c>
      <c r="BV96" s="848">
        <v>0</v>
      </c>
      <c r="BW96" s="848">
        <v>0</v>
      </c>
      <c r="BX96" s="848">
        <v>0</v>
      </c>
      <c r="BY96" s="848">
        <v>0</v>
      </c>
      <c r="BZ96" s="848">
        <v>0</v>
      </c>
      <c r="CA96" s="848">
        <v>0</v>
      </c>
      <c r="CB96" s="848">
        <v>0</v>
      </c>
      <c r="CC96" s="848">
        <v>0</v>
      </c>
      <c r="CD96" s="848">
        <v>0</v>
      </c>
      <c r="CE96" s="848">
        <v>0</v>
      </c>
      <c r="CF96" s="848">
        <v>0</v>
      </c>
      <c r="CG96" s="848">
        <v>0</v>
      </c>
      <c r="CH96" s="848">
        <v>0</v>
      </c>
      <c r="CI96" s="848">
        <v>0</v>
      </c>
      <c r="CJ96" s="848">
        <v>0</v>
      </c>
      <c r="CK96" s="848">
        <v>0</v>
      </c>
      <c r="CL96" s="848">
        <v>0</v>
      </c>
      <c r="CM96" s="848">
        <v>0</v>
      </c>
      <c r="CN96" s="848">
        <v>0</v>
      </c>
      <c r="CO96" s="848">
        <v>0</v>
      </c>
      <c r="CP96" s="848">
        <v>0</v>
      </c>
      <c r="CQ96" s="848">
        <v>0</v>
      </c>
      <c r="CR96" s="848">
        <v>0</v>
      </c>
      <c r="CS96" s="848">
        <v>0</v>
      </c>
      <c r="CT96" s="848">
        <v>0</v>
      </c>
      <c r="CU96" s="848">
        <v>0</v>
      </c>
      <c r="CV96" s="848">
        <v>0</v>
      </c>
      <c r="CW96" s="848">
        <v>0</v>
      </c>
      <c r="CX96" s="848">
        <v>0</v>
      </c>
      <c r="CY96" s="848">
        <v>0</v>
      </c>
      <c r="CZ96" s="848">
        <v>0</v>
      </c>
      <c r="DA96" s="848">
        <v>0</v>
      </c>
      <c r="DB96" s="848">
        <v>0</v>
      </c>
      <c r="DC96" s="848">
        <v>0</v>
      </c>
      <c r="DD96" s="848">
        <v>0</v>
      </c>
      <c r="DE96" s="848">
        <v>0</v>
      </c>
      <c r="DF96" s="848">
        <v>0</v>
      </c>
      <c r="DG96" s="848">
        <v>0</v>
      </c>
      <c r="DH96" s="848">
        <v>0</v>
      </c>
      <c r="DI96" s="848">
        <v>0</v>
      </c>
      <c r="DJ96" s="848">
        <v>0</v>
      </c>
      <c r="DK96" s="848">
        <v>0</v>
      </c>
      <c r="DL96" s="848">
        <v>0</v>
      </c>
      <c r="DM96" s="848">
        <v>0</v>
      </c>
      <c r="DN96" s="848">
        <v>0</v>
      </c>
      <c r="DO96" s="848">
        <v>0</v>
      </c>
      <c r="DP96" s="848">
        <v>0</v>
      </c>
      <c r="DQ96" s="848">
        <v>0</v>
      </c>
      <c r="DR96" s="848">
        <v>0</v>
      </c>
      <c r="DS96" s="848">
        <v>0</v>
      </c>
      <c r="DT96" s="848">
        <v>0</v>
      </c>
      <c r="DU96" s="848">
        <v>0</v>
      </c>
      <c r="DV96" s="848">
        <v>0</v>
      </c>
      <c r="DW96" s="848">
        <v>0</v>
      </c>
      <c r="DX96" s="848">
        <v>0</v>
      </c>
      <c r="DY96" s="848">
        <v>0</v>
      </c>
      <c r="DZ96" s="848">
        <v>0</v>
      </c>
      <c r="EA96" s="848">
        <v>0</v>
      </c>
      <c r="EB96" s="848">
        <v>0</v>
      </c>
      <c r="EC96" s="848">
        <v>0</v>
      </c>
      <c r="ED96" s="848">
        <v>0</v>
      </c>
      <c r="EE96" s="848">
        <v>0</v>
      </c>
      <c r="EF96" s="848">
        <v>0</v>
      </c>
      <c r="EG96" s="848">
        <v>0</v>
      </c>
      <c r="EH96" s="848">
        <v>0</v>
      </c>
      <c r="EI96" s="848">
        <v>0</v>
      </c>
      <c r="EJ96" s="848">
        <v>0</v>
      </c>
      <c r="EK96" s="848">
        <v>0</v>
      </c>
      <c r="EL96" s="848">
        <v>0</v>
      </c>
    </row>
    <row r="97" spans="2:143" ht="13.5">
      <c r="B97" s="1000"/>
      <c r="C97" s="911" t="s">
        <v>951</v>
      </c>
      <c r="D97" s="1001"/>
      <c r="F97" s="1001"/>
      <c r="G97" s="1001"/>
      <c r="H97" s="848">
        <f>SUM(J97:EL97)</f>
        <v>0</v>
      </c>
      <c r="I97" s="833"/>
      <c r="J97" s="848">
        <v>0</v>
      </c>
      <c r="K97" s="848">
        <v>0</v>
      </c>
      <c r="L97" s="848">
        <v>0</v>
      </c>
      <c r="M97" s="848">
        <v>0</v>
      </c>
      <c r="N97" s="848">
        <v>0</v>
      </c>
      <c r="O97" s="848">
        <v>0</v>
      </c>
      <c r="P97" s="848">
        <v>0</v>
      </c>
      <c r="Q97" s="848">
        <v>0</v>
      </c>
      <c r="R97" s="848">
        <v>0</v>
      </c>
      <c r="S97" s="848">
        <v>0</v>
      </c>
      <c r="T97" s="848">
        <v>0</v>
      </c>
      <c r="U97" s="848">
        <v>0</v>
      </c>
      <c r="V97" s="848">
        <v>0</v>
      </c>
      <c r="W97" s="848">
        <v>0</v>
      </c>
      <c r="X97" s="848">
        <v>0</v>
      </c>
      <c r="Y97" s="848">
        <v>0</v>
      </c>
      <c r="Z97" s="848">
        <v>0</v>
      </c>
      <c r="AA97" s="848">
        <v>0</v>
      </c>
      <c r="AB97" s="848">
        <v>0</v>
      </c>
      <c r="AC97" s="848">
        <v>0</v>
      </c>
      <c r="AD97" s="848">
        <v>0</v>
      </c>
      <c r="AE97" s="848">
        <v>0</v>
      </c>
      <c r="AF97" s="848">
        <v>0</v>
      </c>
      <c r="AG97" s="848">
        <v>0</v>
      </c>
      <c r="AH97" s="848">
        <v>0</v>
      </c>
      <c r="AI97" s="848">
        <v>0</v>
      </c>
      <c r="AJ97" s="848">
        <v>0</v>
      </c>
      <c r="AK97" s="848">
        <v>0</v>
      </c>
      <c r="AL97" s="848">
        <v>0</v>
      </c>
      <c r="AM97" s="848">
        <v>0</v>
      </c>
      <c r="AN97" s="848">
        <v>0</v>
      </c>
      <c r="AO97" s="848">
        <v>0</v>
      </c>
      <c r="AP97" s="848">
        <v>0</v>
      </c>
      <c r="AQ97" s="848">
        <v>0</v>
      </c>
      <c r="AR97" s="848">
        <v>0</v>
      </c>
      <c r="AS97" s="848">
        <v>0</v>
      </c>
      <c r="AT97" s="848">
        <v>0</v>
      </c>
      <c r="AU97" s="848">
        <v>0</v>
      </c>
      <c r="AV97" s="848">
        <v>0</v>
      </c>
      <c r="AW97" s="848">
        <v>0</v>
      </c>
      <c r="AX97" s="848">
        <v>0</v>
      </c>
      <c r="AY97" s="848">
        <v>0</v>
      </c>
      <c r="AZ97" s="848">
        <v>0</v>
      </c>
      <c r="BA97" s="848">
        <v>0</v>
      </c>
      <c r="BB97" s="848">
        <v>0</v>
      </c>
      <c r="BC97" s="848">
        <v>0</v>
      </c>
      <c r="BD97" s="848">
        <v>0</v>
      </c>
      <c r="BE97" s="848">
        <v>0</v>
      </c>
      <c r="BF97" s="848">
        <v>0</v>
      </c>
      <c r="BG97" s="848">
        <v>0</v>
      </c>
      <c r="BH97" s="848">
        <v>0</v>
      </c>
      <c r="BI97" s="848">
        <v>0</v>
      </c>
      <c r="BJ97" s="848">
        <v>0</v>
      </c>
      <c r="BK97" s="848">
        <v>0</v>
      </c>
      <c r="BL97" s="848">
        <v>0</v>
      </c>
      <c r="BM97" s="848">
        <v>0</v>
      </c>
      <c r="BN97" s="848">
        <v>0</v>
      </c>
      <c r="BO97" s="848">
        <v>0</v>
      </c>
      <c r="BP97" s="848">
        <v>0</v>
      </c>
      <c r="BQ97" s="848">
        <v>0</v>
      </c>
      <c r="BR97" s="848">
        <v>0</v>
      </c>
      <c r="BS97" s="848">
        <v>0</v>
      </c>
      <c r="BT97" s="848">
        <v>0</v>
      </c>
      <c r="BU97" s="848">
        <v>0</v>
      </c>
      <c r="BV97" s="848">
        <v>0</v>
      </c>
      <c r="BW97" s="848">
        <v>0</v>
      </c>
      <c r="BX97" s="848">
        <v>0</v>
      </c>
      <c r="BY97" s="848">
        <v>0</v>
      </c>
      <c r="BZ97" s="848">
        <v>0</v>
      </c>
      <c r="CA97" s="848">
        <v>0</v>
      </c>
      <c r="CB97" s="848">
        <v>0</v>
      </c>
      <c r="CC97" s="848">
        <v>0</v>
      </c>
      <c r="CD97" s="848">
        <v>0</v>
      </c>
      <c r="CE97" s="848">
        <v>0</v>
      </c>
      <c r="CF97" s="848">
        <v>0</v>
      </c>
      <c r="CG97" s="848">
        <v>0</v>
      </c>
      <c r="CH97" s="848">
        <v>0</v>
      </c>
      <c r="CI97" s="848">
        <v>0</v>
      </c>
      <c r="CJ97" s="848">
        <v>0</v>
      </c>
      <c r="CK97" s="848">
        <v>0</v>
      </c>
      <c r="CL97" s="848">
        <v>0</v>
      </c>
      <c r="CM97" s="848">
        <v>0</v>
      </c>
      <c r="CN97" s="848">
        <v>0</v>
      </c>
      <c r="CO97" s="848">
        <v>0</v>
      </c>
      <c r="CP97" s="848">
        <v>0</v>
      </c>
      <c r="CQ97" s="848">
        <v>0</v>
      </c>
      <c r="CR97" s="848">
        <v>0</v>
      </c>
      <c r="CS97" s="848">
        <v>0</v>
      </c>
      <c r="CT97" s="848">
        <v>0</v>
      </c>
      <c r="CU97" s="848">
        <v>0</v>
      </c>
      <c r="CV97" s="848">
        <v>0</v>
      </c>
      <c r="CW97" s="848">
        <v>0</v>
      </c>
      <c r="CX97" s="848">
        <v>0</v>
      </c>
      <c r="CY97" s="848">
        <v>0</v>
      </c>
      <c r="CZ97" s="848">
        <v>0</v>
      </c>
      <c r="DA97" s="848">
        <v>0</v>
      </c>
      <c r="DB97" s="848">
        <v>0</v>
      </c>
      <c r="DC97" s="848">
        <v>0</v>
      </c>
      <c r="DD97" s="848">
        <v>0</v>
      </c>
      <c r="DE97" s="848">
        <v>0</v>
      </c>
      <c r="DF97" s="848">
        <v>0</v>
      </c>
      <c r="DG97" s="848">
        <v>0</v>
      </c>
      <c r="DH97" s="848">
        <v>0</v>
      </c>
      <c r="DI97" s="848">
        <v>0</v>
      </c>
      <c r="DJ97" s="848">
        <v>0</v>
      </c>
      <c r="DK97" s="848">
        <v>0</v>
      </c>
      <c r="DL97" s="848">
        <v>0</v>
      </c>
      <c r="DM97" s="848">
        <v>0</v>
      </c>
      <c r="DN97" s="848">
        <v>0</v>
      </c>
      <c r="DO97" s="848">
        <v>0</v>
      </c>
      <c r="DP97" s="848">
        <v>0</v>
      </c>
      <c r="DQ97" s="848">
        <v>0</v>
      </c>
      <c r="DR97" s="848">
        <v>0</v>
      </c>
      <c r="DS97" s="848">
        <v>0</v>
      </c>
      <c r="DT97" s="848">
        <v>0</v>
      </c>
      <c r="DU97" s="848">
        <v>0</v>
      </c>
      <c r="DV97" s="848">
        <v>0</v>
      </c>
      <c r="DW97" s="848">
        <v>0</v>
      </c>
      <c r="DX97" s="848">
        <v>0</v>
      </c>
      <c r="DY97" s="848">
        <v>0</v>
      </c>
      <c r="DZ97" s="848">
        <v>0</v>
      </c>
      <c r="EA97" s="848">
        <v>0</v>
      </c>
      <c r="EB97" s="848">
        <v>0</v>
      </c>
      <c r="EC97" s="848">
        <v>0</v>
      </c>
      <c r="ED97" s="848">
        <v>0</v>
      </c>
      <c r="EE97" s="848">
        <v>0</v>
      </c>
      <c r="EF97" s="848">
        <v>0</v>
      </c>
      <c r="EG97" s="848">
        <v>0</v>
      </c>
      <c r="EH97" s="848">
        <v>0</v>
      </c>
      <c r="EI97" s="848">
        <v>0</v>
      </c>
      <c r="EJ97" s="848">
        <v>0</v>
      </c>
      <c r="EK97" s="848">
        <v>0</v>
      </c>
      <c r="EL97" s="848">
        <v>0</v>
      </c>
    </row>
    <row r="98" spans="2:143" ht="13.5">
      <c r="B98" s="1000"/>
      <c r="C98" s="911" t="s">
        <v>952</v>
      </c>
      <c r="D98" s="1001"/>
      <c r="F98" s="1001"/>
      <c r="G98" s="1001"/>
      <c r="H98" s="848">
        <f>SUM(J98:EL98)</f>
        <v>0</v>
      </c>
      <c r="I98" s="833"/>
      <c r="J98" s="848">
        <v>0</v>
      </c>
      <c r="K98" s="848">
        <v>0</v>
      </c>
      <c r="L98" s="848">
        <v>0</v>
      </c>
      <c r="M98" s="848">
        <v>0</v>
      </c>
      <c r="N98" s="848">
        <v>0</v>
      </c>
      <c r="O98" s="848">
        <v>0</v>
      </c>
      <c r="P98" s="848">
        <v>0</v>
      </c>
      <c r="Q98" s="848">
        <v>0</v>
      </c>
      <c r="R98" s="848">
        <v>0</v>
      </c>
      <c r="S98" s="848">
        <v>0</v>
      </c>
      <c r="T98" s="848">
        <v>0</v>
      </c>
      <c r="U98" s="848">
        <v>0</v>
      </c>
      <c r="V98" s="848">
        <v>0</v>
      </c>
      <c r="W98" s="848">
        <v>0</v>
      </c>
      <c r="X98" s="848">
        <v>0</v>
      </c>
      <c r="Y98" s="848">
        <v>0</v>
      </c>
      <c r="Z98" s="848">
        <v>0</v>
      </c>
      <c r="AA98" s="848">
        <v>0</v>
      </c>
      <c r="AB98" s="848">
        <v>0</v>
      </c>
      <c r="AC98" s="848">
        <v>0</v>
      </c>
      <c r="AD98" s="848">
        <v>0</v>
      </c>
      <c r="AE98" s="848">
        <v>0</v>
      </c>
      <c r="AF98" s="848">
        <v>0</v>
      </c>
      <c r="AG98" s="848">
        <v>0</v>
      </c>
      <c r="AH98" s="848">
        <v>0</v>
      </c>
      <c r="AI98" s="848">
        <v>0</v>
      </c>
      <c r="AJ98" s="848">
        <v>0</v>
      </c>
      <c r="AK98" s="848">
        <v>0</v>
      </c>
      <c r="AL98" s="848">
        <v>0</v>
      </c>
      <c r="AM98" s="848">
        <v>0</v>
      </c>
      <c r="AN98" s="848">
        <v>0</v>
      </c>
      <c r="AO98" s="848">
        <v>0</v>
      </c>
      <c r="AP98" s="848">
        <v>0</v>
      </c>
      <c r="AQ98" s="848">
        <v>0</v>
      </c>
      <c r="AR98" s="848">
        <v>0</v>
      </c>
      <c r="AS98" s="848">
        <v>0</v>
      </c>
      <c r="AT98" s="848">
        <v>0</v>
      </c>
      <c r="AU98" s="848">
        <v>0</v>
      </c>
      <c r="AV98" s="848">
        <v>0</v>
      </c>
      <c r="AW98" s="848">
        <v>0</v>
      </c>
      <c r="AX98" s="848">
        <v>0</v>
      </c>
      <c r="AY98" s="848">
        <v>0</v>
      </c>
      <c r="AZ98" s="848">
        <v>0</v>
      </c>
      <c r="BA98" s="848">
        <v>0</v>
      </c>
      <c r="BB98" s="848">
        <v>0</v>
      </c>
      <c r="BC98" s="848">
        <v>0</v>
      </c>
      <c r="BD98" s="848">
        <v>0</v>
      </c>
      <c r="BE98" s="848">
        <v>0</v>
      </c>
      <c r="BF98" s="848">
        <v>0</v>
      </c>
      <c r="BG98" s="848">
        <v>0</v>
      </c>
      <c r="BH98" s="848">
        <v>0</v>
      </c>
      <c r="BI98" s="848">
        <v>0</v>
      </c>
      <c r="BJ98" s="848">
        <v>0</v>
      </c>
      <c r="BK98" s="848">
        <v>0</v>
      </c>
      <c r="BL98" s="848">
        <v>0</v>
      </c>
      <c r="BM98" s="848">
        <v>0</v>
      </c>
      <c r="BN98" s="848">
        <v>0</v>
      </c>
      <c r="BO98" s="848">
        <v>0</v>
      </c>
      <c r="BP98" s="848">
        <v>0</v>
      </c>
      <c r="BQ98" s="848">
        <v>0</v>
      </c>
      <c r="BR98" s="848">
        <v>0</v>
      </c>
      <c r="BS98" s="848">
        <v>0</v>
      </c>
      <c r="BT98" s="848">
        <v>0</v>
      </c>
      <c r="BU98" s="848">
        <v>0</v>
      </c>
      <c r="BV98" s="848">
        <v>0</v>
      </c>
      <c r="BW98" s="848">
        <v>0</v>
      </c>
      <c r="BX98" s="848">
        <v>0</v>
      </c>
      <c r="BY98" s="848">
        <v>0</v>
      </c>
      <c r="BZ98" s="848">
        <v>0</v>
      </c>
      <c r="CA98" s="848">
        <v>0</v>
      </c>
      <c r="CB98" s="848">
        <v>0</v>
      </c>
      <c r="CC98" s="848">
        <v>0</v>
      </c>
      <c r="CD98" s="848">
        <v>0</v>
      </c>
      <c r="CE98" s="848">
        <v>0</v>
      </c>
      <c r="CF98" s="848">
        <v>0</v>
      </c>
      <c r="CG98" s="848">
        <v>0</v>
      </c>
      <c r="CH98" s="848">
        <v>0</v>
      </c>
      <c r="CI98" s="848">
        <v>0</v>
      </c>
      <c r="CJ98" s="848">
        <v>0</v>
      </c>
      <c r="CK98" s="848">
        <v>0</v>
      </c>
      <c r="CL98" s="848">
        <v>0</v>
      </c>
      <c r="CM98" s="848">
        <v>0</v>
      </c>
      <c r="CN98" s="848">
        <v>0</v>
      </c>
      <c r="CO98" s="848">
        <v>0</v>
      </c>
      <c r="CP98" s="848">
        <v>0</v>
      </c>
      <c r="CQ98" s="848">
        <v>0</v>
      </c>
      <c r="CR98" s="848">
        <v>0</v>
      </c>
      <c r="CS98" s="848">
        <v>0</v>
      </c>
      <c r="CT98" s="848">
        <v>0</v>
      </c>
      <c r="CU98" s="848">
        <v>0</v>
      </c>
      <c r="CV98" s="848">
        <v>0</v>
      </c>
      <c r="CW98" s="848">
        <v>0</v>
      </c>
      <c r="CX98" s="848">
        <v>0</v>
      </c>
      <c r="CY98" s="848">
        <v>0</v>
      </c>
      <c r="CZ98" s="848">
        <v>0</v>
      </c>
      <c r="DA98" s="848">
        <v>0</v>
      </c>
      <c r="DB98" s="848">
        <v>0</v>
      </c>
      <c r="DC98" s="848">
        <v>0</v>
      </c>
      <c r="DD98" s="848">
        <v>0</v>
      </c>
      <c r="DE98" s="848">
        <v>0</v>
      </c>
      <c r="DF98" s="848">
        <v>0</v>
      </c>
      <c r="DG98" s="848">
        <v>0</v>
      </c>
      <c r="DH98" s="848">
        <v>0</v>
      </c>
      <c r="DI98" s="848">
        <v>0</v>
      </c>
      <c r="DJ98" s="848">
        <v>0</v>
      </c>
      <c r="DK98" s="848">
        <v>0</v>
      </c>
      <c r="DL98" s="848">
        <v>0</v>
      </c>
      <c r="DM98" s="848">
        <v>0</v>
      </c>
      <c r="DN98" s="848">
        <v>0</v>
      </c>
      <c r="DO98" s="848">
        <v>0</v>
      </c>
      <c r="DP98" s="848">
        <v>0</v>
      </c>
      <c r="DQ98" s="848">
        <v>0</v>
      </c>
      <c r="DR98" s="848">
        <v>0</v>
      </c>
      <c r="DS98" s="848">
        <v>0</v>
      </c>
      <c r="DT98" s="848">
        <v>0</v>
      </c>
      <c r="DU98" s="848">
        <v>0</v>
      </c>
      <c r="DV98" s="848">
        <v>0</v>
      </c>
      <c r="DW98" s="848">
        <v>0</v>
      </c>
      <c r="DX98" s="848">
        <v>0</v>
      </c>
      <c r="DY98" s="848">
        <v>0</v>
      </c>
      <c r="DZ98" s="848">
        <v>0</v>
      </c>
      <c r="EA98" s="848">
        <v>0</v>
      </c>
      <c r="EB98" s="848">
        <v>0</v>
      </c>
      <c r="EC98" s="848">
        <v>0</v>
      </c>
      <c r="ED98" s="848">
        <v>0</v>
      </c>
      <c r="EE98" s="848">
        <v>0</v>
      </c>
      <c r="EF98" s="848">
        <v>0</v>
      </c>
      <c r="EG98" s="848">
        <v>0</v>
      </c>
      <c r="EH98" s="848">
        <v>0</v>
      </c>
      <c r="EI98" s="848">
        <v>0</v>
      </c>
      <c r="EJ98" s="848">
        <v>0</v>
      </c>
      <c r="EK98" s="848">
        <v>0</v>
      </c>
      <c r="EL98" s="848">
        <v>0</v>
      </c>
    </row>
    <row r="99" spans="2:143" ht="13.5">
      <c r="B99" s="1000"/>
      <c r="C99" s="911" t="s">
        <v>2067</v>
      </c>
      <c r="D99" s="1001"/>
      <c r="F99" s="1001"/>
      <c r="G99" s="1001"/>
      <c r="H99" s="848">
        <f>SUM(J99:EL99)</f>
        <v>0</v>
      </c>
      <c r="I99" s="833"/>
      <c r="J99" s="848">
        <v>0</v>
      </c>
      <c r="K99" s="848">
        <v>0</v>
      </c>
      <c r="L99" s="848">
        <v>0</v>
      </c>
      <c r="M99" s="848">
        <v>0</v>
      </c>
      <c r="N99" s="848">
        <v>0</v>
      </c>
      <c r="O99" s="848">
        <v>0</v>
      </c>
      <c r="P99" s="848">
        <v>0</v>
      </c>
      <c r="Q99" s="848">
        <v>0</v>
      </c>
      <c r="R99" s="848">
        <v>0</v>
      </c>
      <c r="S99" s="848">
        <v>0</v>
      </c>
      <c r="T99" s="848">
        <v>0</v>
      </c>
      <c r="U99" s="848">
        <v>0</v>
      </c>
      <c r="V99" s="848">
        <v>0</v>
      </c>
      <c r="W99" s="848">
        <v>0</v>
      </c>
      <c r="X99" s="848">
        <v>0</v>
      </c>
      <c r="Y99" s="848">
        <v>0</v>
      </c>
      <c r="Z99" s="848">
        <v>0</v>
      </c>
      <c r="AA99" s="848">
        <v>0</v>
      </c>
      <c r="AB99" s="848">
        <v>0</v>
      </c>
      <c r="AC99" s="848">
        <v>0</v>
      </c>
      <c r="AD99" s="848">
        <v>0</v>
      </c>
      <c r="AE99" s="848">
        <v>0</v>
      </c>
      <c r="AF99" s="848">
        <v>0</v>
      </c>
      <c r="AG99" s="848">
        <v>0</v>
      </c>
      <c r="AH99" s="848">
        <v>0</v>
      </c>
      <c r="AI99" s="848">
        <v>0</v>
      </c>
      <c r="AJ99" s="848">
        <v>0</v>
      </c>
      <c r="AK99" s="848">
        <v>0</v>
      </c>
      <c r="AL99" s="848">
        <v>0</v>
      </c>
      <c r="AM99" s="848">
        <v>0</v>
      </c>
      <c r="AN99" s="848">
        <v>0</v>
      </c>
      <c r="AO99" s="848">
        <v>0</v>
      </c>
      <c r="AP99" s="848">
        <v>0</v>
      </c>
      <c r="AQ99" s="848">
        <v>0</v>
      </c>
      <c r="AR99" s="848">
        <v>0</v>
      </c>
      <c r="AS99" s="848">
        <v>0</v>
      </c>
      <c r="AT99" s="848">
        <v>0</v>
      </c>
      <c r="AU99" s="848">
        <v>0</v>
      </c>
      <c r="AV99" s="848">
        <v>0</v>
      </c>
      <c r="AW99" s="848">
        <v>0</v>
      </c>
      <c r="AX99" s="848">
        <v>0</v>
      </c>
      <c r="AY99" s="848">
        <v>0</v>
      </c>
      <c r="AZ99" s="848">
        <v>0</v>
      </c>
      <c r="BA99" s="848">
        <v>0</v>
      </c>
      <c r="BB99" s="848">
        <v>0</v>
      </c>
      <c r="BC99" s="848">
        <v>0</v>
      </c>
      <c r="BD99" s="848">
        <v>0</v>
      </c>
      <c r="BE99" s="848">
        <v>0</v>
      </c>
      <c r="BF99" s="848">
        <v>0</v>
      </c>
      <c r="BG99" s="848">
        <v>0</v>
      </c>
      <c r="BH99" s="848">
        <v>0</v>
      </c>
      <c r="BI99" s="848">
        <v>0</v>
      </c>
      <c r="BJ99" s="848">
        <v>0</v>
      </c>
      <c r="BK99" s="848">
        <v>0</v>
      </c>
      <c r="BL99" s="848">
        <v>0</v>
      </c>
      <c r="BM99" s="848">
        <v>0</v>
      </c>
      <c r="BN99" s="848">
        <v>0</v>
      </c>
      <c r="BO99" s="848">
        <v>0</v>
      </c>
      <c r="BP99" s="848">
        <v>0</v>
      </c>
      <c r="BQ99" s="848">
        <v>0</v>
      </c>
      <c r="BR99" s="848">
        <v>0</v>
      </c>
      <c r="BS99" s="848">
        <v>0</v>
      </c>
      <c r="BT99" s="848">
        <v>0</v>
      </c>
      <c r="BU99" s="848">
        <v>0</v>
      </c>
      <c r="BV99" s="848">
        <v>0</v>
      </c>
      <c r="BW99" s="848">
        <v>0</v>
      </c>
      <c r="BX99" s="848">
        <v>0</v>
      </c>
      <c r="BY99" s="848">
        <v>0</v>
      </c>
      <c r="BZ99" s="848">
        <v>0</v>
      </c>
      <c r="CA99" s="848">
        <v>0</v>
      </c>
      <c r="CB99" s="848">
        <v>0</v>
      </c>
      <c r="CC99" s="848">
        <v>0</v>
      </c>
      <c r="CD99" s="848">
        <v>0</v>
      </c>
      <c r="CE99" s="848">
        <v>0</v>
      </c>
      <c r="CF99" s="848">
        <v>0</v>
      </c>
      <c r="CG99" s="848">
        <v>0</v>
      </c>
      <c r="CH99" s="848">
        <v>0</v>
      </c>
      <c r="CI99" s="848">
        <v>0</v>
      </c>
      <c r="CJ99" s="848">
        <v>0</v>
      </c>
      <c r="CK99" s="848">
        <v>0</v>
      </c>
      <c r="CL99" s="848">
        <v>0</v>
      </c>
      <c r="CM99" s="848">
        <v>0</v>
      </c>
      <c r="CN99" s="848">
        <v>0</v>
      </c>
      <c r="CO99" s="848">
        <v>0</v>
      </c>
      <c r="CP99" s="848">
        <v>0</v>
      </c>
      <c r="CQ99" s="848">
        <v>0</v>
      </c>
      <c r="CR99" s="848">
        <v>0</v>
      </c>
      <c r="CS99" s="848">
        <v>0</v>
      </c>
      <c r="CT99" s="848">
        <v>0</v>
      </c>
      <c r="CU99" s="848">
        <v>0</v>
      </c>
      <c r="CV99" s="848">
        <v>0</v>
      </c>
      <c r="CW99" s="848">
        <v>0</v>
      </c>
      <c r="CX99" s="848">
        <v>0</v>
      </c>
      <c r="CY99" s="848">
        <v>0</v>
      </c>
      <c r="CZ99" s="848">
        <v>0</v>
      </c>
      <c r="DA99" s="848">
        <v>0</v>
      </c>
      <c r="DB99" s="848">
        <v>0</v>
      </c>
      <c r="DC99" s="848">
        <v>0</v>
      </c>
      <c r="DD99" s="848">
        <v>0</v>
      </c>
      <c r="DE99" s="848">
        <v>0</v>
      </c>
      <c r="DF99" s="848">
        <v>0</v>
      </c>
      <c r="DG99" s="848">
        <v>0</v>
      </c>
      <c r="DH99" s="848">
        <v>0</v>
      </c>
      <c r="DI99" s="848">
        <v>0</v>
      </c>
      <c r="DJ99" s="848">
        <v>0</v>
      </c>
      <c r="DK99" s="848">
        <v>0</v>
      </c>
      <c r="DL99" s="848">
        <v>0</v>
      </c>
      <c r="DM99" s="848">
        <v>0</v>
      </c>
      <c r="DN99" s="848">
        <v>0</v>
      </c>
      <c r="DO99" s="848">
        <v>0</v>
      </c>
      <c r="DP99" s="848">
        <v>0</v>
      </c>
      <c r="DQ99" s="848">
        <v>0</v>
      </c>
      <c r="DR99" s="848">
        <v>0</v>
      </c>
      <c r="DS99" s="848">
        <v>0</v>
      </c>
      <c r="DT99" s="848">
        <v>0</v>
      </c>
      <c r="DU99" s="848">
        <v>0</v>
      </c>
      <c r="DV99" s="848">
        <v>0</v>
      </c>
      <c r="DW99" s="848">
        <v>0</v>
      </c>
      <c r="DX99" s="848">
        <v>0</v>
      </c>
      <c r="DY99" s="848">
        <v>0</v>
      </c>
      <c r="DZ99" s="848">
        <v>0</v>
      </c>
      <c r="EA99" s="848">
        <v>0</v>
      </c>
      <c r="EB99" s="848">
        <v>0</v>
      </c>
      <c r="EC99" s="848">
        <v>0</v>
      </c>
      <c r="ED99" s="848">
        <v>0</v>
      </c>
      <c r="EE99" s="848">
        <v>0</v>
      </c>
      <c r="EF99" s="848">
        <v>0</v>
      </c>
      <c r="EG99" s="848">
        <v>0</v>
      </c>
      <c r="EH99" s="848">
        <v>0</v>
      </c>
      <c r="EI99" s="848">
        <v>0</v>
      </c>
      <c r="EJ99" s="848">
        <v>0</v>
      </c>
      <c r="EK99" s="848">
        <v>0</v>
      </c>
      <c r="EL99" s="848">
        <v>0</v>
      </c>
    </row>
    <row r="100" spans="2:143" s="833" customFormat="1" ht="13.5">
      <c r="B100" s="1000"/>
      <c r="C100" s="911" t="s">
        <v>2187</v>
      </c>
      <c r="D100" s="1001"/>
      <c r="F100" s="1001"/>
      <c r="G100" s="1001"/>
      <c r="H100" s="848">
        <f t="shared" si="40"/>
        <v>103018.30051007849</v>
      </c>
      <c r="I100" s="856"/>
      <c r="J100" s="848">
        <v>0</v>
      </c>
      <c r="K100" s="848">
        <v>0</v>
      </c>
      <c r="L100" s="848">
        <v>0</v>
      </c>
      <c r="M100" s="848">
        <v>0</v>
      </c>
      <c r="N100" s="848">
        <v>0</v>
      </c>
      <c r="O100" s="848">
        <v>0</v>
      </c>
      <c r="P100" s="848">
        <v>0</v>
      </c>
      <c r="Q100" s="848">
        <v>0</v>
      </c>
      <c r="R100" s="848">
        <v>0</v>
      </c>
      <c r="S100" s="848">
        <v>0</v>
      </c>
      <c r="T100" s="848">
        <v>0</v>
      </c>
      <c r="U100" s="848">
        <v>0</v>
      </c>
      <c r="V100" s="848">
        <v>0</v>
      </c>
      <c r="W100" s="848">
        <v>0</v>
      </c>
      <c r="X100" s="848">
        <v>0</v>
      </c>
      <c r="Y100" s="848">
        <v>0</v>
      </c>
      <c r="Z100" s="848">
        <v>0</v>
      </c>
      <c r="AA100" s="848">
        <v>0</v>
      </c>
      <c r="AB100" s="848">
        <v>0</v>
      </c>
      <c r="AC100" s="848">
        <v>0</v>
      </c>
      <c r="AD100" s="848">
        <v>0</v>
      </c>
      <c r="AE100" s="848">
        <v>0</v>
      </c>
      <c r="AF100" s="848">
        <v>0</v>
      </c>
      <c r="AG100" s="848">
        <v>0</v>
      </c>
      <c r="AH100" s="848">
        <v>0</v>
      </c>
      <c r="AI100" s="848">
        <v>0</v>
      </c>
      <c r="AJ100" s="848">
        <v>0</v>
      </c>
      <c r="AK100" s="848">
        <v>0</v>
      </c>
      <c r="AL100" s="848">
        <v>0</v>
      </c>
      <c r="AM100" s="848">
        <v>0</v>
      </c>
      <c r="AN100" s="848">
        <v>0</v>
      </c>
      <c r="AO100" s="848">
        <v>0</v>
      </c>
      <c r="AP100" s="848">
        <v>0</v>
      </c>
      <c r="AQ100" s="848">
        <v>0</v>
      </c>
      <c r="AR100" s="848">
        <v>0</v>
      </c>
      <c r="AS100" s="848">
        <v>0</v>
      </c>
      <c r="AT100" s="848">
        <v>0</v>
      </c>
      <c r="AU100" s="848">
        <v>0</v>
      </c>
      <c r="AV100" s="848">
        <v>0</v>
      </c>
      <c r="AW100" s="848">
        <v>0</v>
      </c>
      <c r="AX100" s="848">
        <v>0</v>
      </c>
      <c r="AY100" s="848">
        <v>0</v>
      </c>
      <c r="AZ100" s="848">
        <v>0</v>
      </c>
      <c r="BA100" s="848">
        <v>0</v>
      </c>
      <c r="BB100" s="848">
        <v>0</v>
      </c>
      <c r="BC100" s="848">
        <v>0</v>
      </c>
      <c r="BD100" s="848">
        <v>0</v>
      </c>
      <c r="BE100" s="848">
        <v>0</v>
      </c>
      <c r="BF100" s="848">
        <v>0</v>
      </c>
      <c r="BG100" s="848">
        <v>0</v>
      </c>
      <c r="BH100" s="848">
        <v>0</v>
      </c>
      <c r="BI100" s="848">
        <v>0</v>
      </c>
      <c r="BJ100" s="848">
        <v>0</v>
      </c>
      <c r="BK100" s="848">
        <v>0</v>
      </c>
      <c r="BL100" s="848">
        <v>0</v>
      </c>
      <c r="BM100" s="848">
        <v>0</v>
      </c>
      <c r="BN100" s="848">
        <v>0</v>
      </c>
      <c r="BO100" s="848">
        <v>0</v>
      </c>
      <c r="BP100" s="848">
        <v>0</v>
      </c>
      <c r="BQ100" s="848">
        <v>0</v>
      </c>
      <c r="BR100" s="848">
        <v>0</v>
      </c>
      <c r="BS100" s="848">
        <v>0</v>
      </c>
      <c r="BT100" s="848">
        <v>0</v>
      </c>
      <c r="BU100" s="848">
        <v>0</v>
      </c>
      <c r="BV100" s="848">
        <v>0</v>
      </c>
      <c r="BW100" s="848">
        <v>0</v>
      </c>
      <c r="BX100" s="848">
        <v>0</v>
      </c>
      <c r="BY100" s="848">
        <v>0</v>
      </c>
      <c r="BZ100" s="848">
        <v>0</v>
      </c>
      <c r="CA100" s="848">
        <v>0</v>
      </c>
      <c r="CB100" s="848">
        <v>0</v>
      </c>
      <c r="CC100" s="848">
        <v>0</v>
      </c>
      <c r="CD100" s="848">
        <v>0</v>
      </c>
      <c r="CE100" s="848">
        <v>0</v>
      </c>
      <c r="CF100" s="848">
        <v>0</v>
      </c>
      <c r="CG100" s="848">
        <v>0</v>
      </c>
      <c r="CH100" s="848">
        <v>0</v>
      </c>
      <c r="CI100" s="848">
        <v>0</v>
      </c>
      <c r="CJ100" s="848">
        <v>0</v>
      </c>
      <c r="CK100" s="848">
        <v>0</v>
      </c>
      <c r="CL100" s="848">
        <v>0</v>
      </c>
      <c r="CM100" s="848">
        <v>0</v>
      </c>
      <c r="CN100" s="848">
        <v>0</v>
      </c>
      <c r="CO100" s="848">
        <v>0</v>
      </c>
      <c r="CP100" s="848">
        <v>0</v>
      </c>
      <c r="CQ100" s="848">
        <v>0</v>
      </c>
      <c r="CR100" s="848">
        <v>0</v>
      </c>
      <c r="CS100" s="848">
        <v>0</v>
      </c>
      <c r="CT100" s="848">
        <v>0</v>
      </c>
      <c r="CU100" s="848">
        <v>0</v>
      </c>
      <c r="CV100" s="848">
        <v>0</v>
      </c>
      <c r="CW100" s="848">
        <v>0</v>
      </c>
      <c r="CX100" s="848">
        <v>0</v>
      </c>
      <c r="CY100" s="848">
        <v>0</v>
      </c>
      <c r="CZ100" s="848">
        <v>0</v>
      </c>
      <c r="DA100" s="848">
        <v>0</v>
      </c>
      <c r="DB100" s="848">
        <v>0</v>
      </c>
      <c r="DC100" s="848">
        <v>0</v>
      </c>
      <c r="DD100" s="848">
        <v>0</v>
      </c>
      <c r="DE100" s="848">
        <v>0</v>
      </c>
      <c r="DF100" s="848">
        <v>0</v>
      </c>
      <c r="DG100" s="848">
        <v>0</v>
      </c>
      <c r="DH100" s="848">
        <v>0</v>
      </c>
      <c r="DI100" s="848">
        <v>0</v>
      </c>
      <c r="DJ100" s="848">
        <v>0</v>
      </c>
      <c r="DK100" s="848">
        <v>0</v>
      </c>
      <c r="DL100" s="848">
        <v>0</v>
      </c>
      <c r="DM100" s="848">
        <v>0</v>
      </c>
      <c r="DN100" s="848">
        <v>0</v>
      </c>
      <c r="DO100" s="848">
        <v>0</v>
      </c>
      <c r="DP100" s="848">
        <v>0</v>
      </c>
      <c r="DQ100" s="848">
        <v>0</v>
      </c>
      <c r="DR100" s="848">
        <v>0</v>
      </c>
      <c r="DS100" s="848">
        <v>0</v>
      </c>
      <c r="DT100" s="848">
        <v>0</v>
      </c>
      <c r="DU100" s="848">
        <v>0</v>
      </c>
      <c r="DV100" s="848">
        <v>0</v>
      </c>
      <c r="DW100" s="848">
        <v>0</v>
      </c>
      <c r="DX100" s="848">
        <v>0</v>
      </c>
      <c r="DY100" s="848">
        <v>0</v>
      </c>
      <c r="DZ100" s="848">
        <v>103018.30051007849</v>
      </c>
      <c r="EA100" s="848">
        <v>0</v>
      </c>
      <c r="EB100" s="848">
        <v>0</v>
      </c>
      <c r="EC100" s="848">
        <v>0</v>
      </c>
      <c r="ED100" s="848">
        <v>0</v>
      </c>
      <c r="EE100" s="848">
        <v>0</v>
      </c>
      <c r="EF100" s="848">
        <v>0</v>
      </c>
      <c r="EG100" s="848">
        <v>0</v>
      </c>
      <c r="EH100" s="848">
        <v>0</v>
      </c>
      <c r="EI100" s="848">
        <v>0</v>
      </c>
      <c r="EJ100" s="848">
        <v>0</v>
      </c>
      <c r="EK100" s="848">
        <v>0</v>
      </c>
      <c r="EL100" s="848">
        <v>0</v>
      </c>
    </row>
    <row r="101" spans="2:143">
      <c r="B101" s="1069"/>
      <c r="C101" s="1070"/>
      <c r="D101" s="1070"/>
      <c r="E101" s="1070"/>
      <c r="F101" s="1070"/>
      <c r="G101" s="1070"/>
      <c r="H101" s="1071"/>
      <c r="I101" s="945"/>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row>
    <row r="102" spans="2:143">
      <c r="B102" s="1000"/>
      <c r="C102" s="1001"/>
      <c r="D102" s="1001"/>
      <c r="E102" s="1001"/>
      <c r="F102" s="1001"/>
      <c r="G102" s="1001"/>
      <c r="H102" s="1067"/>
      <c r="I102" s="833"/>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14"/>
      <c r="AT102" s="21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14"/>
      <c r="BW102" s="21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row>
    <row r="103" spans="2:143" s="843" customFormat="1" ht="13.5">
      <c r="B103" s="1004"/>
      <c r="C103" s="994" t="s">
        <v>953</v>
      </c>
      <c r="D103" s="994"/>
      <c r="F103" s="994"/>
      <c r="G103" s="994"/>
      <c r="H103" s="848">
        <f>(ABS(SUM(J103:EL103))&gt;0.01)*SUM(J103:EL103)</f>
        <v>0</v>
      </c>
      <c r="J103" s="842">
        <f t="shared" ref="J103:BU103" si="44">(J9+J53+J69)*(ABS(J9+J53+J69)&gt;0.001)</f>
        <v>0</v>
      </c>
      <c r="K103" s="842">
        <f t="shared" si="44"/>
        <v>0</v>
      </c>
      <c r="L103" s="842">
        <f t="shared" si="44"/>
        <v>0</v>
      </c>
      <c r="M103" s="842">
        <f t="shared" si="44"/>
        <v>0</v>
      </c>
      <c r="N103" s="842">
        <f t="shared" si="44"/>
        <v>0</v>
      </c>
      <c r="O103" s="842">
        <f t="shared" si="44"/>
        <v>0</v>
      </c>
      <c r="P103" s="842">
        <f t="shared" si="44"/>
        <v>0</v>
      </c>
      <c r="Q103" s="842">
        <f t="shared" si="44"/>
        <v>0</v>
      </c>
      <c r="R103" s="842">
        <f t="shared" si="44"/>
        <v>0</v>
      </c>
      <c r="S103" s="842">
        <f t="shared" si="44"/>
        <v>0</v>
      </c>
      <c r="T103" s="842">
        <f t="shared" si="44"/>
        <v>0</v>
      </c>
      <c r="U103" s="842">
        <f t="shared" si="44"/>
        <v>0</v>
      </c>
      <c r="V103" s="842">
        <f t="shared" si="44"/>
        <v>0</v>
      </c>
      <c r="W103" s="842">
        <f t="shared" si="44"/>
        <v>0</v>
      </c>
      <c r="X103" s="842">
        <f t="shared" si="44"/>
        <v>0</v>
      </c>
      <c r="Y103" s="842">
        <f t="shared" si="44"/>
        <v>0</v>
      </c>
      <c r="Z103" s="842">
        <f t="shared" si="44"/>
        <v>0</v>
      </c>
      <c r="AA103" s="842">
        <f t="shared" si="44"/>
        <v>0</v>
      </c>
      <c r="AB103" s="842">
        <f t="shared" si="44"/>
        <v>0</v>
      </c>
      <c r="AC103" s="842">
        <f t="shared" si="44"/>
        <v>0</v>
      </c>
      <c r="AD103" s="842">
        <f t="shared" si="44"/>
        <v>0</v>
      </c>
      <c r="AE103" s="842">
        <f t="shared" si="44"/>
        <v>0</v>
      </c>
      <c r="AF103" s="842">
        <f t="shared" si="44"/>
        <v>0</v>
      </c>
      <c r="AG103" s="842">
        <f t="shared" si="44"/>
        <v>0</v>
      </c>
      <c r="AH103" s="842">
        <f t="shared" si="44"/>
        <v>0</v>
      </c>
      <c r="AI103" s="842">
        <f t="shared" si="44"/>
        <v>0</v>
      </c>
      <c r="AJ103" s="842">
        <f t="shared" si="44"/>
        <v>0</v>
      </c>
      <c r="AK103" s="842">
        <f t="shared" si="44"/>
        <v>0</v>
      </c>
      <c r="AL103" s="842">
        <f t="shared" si="44"/>
        <v>18906.621137999929</v>
      </c>
      <c r="AM103" s="842">
        <f t="shared" si="44"/>
        <v>2323.7535711303167</v>
      </c>
      <c r="AN103" s="842">
        <f t="shared" si="44"/>
        <v>-1100.8307090439316</v>
      </c>
      <c r="AO103" s="842">
        <f t="shared" si="44"/>
        <v>-5300.7624535477471</v>
      </c>
      <c r="AP103" s="842">
        <f t="shared" si="44"/>
        <v>2528.2385813668361</v>
      </c>
      <c r="AQ103" s="842">
        <f t="shared" si="44"/>
        <v>-1614.5869247879832</v>
      </c>
      <c r="AR103" s="842">
        <f t="shared" si="44"/>
        <v>1820.5262795525982</v>
      </c>
      <c r="AS103" s="842">
        <f t="shared" si="44"/>
        <v>2533.9347854004432</v>
      </c>
      <c r="AT103" s="842">
        <f t="shared" si="44"/>
        <v>13121.762533271361</v>
      </c>
      <c r="AU103" s="842">
        <f t="shared" si="44"/>
        <v>-2965.6641537969772</v>
      </c>
      <c r="AV103" s="842">
        <f t="shared" si="44"/>
        <v>2560.3723544939326</v>
      </c>
      <c r="AW103" s="842">
        <f t="shared" si="44"/>
        <v>-3375.9566529794056</v>
      </c>
      <c r="AX103" s="842">
        <f t="shared" si="44"/>
        <v>2032.459124678086</v>
      </c>
      <c r="AY103" s="842">
        <f t="shared" si="44"/>
        <v>2506.7667882224409</v>
      </c>
      <c r="AZ103" s="842">
        <f t="shared" si="44"/>
        <v>-4502.8048282262525</v>
      </c>
      <c r="BA103" s="842">
        <f t="shared" si="44"/>
        <v>-2603.4471027495256</v>
      </c>
      <c r="BB103" s="842">
        <f t="shared" si="44"/>
        <v>2625.8529836955418</v>
      </c>
      <c r="BC103" s="842">
        <f t="shared" si="44"/>
        <v>-3854.0791799221406</v>
      </c>
      <c r="BD103" s="842">
        <f t="shared" si="44"/>
        <v>2143.7516115498502</v>
      </c>
      <c r="BE103" s="842">
        <f t="shared" si="44"/>
        <v>2627.7603283107987</v>
      </c>
      <c r="BF103" s="842">
        <f t="shared" si="44"/>
        <v>-4467.0755898593161</v>
      </c>
      <c r="BG103" s="842">
        <f t="shared" si="44"/>
        <v>-2906.3679977940483</v>
      </c>
      <c r="BH103" s="842">
        <f t="shared" si="44"/>
        <v>2617.8734881871683</v>
      </c>
      <c r="BI103" s="842">
        <f t="shared" si="44"/>
        <v>-3321.7689875885462</v>
      </c>
      <c r="BJ103" s="842">
        <f t="shared" si="44"/>
        <v>2089.2876602024139</v>
      </c>
      <c r="BK103" s="842">
        <f t="shared" si="44"/>
        <v>2563.9885612198073</v>
      </c>
      <c r="BL103" s="842">
        <f t="shared" si="44"/>
        <v>-4481.2051567671588</v>
      </c>
      <c r="BM103" s="842">
        <f t="shared" si="44"/>
        <v>-2544.0464623436637</v>
      </c>
      <c r="BN103" s="842">
        <f t="shared" si="44"/>
        <v>2686.1192466906045</v>
      </c>
      <c r="BO103" s="842">
        <f t="shared" si="44"/>
        <v>-3817.3364562004613</v>
      </c>
      <c r="BP103" s="842">
        <f t="shared" si="44"/>
        <v>2204.2199766005729</v>
      </c>
      <c r="BQ103" s="842">
        <f t="shared" si="44"/>
        <v>2688.3546691220431</v>
      </c>
      <c r="BR103" s="842">
        <f t="shared" si="44"/>
        <v>-12753.603702565963</v>
      </c>
      <c r="BS103" s="842">
        <f t="shared" si="44"/>
        <v>-2860.6599461383757</v>
      </c>
      <c r="BT103" s="842">
        <f t="shared" si="44"/>
        <v>2661.4256920812468</v>
      </c>
      <c r="BU103" s="842">
        <f t="shared" si="44"/>
        <v>-2110.3779775138769</v>
      </c>
      <c r="BV103" s="842">
        <f t="shared" ref="BV103:EG103" si="45">(BV9+BV53+BV69)*(ABS(BV9+BV53+BV69)&gt;0.001)</f>
        <v>2134.5316969069841</v>
      </c>
      <c r="BW103" s="842">
        <f t="shared" si="45"/>
        <v>2609.6113957579164</v>
      </c>
      <c r="BX103" s="842">
        <f t="shared" si="45"/>
        <v>-3300.9882158046976</v>
      </c>
      <c r="BY103" s="842">
        <f t="shared" si="45"/>
        <v>-3576.8075993066291</v>
      </c>
      <c r="BZ103" s="842">
        <f t="shared" si="45"/>
        <v>2734.9703943994919</v>
      </c>
      <c r="CA103" s="842">
        <f t="shared" si="45"/>
        <v>-1918.8812029125766</v>
      </c>
      <c r="CB103" s="842">
        <f t="shared" si="45"/>
        <v>2257.1280126448705</v>
      </c>
      <c r="CC103" s="842">
        <f t="shared" si="45"/>
        <v>2741.3729302414331</v>
      </c>
      <c r="CD103" s="842">
        <f t="shared" si="45"/>
        <v>-1851.665876153897</v>
      </c>
      <c r="CE103" s="842">
        <f t="shared" si="45"/>
        <v>-3872.8599182892335</v>
      </c>
      <c r="CF103" s="842">
        <f t="shared" si="45"/>
        <v>2735.1580284410129</v>
      </c>
      <c r="CG103" s="842">
        <f t="shared" si="45"/>
        <v>-2040.0639982491002</v>
      </c>
      <c r="CH103" s="842">
        <f t="shared" si="45"/>
        <v>2307.6238242047343</v>
      </c>
      <c r="CI103" s="842">
        <f t="shared" si="45"/>
        <v>2683.3585902661466</v>
      </c>
      <c r="CJ103" s="842">
        <f t="shared" si="45"/>
        <v>-3264.8763083180902</v>
      </c>
      <c r="CK103" s="842">
        <f t="shared" si="45"/>
        <v>-3658.6077712528863</v>
      </c>
      <c r="CL103" s="842">
        <f t="shared" si="45"/>
        <v>6879.0508173379876</v>
      </c>
      <c r="CM103" s="842">
        <f t="shared" si="45"/>
        <v>-1805.7511399227214</v>
      </c>
      <c r="CN103" s="842">
        <f t="shared" si="45"/>
        <v>2475.3015328217489</v>
      </c>
      <c r="CO103" s="842">
        <f t="shared" si="45"/>
        <v>2861.273154259592</v>
      </c>
      <c r="CP103" s="842">
        <f t="shared" si="45"/>
        <v>-10301.515860002368</v>
      </c>
      <c r="CQ103" s="842">
        <f t="shared" si="45"/>
        <v>-3770.7957286677383</v>
      </c>
      <c r="CR103" s="842">
        <f t="shared" si="45"/>
        <v>2837.9168241879033</v>
      </c>
      <c r="CS103" s="842">
        <f t="shared" si="45"/>
        <v>-704.48452712939115</v>
      </c>
      <c r="CT103" s="842">
        <f t="shared" si="45"/>
        <v>2808.6613388153451</v>
      </c>
      <c r="CU103" s="842">
        <f t="shared" si="45"/>
        <v>2786.6649163669408</v>
      </c>
      <c r="CV103" s="842">
        <f t="shared" si="45"/>
        <v>-1963.9608267766014</v>
      </c>
      <c r="CW103" s="842">
        <f t="shared" si="45"/>
        <v>-3396.1215696243203</v>
      </c>
      <c r="CX103" s="842">
        <f t="shared" si="45"/>
        <v>2922.8053804304573</v>
      </c>
      <c r="CY103" s="842">
        <f t="shared" si="45"/>
        <v>-507.17277897712984</v>
      </c>
      <c r="CZ103" s="842">
        <f t="shared" si="45"/>
        <v>2544.4669295830672</v>
      </c>
      <c r="DA103" s="842">
        <f t="shared" si="45"/>
        <v>2933.1389211201163</v>
      </c>
      <c r="DB103" s="842">
        <f t="shared" si="45"/>
        <v>-423.25037279421667</v>
      </c>
      <c r="DC103" s="842">
        <f t="shared" si="45"/>
        <v>-5791.6014928611157</v>
      </c>
      <c r="DD103" s="842">
        <f t="shared" si="45"/>
        <v>2926.3020191523347</v>
      </c>
      <c r="DE103" s="842">
        <f t="shared" si="45"/>
        <v>-619.63146990280438</v>
      </c>
      <c r="DF103" s="842">
        <f t="shared" si="45"/>
        <v>2496.191606739234</v>
      </c>
      <c r="DG103" s="842">
        <f t="shared" si="45"/>
        <v>2876.8523454871929</v>
      </c>
      <c r="DH103" s="842">
        <f t="shared" si="45"/>
        <v>-1913.5386826976528</v>
      </c>
      <c r="DI103" s="842">
        <f t="shared" si="45"/>
        <v>-7105.3589092610046</v>
      </c>
      <c r="DJ103" s="842">
        <f t="shared" si="45"/>
        <v>3008.6561570183953</v>
      </c>
      <c r="DK103" s="842">
        <f t="shared" si="45"/>
        <v>-428.49988033298177</v>
      </c>
      <c r="DL103" s="842">
        <f t="shared" si="45"/>
        <v>2630.6604638277395</v>
      </c>
      <c r="DM103" s="842">
        <f t="shared" si="45"/>
        <v>3019.5120252277979</v>
      </c>
      <c r="DN103" s="842">
        <f t="shared" si="45"/>
        <v>-336.69732471964426</v>
      </c>
      <c r="DO103" s="842">
        <f t="shared" si="45"/>
        <v>-6188.5232590374517</v>
      </c>
      <c r="DP103" s="842">
        <f t="shared" si="45"/>
        <v>3012.2084657308619</v>
      </c>
      <c r="DQ103" s="842">
        <f t="shared" si="45"/>
        <v>-537.33665059247278</v>
      </c>
      <c r="DR103" s="842">
        <f t="shared" si="45"/>
        <v>2581.4505876229005</v>
      </c>
      <c r="DS103" s="842">
        <f t="shared" si="45"/>
        <v>2962.6145576874251</v>
      </c>
      <c r="DT103" s="842">
        <f t="shared" si="45"/>
        <v>-1868.678894647735</v>
      </c>
      <c r="DU103" s="842">
        <f t="shared" si="45"/>
        <v>-7530.6024041468736</v>
      </c>
      <c r="DV103" s="842">
        <f t="shared" si="45"/>
        <v>3096.9818469422116</v>
      </c>
      <c r="DW103" s="842">
        <f t="shared" si="45"/>
        <v>-348.08258565634105</v>
      </c>
      <c r="DX103" s="842">
        <f t="shared" si="45"/>
        <v>2719.3377016361396</v>
      </c>
      <c r="DY103" s="842">
        <f t="shared" si="45"/>
        <v>3108.3740072816322</v>
      </c>
      <c r="DZ103" s="842">
        <f t="shared" si="45"/>
        <v>-13328.31631605234</v>
      </c>
      <c r="EA103" s="842">
        <f t="shared" si="45"/>
        <v>0</v>
      </c>
      <c r="EB103" s="842">
        <f t="shared" si="45"/>
        <v>0</v>
      </c>
      <c r="EC103" s="842">
        <f t="shared" si="45"/>
        <v>0</v>
      </c>
      <c r="ED103" s="842">
        <f t="shared" si="45"/>
        <v>0</v>
      </c>
      <c r="EE103" s="842">
        <f t="shared" si="45"/>
        <v>0</v>
      </c>
      <c r="EF103" s="842">
        <f t="shared" si="45"/>
        <v>0</v>
      </c>
      <c r="EG103" s="842">
        <f t="shared" si="45"/>
        <v>0</v>
      </c>
      <c r="EH103" s="842">
        <f t="shared" ref="EH103:EL103" si="46">(EH9+EH53+EH69)*(ABS(EH9+EH53+EH69)&gt;0.001)</f>
        <v>0</v>
      </c>
      <c r="EI103" s="842">
        <f t="shared" si="46"/>
        <v>0</v>
      </c>
      <c r="EJ103" s="842">
        <f t="shared" si="46"/>
        <v>0</v>
      </c>
      <c r="EK103" s="842">
        <f t="shared" si="46"/>
        <v>0</v>
      </c>
      <c r="EL103" s="842">
        <f t="shared" si="46"/>
        <v>0</v>
      </c>
    </row>
    <row r="104" spans="2:143" ht="13.5">
      <c r="B104" s="1000"/>
      <c r="C104" s="1001" t="s">
        <v>954</v>
      </c>
      <c r="D104" s="1001"/>
      <c r="F104" s="1001"/>
      <c r="G104" s="1001"/>
      <c r="H104" s="848">
        <f>SUM(J104:EL104)</f>
        <v>1329414.0018548041</v>
      </c>
      <c r="I104" s="833"/>
      <c r="J104" s="848">
        <f t="shared" ref="J104:BU104" si="47">I105</f>
        <v>0</v>
      </c>
      <c r="K104" s="848">
        <f t="shared" si="47"/>
        <v>0</v>
      </c>
      <c r="L104" s="848">
        <f t="shared" si="47"/>
        <v>0</v>
      </c>
      <c r="M104" s="848">
        <f t="shared" si="47"/>
        <v>0</v>
      </c>
      <c r="N104" s="848">
        <f t="shared" si="47"/>
        <v>0</v>
      </c>
      <c r="O104" s="848">
        <f t="shared" si="47"/>
        <v>0</v>
      </c>
      <c r="P104" s="848">
        <f t="shared" si="47"/>
        <v>0</v>
      </c>
      <c r="Q104" s="848">
        <f t="shared" si="47"/>
        <v>0</v>
      </c>
      <c r="R104" s="848">
        <f t="shared" si="47"/>
        <v>0</v>
      </c>
      <c r="S104" s="848">
        <f t="shared" si="47"/>
        <v>0</v>
      </c>
      <c r="T104" s="848">
        <f t="shared" si="47"/>
        <v>0</v>
      </c>
      <c r="U104" s="848">
        <f t="shared" si="47"/>
        <v>0</v>
      </c>
      <c r="V104" s="848">
        <f t="shared" si="47"/>
        <v>0</v>
      </c>
      <c r="W104" s="848">
        <f t="shared" si="47"/>
        <v>0</v>
      </c>
      <c r="X104" s="848">
        <f t="shared" si="47"/>
        <v>0</v>
      </c>
      <c r="Y104" s="848">
        <f t="shared" si="47"/>
        <v>0</v>
      </c>
      <c r="Z104" s="848">
        <f t="shared" si="47"/>
        <v>0</v>
      </c>
      <c r="AA104" s="848">
        <f t="shared" si="47"/>
        <v>0</v>
      </c>
      <c r="AB104" s="848">
        <f t="shared" si="47"/>
        <v>0</v>
      </c>
      <c r="AC104" s="848">
        <f t="shared" si="47"/>
        <v>0</v>
      </c>
      <c r="AD104" s="848">
        <f t="shared" si="47"/>
        <v>0</v>
      </c>
      <c r="AE104" s="848">
        <f t="shared" si="47"/>
        <v>0</v>
      </c>
      <c r="AF104" s="848">
        <f t="shared" si="47"/>
        <v>0</v>
      </c>
      <c r="AG104" s="848">
        <f t="shared" si="47"/>
        <v>0</v>
      </c>
      <c r="AH104" s="848">
        <f t="shared" si="47"/>
        <v>0</v>
      </c>
      <c r="AI104" s="848">
        <f t="shared" si="47"/>
        <v>0</v>
      </c>
      <c r="AJ104" s="848">
        <f t="shared" si="47"/>
        <v>0</v>
      </c>
      <c r="AK104" s="848">
        <f t="shared" si="47"/>
        <v>0</v>
      </c>
      <c r="AL104" s="848">
        <f t="shared" si="47"/>
        <v>0</v>
      </c>
      <c r="AM104" s="848">
        <f t="shared" si="47"/>
        <v>18906.621137999929</v>
      </c>
      <c r="AN104" s="848">
        <f t="shared" si="47"/>
        <v>21230.374709130247</v>
      </c>
      <c r="AO104" s="848">
        <f t="shared" si="47"/>
        <v>20129.544000086316</v>
      </c>
      <c r="AP104" s="848">
        <f t="shared" si="47"/>
        <v>14828.781546538568</v>
      </c>
      <c r="AQ104" s="848">
        <f t="shared" si="47"/>
        <v>17357.020127905405</v>
      </c>
      <c r="AR104" s="848">
        <f t="shared" si="47"/>
        <v>15742.433203117422</v>
      </c>
      <c r="AS104" s="848">
        <f t="shared" si="47"/>
        <v>17562.959482670019</v>
      </c>
      <c r="AT104" s="848">
        <f t="shared" si="47"/>
        <v>20096.894268070464</v>
      </c>
      <c r="AU104" s="848">
        <f t="shared" si="47"/>
        <v>33218.656801341829</v>
      </c>
      <c r="AV104" s="848">
        <f t="shared" si="47"/>
        <v>30252.992647544852</v>
      </c>
      <c r="AW104" s="848">
        <f t="shared" si="47"/>
        <v>32813.365002038787</v>
      </c>
      <c r="AX104" s="848">
        <f t="shared" si="47"/>
        <v>29437.40834905938</v>
      </c>
      <c r="AY104" s="848">
        <f t="shared" si="47"/>
        <v>31469.867473737468</v>
      </c>
      <c r="AZ104" s="848">
        <f t="shared" si="47"/>
        <v>33976.634261959909</v>
      </c>
      <c r="BA104" s="848">
        <f t="shared" si="47"/>
        <v>29473.829433733656</v>
      </c>
      <c r="BB104" s="848">
        <f t="shared" si="47"/>
        <v>26870.382330984132</v>
      </c>
      <c r="BC104" s="848">
        <f t="shared" si="47"/>
        <v>29496.235314679674</v>
      </c>
      <c r="BD104" s="848">
        <f t="shared" si="47"/>
        <v>25642.156134757533</v>
      </c>
      <c r="BE104" s="848">
        <f t="shared" si="47"/>
        <v>27785.907746307385</v>
      </c>
      <c r="BF104" s="848">
        <f t="shared" si="47"/>
        <v>30413.668074618185</v>
      </c>
      <c r="BG104" s="848">
        <f t="shared" si="47"/>
        <v>25946.592484758869</v>
      </c>
      <c r="BH104" s="848">
        <f t="shared" si="47"/>
        <v>23040.22448696482</v>
      </c>
      <c r="BI104" s="848">
        <f t="shared" si="47"/>
        <v>25658.097975151988</v>
      </c>
      <c r="BJ104" s="848">
        <f t="shared" si="47"/>
        <v>22336.328987563444</v>
      </c>
      <c r="BK104" s="848">
        <f t="shared" si="47"/>
        <v>24425.616647765859</v>
      </c>
      <c r="BL104" s="848">
        <f t="shared" si="47"/>
        <v>26989.605208985668</v>
      </c>
      <c r="BM104" s="848">
        <f t="shared" si="47"/>
        <v>22508.400052218509</v>
      </c>
      <c r="BN104" s="848">
        <f t="shared" si="47"/>
        <v>19964.353589874845</v>
      </c>
      <c r="BO104" s="848">
        <f t="shared" si="47"/>
        <v>22650.472836565448</v>
      </c>
      <c r="BP104" s="848">
        <f t="shared" si="47"/>
        <v>18833.136380364987</v>
      </c>
      <c r="BQ104" s="848">
        <f t="shared" si="47"/>
        <v>21037.35635696556</v>
      </c>
      <c r="BR104" s="848">
        <f t="shared" si="47"/>
        <v>23725.711026087603</v>
      </c>
      <c r="BS104" s="848">
        <f t="shared" si="47"/>
        <v>10972.107323521641</v>
      </c>
      <c r="BT104" s="848">
        <f t="shared" si="47"/>
        <v>8111.4473773832651</v>
      </c>
      <c r="BU104" s="848">
        <f t="shared" si="47"/>
        <v>10772.873069464513</v>
      </c>
      <c r="BV104" s="848">
        <f t="shared" ref="BV104:EG104" si="48">BU105</f>
        <v>8662.4950919506355</v>
      </c>
      <c r="BW104" s="848">
        <f t="shared" si="48"/>
        <v>10797.02678885762</v>
      </c>
      <c r="BX104" s="848">
        <f t="shared" si="48"/>
        <v>13406.638184615536</v>
      </c>
      <c r="BY104" s="848">
        <f t="shared" si="48"/>
        <v>10105.649968810838</v>
      </c>
      <c r="BZ104" s="848">
        <f t="shared" si="48"/>
        <v>6528.8423695042093</v>
      </c>
      <c r="CA104" s="848">
        <f t="shared" si="48"/>
        <v>9263.8127639037011</v>
      </c>
      <c r="CB104" s="848">
        <f t="shared" si="48"/>
        <v>7344.9315609911246</v>
      </c>
      <c r="CC104" s="848">
        <f t="shared" si="48"/>
        <v>9602.0595736359955</v>
      </c>
      <c r="CD104" s="848">
        <f t="shared" si="48"/>
        <v>12343.43250387743</v>
      </c>
      <c r="CE104" s="848">
        <f t="shared" si="48"/>
        <v>10491.766627723533</v>
      </c>
      <c r="CF104" s="848">
        <f t="shared" si="48"/>
        <v>6618.906709434299</v>
      </c>
      <c r="CG104" s="848">
        <f t="shared" si="48"/>
        <v>9354.0647378753129</v>
      </c>
      <c r="CH104" s="848">
        <f t="shared" si="48"/>
        <v>7314.0007396262126</v>
      </c>
      <c r="CI104" s="848">
        <f t="shared" si="48"/>
        <v>9621.6245638309465</v>
      </c>
      <c r="CJ104" s="848">
        <f t="shared" si="48"/>
        <v>12304.983154097094</v>
      </c>
      <c r="CK104" s="848">
        <f t="shared" si="48"/>
        <v>9040.1068457790025</v>
      </c>
      <c r="CL104" s="848">
        <f t="shared" si="48"/>
        <v>5381.4990745261166</v>
      </c>
      <c r="CM104" s="848">
        <f t="shared" si="48"/>
        <v>12260.549891864104</v>
      </c>
      <c r="CN104" s="848">
        <f t="shared" si="48"/>
        <v>10454.798751941384</v>
      </c>
      <c r="CO104" s="848">
        <f t="shared" si="48"/>
        <v>12930.100284763132</v>
      </c>
      <c r="CP104" s="848">
        <f t="shared" si="48"/>
        <v>15791.373439022724</v>
      </c>
      <c r="CQ104" s="848">
        <f t="shared" si="48"/>
        <v>5489.8575790203558</v>
      </c>
      <c r="CR104" s="848">
        <f t="shared" si="48"/>
        <v>1719.0618503526175</v>
      </c>
      <c r="CS104" s="848">
        <f t="shared" si="48"/>
        <v>4556.9786745405208</v>
      </c>
      <c r="CT104" s="848">
        <f t="shared" si="48"/>
        <v>3852.4941474111297</v>
      </c>
      <c r="CU104" s="848">
        <f t="shared" si="48"/>
        <v>6661.1554862264747</v>
      </c>
      <c r="CV104" s="848">
        <f t="shared" si="48"/>
        <v>9447.8204025934156</v>
      </c>
      <c r="CW104" s="848">
        <f t="shared" si="48"/>
        <v>7483.859575816814</v>
      </c>
      <c r="CX104" s="848">
        <f t="shared" si="48"/>
        <v>4087.7380061924937</v>
      </c>
      <c r="CY104" s="848">
        <f t="shared" si="48"/>
        <v>7010.5433866229505</v>
      </c>
      <c r="CZ104" s="848">
        <f t="shared" si="48"/>
        <v>6503.3706076458202</v>
      </c>
      <c r="DA104" s="848">
        <f t="shared" si="48"/>
        <v>9047.8375372288865</v>
      </c>
      <c r="DB104" s="848">
        <f t="shared" si="48"/>
        <v>11980.976458349003</v>
      </c>
      <c r="DC104" s="848">
        <f t="shared" si="48"/>
        <v>11557.726085554787</v>
      </c>
      <c r="DD104" s="848">
        <f t="shared" si="48"/>
        <v>5766.1245926936708</v>
      </c>
      <c r="DE104" s="848">
        <f t="shared" si="48"/>
        <v>8692.4266118460055</v>
      </c>
      <c r="DF104" s="848">
        <f t="shared" si="48"/>
        <v>8072.7951419432011</v>
      </c>
      <c r="DG104" s="848">
        <f t="shared" si="48"/>
        <v>10568.986748682435</v>
      </c>
      <c r="DH104" s="848">
        <f t="shared" si="48"/>
        <v>13445.839094169627</v>
      </c>
      <c r="DI104" s="848">
        <f t="shared" si="48"/>
        <v>11532.300411471973</v>
      </c>
      <c r="DJ104" s="848">
        <f t="shared" si="48"/>
        <v>4426.9415022109688</v>
      </c>
      <c r="DK104" s="848">
        <f t="shared" si="48"/>
        <v>7435.5976592293646</v>
      </c>
      <c r="DL104" s="848">
        <f t="shared" si="48"/>
        <v>7007.0977788963828</v>
      </c>
      <c r="DM104" s="848">
        <f t="shared" si="48"/>
        <v>9637.7582427241214</v>
      </c>
      <c r="DN104" s="848">
        <f t="shared" si="48"/>
        <v>12657.270267951919</v>
      </c>
      <c r="DO104" s="848">
        <f t="shared" si="48"/>
        <v>12320.572943232275</v>
      </c>
      <c r="DP104" s="848">
        <f t="shared" si="48"/>
        <v>6132.0496841948234</v>
      </c>
      <c r="DQ104" s="848">
        <f t="shared" si="48"/>
        <v>9144.2581499256848</v>
      </c>
      <c r="DR104" s="848">
        <f t="shared" si="48"/>
        <v>8606.9214993332116</v>
      </c>
      <c r="DS104" s="848">
        <f t="shared" si="48"/>
        <v>11188.372086956111</v>
      </c>
      <c r="DT104" s="848">
        <f t="shared" si="48"/>
        <v>14150.986644643537</v>
      </c>
      <c r="DU104" s="848">
        <f t="shared" si="48"/>
        <v>12282.307749995802</v>
      </c>
      <c r="DV104" s="848">
        <f t="shared" si="48"/>
        <v>4751.7053458489281</v>
      </c>
      <c r="DW104" s="848">
        <f t="shared" si="48"/>
        <v>7848.6871927911398</v>
      </c>
      <c r="DX104" s="848">
        <f t="shared" si="48"/>
        <v>7500.6046071347992</v>
      </c>
      <c r="DY104" s="848">
        <f t="shared" si="48"/>
        <v>10219.942308770938</v>
      </c>
      <c r="DZ104" s="848">
        <f t="shared" si="48"/>
        <v>13328.316316052571</v>
      </c>
      <c r="EA104" s="848">
        <f t="shared" si="48"/>
        <v>0</v>
      </c>
      <c r="EB104" s="848">
        <f t="shared" si="48"/>
        <v>0</v>
      </c>
      <c r="EC104" s="848">
        <f t="shared" si="48"/>
        <v>0</v>
      </c>
      <c r="ED104" s="848">
        <f t="shared" si="48"/>
        <v>0</v>
      </c>
      <c r="EE104" s="848">
        <f t="shared" si="48"/>
        <v>0</v>
      </c>
      <c r="EF104" s="848">
        <f t="shared" si="48"/>
        <v>0</v>
      </c>
      <c r="EG104" s="848">
        <f t="shared" si="48"/>
        <v>0</v>
      </c>
      <c r="EH104" s="848">
        <f t="shared" ref="EH104:EL104" si="49">EG105</f>
        <v>0</v>
      </c>
      <c r="EI104" s="848">
        <f t="shared" si="49"/>
        <v>0</v>
      </c>
      <c r="EJ104" s="848">
        <f t="shared" si="49"/>
        <v>0</v>
      </c>
      <c r="EK104" s="848">
        <f t="shared" si="49"/>
        <v>0</v>
      </c>
      <c r="EL104" s="848">
        <f t="shared" si="49"/>
        <v>0</v>
      </c>
    </row>
    <row r="105" spans="2:143" s="1007" customFormat="1" ht="13.5">
      <c r="B105" s="1004"/>
      <c r="C105" s="994" t="s">
        <v>955</v>
      </c>
      <c r="D105" s="994"/>
      <c r="F105" s="994"/>
      <c r="G105" s="994"/>
      <c r="H105" s="842">
        <f>SUM(J105:EL105)</f>
        <v>1329414.0018548041</v>
      </c>
      <c r="I105" s="843"/>
      <c r="J105" s="842">
        <f>IF(ABS(SUM(J103:J104))&lt;0.00001,0,SUM(J103:J104))</f>
        <v>0</v>
      </c>
      <c r="K105" s="842">
        <f>IF(ABS(SUM(K103:K104))&lt;0.00001,0,SUM(K103:K104))</f>
        <v>0</v>
      </c>
      <c r="L105" s="842">
        <f t="shared" ref="L105:BW105" si="50">IF(ABS(SUM(L103:L104))&lt;0.00001,0,SUM(L103:L104))</f>
        <v>0</v>
      </c>
      <c r="M105" s="842">
        <f t="shared" si="50"/>
        <v>0</v>
      </c>
      <c r="N105" s="842">
        <f t="shared" si="50"/>
        <v>0</v>
      </c>
      <c r="O105" s="842">
        <f t="shared" si="50"/>
        <v>0</v>
      </c>
      <c r="P105" s="842">
        <f t="shared" si="50"/>
        <v>0</v>
      </c>
      <c r="Q105" s="842">
        <f t="shared" si="50"/>
        <v>0</v>
      </c>
      <c r="R105" s="842">
        <f t="shared" si="50"/>
        <v>0</v>
      </c>
      <c r="S105" s="842">
        <f t="shared" si="50"/>
        <v>0</v>
      </c>
      <c r="T105" s="842">
        <f t="shared" si="50"/>
        <v>0</v>
      </c>
      <c r="U105" s="842">
        <f t="shared" si="50"/>
        <v>0</v>
      </c>
      <c r="V105" s="842">
        <f t="shared" si="50"/>
        <v>0</v>
      </c>
      <c r="W105" s="842">
        <f t="shared" si="50"/>
        <v>0</v>
      </c>
      <c r="X105" s="842">
        <f t="shared" si="50"/>
        <v>0</v>
      </c>
      <c r="Y105" s="842">
        <f t="shared" si="50"/>
        <v>0</v>
      </c>
      <c r="Z105" s="842">
        <f t="shared" si="50"/>
        <v>0</v>
      </c>
      <c r="AA105" s="842">
        <f t="shared" si="50"/>
        <v>0</v>
      </c>
      <c r="AB105" s="842">
        <f t="shared" si="50"/>
        <v>0</v>
      </c>
      <c r="AC105" s="842">
        <f t="shared" si="50"/>
        <v>0</v>
      </c>
      <c r="AD105" s="842">
        <f t="shared" si="50"/>
        <v>0</v>
      </c>
      <c r="AE105" s="842">
        <f t="shared" si="50"/>
        <v>0</v>
      </c>
      <c r="AF105" s="842">
        <f t="shared" si="50"/>
        <v>0</v>
      </c>
      <c r="AG105" s="842">
        <f t="shared" si="50"/>
        <v>0</v>
      </c>
      <c r="AH105" s="842">
        <f t="shared" si="50"/>
        <v>0</v>
      </c>
      <c r="AI105" s="842">
        <f t="shared" si="50"/>
        <v>0</v>
      </c>
      <c r="AJ105" s="842">
        <f t="shared" si="50"/>
        <v>0</v>
      </c>
      <c r="AK105" s="842">
        <f t="shared" si="50"/>
        <v>0</v>
      </c>
      <c r="AL105" s="842">
        <f t="shared" si="50"/>
        <v>18906.621137999929</v>
      </c>
      <c r="AM105" s="842">
        <f t="shared" si="50"/>
        <v>21230.374709130247</v>
      </c>
      <c r="AN105" s="842">
        <f t="shared" si="50"/>
        <v>20129.544000086316</v>
      </c>
      <c r="AO105" s="842">
        <f t="shared" si="50"/>
        <v>14828.781546538568</v>
      </c>
      <c r="AP105" s="842">
        <f t="shared" si="50"/>
        <v>17357.020127905405</v>
      </c>
      <c r="AQ105" s="842">
        <f t="shared" si="50"/>
        <v>15742.433203117422</v>
      </c>
      <c r="AR105" s="842">
        <f t="shared" si="50"/>
        <v>17562.959482670019</v>
      </c>
      <c r="AS105" s="842">
        <f t="shared" si="50"/>
        <v>20096.894268070464</v>
      </c>
      <c r="AT105" s="842">
        <f t="shared" si="50"/>
        <v>33218.656801341829</v>
      </c>
      <c r="AU105" s="842">
        <f t="shared" si="50"/>
        <v>30252.992647544852</v>
      </c>
      <c r="AV105" s="842">
        <f t="shared" si="50"/>
        <v>32813.365002038787</v>
      </c>
      <c r="AW105" s="842">
        <f t="shared" si="50"/>
        <v>29437.40834905938</v>
      </c>
      <c r="AX105" s="842">
        <f t="shared" si="50"/>
        <v>31469.867473737468</v>
      </c>
      <c r="AY105" s="842">
        <f t="shared" si="50"/>
        <v>33976.634261959909</v>
      </c>
      <c r="AZ105" s="842">
        <f t="shared" si="50"/>
        <v>29473.829433733656</v>
      </c>
      <c r="BA105" s="842">
        <f t="shared" si="50"/>
        <v>26870.382330984132</v>
      </c>
      <c r="BB105" s="842">
        <f t="shared" si="50"/>
        <v>29496.235314679674</v>
      </c>
      <c r="BC105" s="842">
        <f t="shared" si="50"/>
        <v>25642.156134757533</v>
      </c>
      <c r="BD105" s="842">
        <f t="shared" si="50"/>
        <v>27785.907746307385</v>
      </c>
      <c r="BE105" s="842">
        <f t="shared" si="50"/>
        <v>30413.668074618185</v>
      </c>
      <c r="BF105" s="842">
        <f t="shared" si="50"/>
        <v>25946.592484758869</v>
      </c>
      <c r="BG105" s="842">
        <f t="shared" si="50"/>
        <v>23040.22448696482</v>
      </c>
      <c r="BH105" s="842">
        <f t="shared" si="50"/>
        <v>25658.097975151988</v>
      </c>
      <c r="BI105" s="842">
        <f t="shared" si="50"/>
        <v>22336.328987563444</v>
      </c>
      <c r="BJ105" s="842">
        <f t="shared" si="50"/>
        <v>24425.616647765859</v>
      </c>
      <c r="BK105" s="842">
        <f t="shared" si="50"/>
        <v>26989.605208985668</v>
      </c>
      <c r="BL105" s="842">
        <f t="shared" si="50"/>
        <v>22508.400052218509</v>
      </c>
      <c r="BM105" s="842">
        <f t="shared" si="50"/>
        <v>19964.353589874845</v>
      </c>
      <c r="BN105" s="842">
        <f t="shared" si="50"/>
        <v>22650.472836565448</v>
      </c>
      <c r="BO105" s="842">
        <f t="shared" si="50"/>
        <v>18833.136380364987</v>
      </c>
      <c r="BP105" s="842">
        <f t="shared" si="50"/>
        <v>21037.35635696556</v>
      </c>
      <c r="BQ105" s="842">
        <f t="shared" si="50"/>
        <v>23725.711026087603</v>
      </c>
      <c r="BR105" s="842">
        <f t="shared" si="50"/>
        <v>10972.107323521641</v>
      </c>
      <c r="BS105" s="842">
        <f t="shared" si="50"/>
        <v>8111.4473773832651</v>
      </c>
      <c r="BT105" s="842">
        <f t="shared" si="50"/>
        <v>10772.873069464513</v>
      </c>
      <c r="BU105" s="842">
        <f t="shared" si="50"/>
        <v>8662.4950919506355</v>
      </c>
      <c r="BV105" s="842">
        <f t="shared" si="50"/>
        <v>10797.02678885762</v>
      </c>
      <c r="BW105" s="842">
        <f t="shared" si="50"/>
        <v>13406.638184615536</v>
      </c>
      <c r="BX105" s="842">
        <f t="shared" ref="BX105:EI105" si="51">IF(ABS(SUM(BX103:BX104))&lt;0.00001,0,SUM(BX103:BX104))</f>
        <v>10105.649968810838</v>
      </c>
      <c r="BY105" s="842">
        <f t="shared" si="51"/>
        <v>6528.8423695042093</v>
      </c>
      <c r="BZ105" s="842">
        <f t="shared" si="51"/>
        <v>9263.8127639037011</v>
      </c>
      <c r="CA105" s="842">
        <f t="shared" si="51"/>
        <v>7344.9315609911246</v>
      </c>
      <c r="CB105" s="842">
        <f t="shared" si="51"/>
        <v>9602.0595736359955</v>
      </c>
      <c r="CC105" s="842">
        <f t="shared" si="51"/>
        <v>12343.43250387743</v>
      </c>
      <c r="CD105" s="842">
        <f t="shared" si="51"/>
        <v>10491.766627723533</v>
      </c>
      <c r="CE105" s="842">
        <f t="shared" si="51"/>
        <v>6618.906709434299</v>
      </c>
      <c r="CF105" s="842">
        <f t="shared" si="51"/>
        <v>9354.0647378753129</v>
      </c>
      <c r="CG105" s="842">
        <f t="shared" si="51"/>
        <v>7314.0007396262126</v>
      </c>
      <c r="CH105" s="842">
        <f t="shared" si="51"/>
        <v>9621.6245638309465</v>
      </c>
      <c r="CI105" s="842">
        <f t="shared" si="51"/>
        <v>12304.983154097094</v>
      </c>
      <c r="CJ105" s="842">
        <f t="shared" si="51"/>
        <v>9040.1068457790025</v>
      </c>
      <c r="CK105" s="842">
        <f t="shared" si="51"/>
        <v>5381.4990745261166</v>
      </c>
      <c r="CL105" s="842">
        <f t="shared" si="51"/>
        <v>12260.549891864104</v>
      </c>
      <c r="CM105" s="842">
        <f t="shared" si="51"/>
        <v>10454.798751941384</v>
      </c>
      <c r="CN105" s="842">
        <f t="shared" si="51"/>
        <v>12930.100284763132</v>
      </c>
      <c r="CO105" s="842">
        <f t="shared" si="51"/>
        <v>15791.373439022724</v>
      </c>
      <c r="CP105" s="842">
        <f t="shared" si="51"/>
        <v>5489.8575790203558</v>
      </c>
      <c r="CQ105" s="842">
        <f t="shared" si="51"/>
        <v>1719.0618503526175</v>
      </c>
      <c r="CR105" s="842">
        <f t="shared" si="51"/>
        <v>4556.9786745405208</v>
      </c>
      <c r="CS105" s="842">
        <f t="shared" si="51"/>
        <v>3852.4941474111297</v>
      </c>
      <c r="CT105" s="842">
        <f t="shared" si="51"/>
        <v>6661.1554862264747</v>
      </c>
      <c r="CU105" s="842">
        <f t="shared" si="51"/>
        <v>9447.8204025934156</v>
      </c>
      <c r="CV105" s="842">
        <f t="shared" si="51"/>
        <v>7483.859575816814</v>
      </c>
      <c r="CW105" s="842">
        <f t="shared" si="51"/>
        <v>4087.7380061924937</v>
      </c>
      <c r="CX105" s="842">
        <f t="shared" si="51"/>
        <v>7010.5433866229505</v>
      </c>
      <c r="CY105" s="842">
        <f t="shared" si="51"/>
        <v>6503.3706076458202</v>
      </c>
      <c r="CZ105" s="842">
        <f t="shared" si="51"/>
        <v>9047.8375372288865</v>
      </c>
      <c r="DA105" s="842">
        <f t="shared" si="51"/>
        <v>11980.976458349003</v>
      </c>
      <c r="DB105" s="842">
        <f t="shared" si="51"/>
        <v>11557.726085554787</v>
      </c>
      <c r="DC105" s="842">
        <f t="shared" si="51"/>
        <v>5766.1245926936708</v>
      </c>
      <c r="DD105" s="842">
        <f t="shared" si="51"/>
        <v>8692.4266118460055</v>
      </c>
      <c r="DE105" s="842">
        <f t="shared" si="51"/>
        <v>8072.7951419432011</v>
      </c>
      <c r="DF105" s="842">
        <f t="shared" si="51"/>
        <v>10568.986748682435</v>
      </c>
      <c r="DG105" s="842">
        <f t="shared" si="51"/>
        <v>13445.839094169627</v>
      </c>
      <c r="DH105" s="842">
        <f t="shared" si="51"/>
        <v>11532.300411471973</v>
      </c>
      <c r="DI105" s="842">
        <f t="shared" si="51"/>
        <v>4426.9415022109688</v>
      </c>
      <c r="DJ105" s="842">
        <f t="shared" si="51"/>
        <v>7435.5976592293646</v>
      </c>
      <c r="DK105" s="842">
        <f t="shared" si="51"/>
        <v>7007.0977788963828</v>
      </c>
      <c r="DL105" s="842">
        <f t="shared" si="51"/>
        <v>9637.7582427241214</v>
      </c>
      <c r="DM105" s="842">
        <f t="shared" si="51"/>
        <v>12657.270267951919</v>
      </c>
      <c r="DN105" s="842">
        <f t="shared" si="51"/>
        <v>12320.572943232275</v>
      </c>
      <c r="DO105" s="842">
        <f t="shared" si="51"/>
        <v>6132.0496841948234</v>
      </c>
      <c r="DP105" s="842">
        <f t="shared" si="51"/>
        <v>9144.2581499256848</v>
      </c>
      <c r="DQ105" s="842">
        <f t="shared" si="51"/>
        <v>8606.9214993332116</v>
      </c>
      <c r="DR105" s="842">
        <f t="shared" si="51"/>
        <v>11188.372086956111</v>
      </c>
      <c r="DS105" s="842">
        <f t="shared" si="51"/>
        <v>14150.986644643537</v>
      </c>
      <c r="DT105" s="842">
        <f t="shared" si="51"/>
        <v>12282.307749995802</v>
      </c>
      <c r="DU105" s="842">
        <f t="shared" si="51"/>
        <v>4751.7053458489281</v>
      </c>
      <c r="DV105" s="842">
        <f t="shared" si="51"/>
        <v>7848.6871927911398</v>
      </c>
      <c r="DW105" s="842">
        <f t="shared" si="51"/>
        <v>7500.6046071347992</v>
      </c>
      <c r="DX105" s="842">
        <f t="shared" si="51"/>
        <v>10219.942308770938</v>
      </c>
      <c r="DY105" s="842">
        <f t="shared" si="51"/>
        <v>13328.316316052571</v>
      </c>
      <c r="DZ105" s="842">
        <f t="shared" si="51"/>
        <v>0</v>
      </c>
      <c r="EA105" s="842">
        <f t="shared" si="51"/>
        <v>0</v>
      </c>
      <c r="EB105" s="842">
        <f t="shared" si="51"/>
        <v>0</v>
      </c>
      <c r="EC105" s="842">
        <f t="shared" si="51"/>
        <v>0</v>
      </c>
      <c r="ED105" s="842">
        <f t="shared" si="51"/>
        <v>0</v>
      </c>
      <c r="EE105" s="842">
        <f t="shared" si="51"/>
        <v>0</v>
      </c>
      <c r="EF105" s="842">
        <f t="shared" si="51"/>
        <v>0</v>
      </c>
      <c r="EG105" s="842">
        <f t="shared" si="51"/>
        <v>0</v>
      </c>
      <c r="EH105" s="842">
        <f t="shared" si="51"/>
        <v>0</v>
      </c>
      <c r="EI105" s="842">
        <f t="shared" si="51"/>
        <v>0</v>
      </c>
      <c r="EJ105" s="842">
        <f t="shared" ref="EJ105:EL105" si="52">IF(ABS(SUM(EJ103:EJ104))&lt;0.00001,0,SUM(EJ103:EJ104))</f>
        <v>0</v>
      </c>
      <c r="EK105" s="842">
        <f t="shared" si="52"/>
        <v>0</v>
      </c>
      <c r="EL105" s="842">
        <f t="shared" si="52"/>
        <v>0</v>
      </c>
    </row>
    <row r="106" spans="2:143">
      <c r="B106" s="1000"/>
      <c r="C106" s="1001"/>
      <c r="D106" s="1001"/>
      <c r="F106" s="1001"/>
      <c r="G106" s="1001"/>
      <c r="H106" s="1067"/>
      <c r="I106" s="833"/>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row>
    <row r="107" spans="2:143" s="833" customFormat="1" ht="13.5">
      <c r="B107" s="1000"/>
      <c r="C107" s="1001" t="s">
        <v>956</v>
      </c>
      <c r="D107" s="1001"/>
      <c r="F107" s="978" t="str">
        <f>IF(H107=0,"OK","Retry")</f>
        <v>OK</v>
      </c>
      <c r="G107" s="1001"/>
      <c r="H107" s="214">
        <f>SUM(J107:EL107)</f>
        <v>0</v>
      </c>
      <c r="J107" s="214">
        <f>(J105&lt;0)*1</f>
        <v>0</v>
      </c>
      <c r="K107" s="214">
        <f>(K105&lt;0)*1</f>
        <v>0</v>
      </c>
      <c r="L107" s="214">
        <f t="shared" ref="L107:BW107" si="53">(L105&lt;0)*1</f>
        <v>0</v>
      </c>
      <c r="M107" s="214">
        <f t="shared" si="53"/>
        <v>0</v>
      </c>
      <c r="N107" s="214">
        <f t="shared" si="53"/>
        <v>0</v>
      </c>
      <c r="O107" s="214">
        <f t="shared" si="53"/>
        <v>0</v>
      </c>
      <c r="P107" s="214">
        <f t="shared" si="53"/>
        <v>0</v>
      </c>
      <c r="Q107" s="214">
        <f t="shared" si="53"/>
        <v>0</v>
      </c>
      <c r="R107" s="214">
        <f t="shared" si="53"/>
        <v>0</v>
      </c>
      <c r="S107" s="214">
        <f t="shared" si="53"/>
        <v>0</v>
      </c>
      <c r="T107" s="214">
        <f t="shared" si="53"/>
        <v>0</v>
      </c>
      <c r="U107" s="214">
        <f t="shared" si="53"/>
        <v>0</v>
      </c>
      <c r="V107" s="214">
        <f t="shared" si="53"/>
        <v>0</v>
      </c>
      <c r="W107" s="214">
        <f t="shared" si="53"/>
        <v>0</v>
      </c>
      <c r="X107" s="214">
        <f t="shared" si="53"/>
        <v>0</v>
      </c>
      <c r="Y107" s="214">
        <f t="shared" si="53"/>
        <v>0</v>
      </c>
      <c r="Z107" s="214">
        <f t="shared" si="53"/>
        <v>0</v>
      </c>
      <c r="AA107" s="214">
        <f t="shared" si="53"/>
        <v>0</v>
      </c>
      <c r="AB107" s="214">
        <f t="shared" si="53"/>
        <v>0</v>
      </c>
      <c r="AC107" s="214">
        <f t="shared" si="53"/>
        <v>0</v>
      </c>
      <c r="AD107" s="214">
        <f t="shared" si="53"/>
        <v>0</v>
      </c>
      <c r="AE107" s="214">
        <f t="shared" si="53"/>
        <v>0</v>
      </c>
      <c r="AF107" s="214">
        <f t="shared" si="53"/>
        <v>0</v>
      </c>
      <c r="AG107" s="214">
        <f t="shared" si="53"/>
        <v>0</v>
      </c>
      <c r="AH107" s="214">
        <f t="shared" si="53"/>
        <v>0</v>
      </c>
      <c r="AI107" s="214">
        <f t="shared" si="53"/>
        <v>0</v>
      </c>
      <c r="AJ107" s="214">
        <f t="shared" si="53"/>
        <v>0</v>
      </c>
      <c r="AK107" s="214">
        <f t="shared" si="53"/>
        <v>0</v>
      </c>
      <c r="AL107" s="214">
        <f t="shared" si="53"/>
        <v>0</v>
      </c>
      <c r="AM107" s="214">
        <f t="shared" si="53"/>
        <v>0</v>
      </c>
      <c r="AN107" s="214">
        <f t="shared" si="53"/>
        <v>0</v>
      </c>
      <c r="AO107" s="214">
        <f t="shared" si="53"/>
        <v>0</v>
      </c>
      <c r="AP107" s="214">
        <f t="shared" si="53"/>
        <v>0</v>
      </c>
      <c r="AQ107" s="214">
        <f t="shared" si="53"/>
        <v>0</v>
      </c>
      <c r="AR107" s="214">
        <f t="shared" si="53"/>
        <v>0</v>
      </c>
      <c r="AS107" s="214">
        <f t="shared" si="53"/>
        <v>0</v>
      </c>
      <c r="AT107" s="214">
        <f t="shared" si="53"/>
        <v>0</v>
      </c>
      <c r="AU107" s="214">
        <f t="shared" si="53"/>
        <v>0</v>
      </c>
      <c r="AV107" s="214">
        <f t="shared" si="53"/>
        <v>0</v>
      </c>
      <c r="AW107" s="214">
        <f t="shared" si="53"/>
        <v>0</v>
      </c>
      <c r="AX107" s="214">
        <f t="shared" si="53"/>
        <v>0</v>
      </c>
      <c r="AY107" s="214">
        <f t="shared" si="53"/>
        <v>0</v>
      </c>
      <c r="AZ107" s="214">
        <f t="shared" si="53"/>
        <v>0</v>
      </c>
      <c r="BA107" s="214">
        <f t="shared" si="53"/>
        <v>0</v>
      </c>
      <c r="BB107" s="214">
        <f t="shared" si="53"/>
        <v>0</v>
      </c>
      <c r="BC107" s="214">
        <f t="shared" si="53"/>
        <v>0</v>
      </c>
      <c r="BD107" s="214">
        <f t="shared" si="53"/>
        <v>0</v>
      </c>
      <c r="BE107" s="214">
        <f t="shared" si="53"/>
        <v>0</v>
      </c>
      <c r="BF107" s="214">
        <f t="shared" si="53"/>
        <v>0</v>
      </c>
      <c r="BG107" s="214">
        <f t="shared" si="53"/>
        <v>0</v>
      </c>
      <c r="BH107" s="214">
        <f t="shared" si="53"/>
        <v>0</v>
      </c>
      <c r="BI107" s="214">
        <f t="shared" si="53"/>
        <v>0</v>
      </c>
      <c r="BJ107" s="214">
        <f t="shared" si="53"/>
        <v>0</v>
      </c>
      <c r="BK107" s="214">
        <f t="shared" si="53"/>
        <v>0</v>
      </c>
      <c r="BL107" s="214">
        <f t="shared" si="53"/>
        <v>0</v>
      </c>
      <c r="BM107" s="214">
        <f t="shared" si="53"/>
        <v>0</v>
      </c>
      <c r="BN107" s="214">
        <f t="shared" si="53"/>
        <v>0</v>
      </c>
      <c r="BO107" s="214">
        <f t="shared" si="53"/>
        <v>0</v>
      </c>
      <c r="BP107" s="214">
        <f t="shared" si="53"/>
        <v>0</v>
      </c>
      <c r="BQ107" s="214">
        <f t="shared" si="53"/>
        <v>0</v>
      </c>
      <c r="BR107" s="214">
        <f t="shared" si="53"/>
        <v>0</v>
      </c>
      <c r="BS107" s="214">
        <f t="shared" si="53"/>
        <v>0</v>
      </c>
      <c r="BT107" s="214">
        <f t="shared" si="53"/>
        <v>0</v>
      </c>
      <c r="BU107" s="214">
        <f t="shared" si="53"/>
        <v>0</v>
      </c>
      <c r="BV107" s="214">
        <f t="shared" si="53"/>
        <v>0</v>
      </c>
      <c r="BW107" s="214">
        <f t="shared" si="53"/>
        <v>0</v>
      </c>
      <c r="BX107" s="214">
        <f t="shared" ref="BX107:EI107" si="54">(BX105&lt;0)*1</f>
        <v>0</v>
      </c>
      <c r="BY107" s="214">
        <f t="shared" si="54"/>
        <v>0</v>
      </c>
      <c r="BZ107" s="214">
        <f t="shared" si="54"/>
        <v>0</v>
      </c>
      <c r="CA107" s="214">
        <f t="shared" si="54"/>
        <v>0</v>
      </c>
      <c r="CB107" s="214">
        <f t="shared" si="54"/>
        <v>0</v>
      </c>
      <c r="CC107" s="214">
        <f t="shared" si="54"/>
        <v>0</v>
      </c>
      <c r="CD107" s="214">
        <f t="shared" si="54"/>
        <v>0</v>
      </c>
      <c r="CE107" s="214">
        <f t="shared" si="54"/>
        <v>0</v>
      </c>
      <c r="CF107" s="214">
        <f t="shared" si="54"/>
        <v>0</v>
      </c>
      <c r="CG107" s="214">
        <f t="shared" si="54"/>
        <v>0</v>
      </c>
      <c r="CH107" s="214">
        <f t="shared" si="54"/>
        <v>0</v>
      </c>
      <c r="CI107" s="214">
        <f t="shared" si="54"/>
        <v>0</v>
      </c>
      <c r="CJ107" s="214">
        <f t="shared" si="54"/>
        <v>0</v>
      </c>
      <c r="CK107" s="214">
        <f t="shared" si="54"/>
        <v>0</v>
      </c>
      <c r="CL107" s="214">
        <f t="shared" si="54"/>
        <v>0</v>
      </c>
      <c r="CM107" s="214">
        <f t="shared" si="54"/>
        <v>0</v>
      </c>
      <c r="CN107" s="214">
        <f t="shared" si="54"/>
        <v>0</v>
      </c>
      <c r="CO107" s="214">
        <f t="shared" si="54"/>
        <v>0</v>
      </c>
      <c r="CP107" s="214">
        <f t="shared" si="54"/>
        <v>0</v>
      </c>
      <c r="CQ107" s="214">
        <f t="shared" si="54"/>
        <v>0</v>
      </c>
      <c r="CR107" s="214">
        <f t="shared" si="54"/>
        <v>0</v>
      </c>
      <c r="CS107" s="214">
        <f t="shared" si="54"/>
        <v>0</v>
      </c>
      <c r="CT107" s="214">
        <f t="shared" si="54"/>
        <v>0</v>
      </c>
      <c r="CU107" s="214">
        <f t="shared" si="54"/>
        <v>0</v>
      </c>
      <c r="CV107" s="214">
        <f t="shared" si="54"/>
        <v>0</v>
      </c>
      <c r="CW107" s="214">
        <f t="shared" si="54"/>
        <v>0</v>
      </c>
      <c r="CX107" s="214">
        <f t="shared" si="54"/>
        <v>0</v>
      </c>
      <c r="CY107" s="214">
        <f t="shared" si="54"/>
        <v>0</v>
      </c>
      <c r="CZ107" s="214">
        <f t="shared" si="54"/>
        <v>0</v>
      </c>
      <c r="DA107" s="214">
        <f t="shared" si="54"/>
        <v>0</v>
      </c>
      <c r="DB107" s="214">
        <f t="shared" si="54"/>
        <v>0</v>
      </c>
      <c r="DC107" s="214">
        <f t="shared" si="54"/>
        <v>0</v>
      </c>
      <c r="DD107" s="214">
        <f t="shared" si="54"/>
        <v>0</v>
      </c>
      <c r="DE107" s="214">
        <f t="shared" si="54"/>
        <v>0</v>
      </c>
      <c r="DF107" s="214">
        <f t="shared" si="54"/>
        <v>0</v>
      </c>
      <c r="DG107" s="214">
        <f t="shared" si="54"/>
        <v>0</v>
      </c>
      <c r="DH107" s="214">
        <f t="shared" si="54"/>
        <v>0</v>
      </c>
      <c r="DI107" s="214">
        <f t="shared" si="54"/>
        <v>0</v>
      </c>
      <c r="DJ107" s="214">
        <f t="shared" si="54"/>
        <v>0</v>
      </c>
      <c r="DK107" s="214">
        <f t="shared" si="54"/>
        <v>0</v>
      </c>
      <c r="DL107" s="214">
        <f t="shared" si="54"/>
        <v>0</v>
      </c>
      <c r="DM107" s="214">
        <f t="shared" si="54"/>
        <v>0</v>
      </c>
      <c r="DN107" s="214">
        <f t="shared" si="54"/>
        <v>0</v>
      </c>
      <c r="DO107" s="214">
        <f t="shared" si="54"/>
        <v>0</v>
      </c>
      <c r="DP107" s="214">
        <f t="shared" si="54"/>
        <v>0</v>
      </c>
      <c r="DQ107" s="214">
        <f t="shared" si="54"/>
        <v>0</v>
      </c>
      <c r="DR107" s="214">
        <f t="shared" si="54"/>
        <v>0</v>
      </c>
      <c r="DS107" s="214">
        <f t="shared" si="54"/>
        <v>0</v>
      </c>
      <c r="DT107" s="214">
        <f t="shared" si="54"/>
        <v>0</v>
      </c>
      <c r="DU107" s="214">
        <f t="shared" si="54"/>
        <v>0</v>
      </c>
      <c r="DV107" s="214">
        <f t="shared" si="54"/>
        <v>0</v>
      </c>
      <c r="DW107" s="214">
        <f t="shared" si="54"/>
        <v>0</v>
      </c>
      <c r="DX107" s="214">
        <f t="shared" si="54"/>
        <v>0</v>
      </c>
      <c r="DY107" s="214">
        <f t="shared" si="54"/>
        <v>0</v>
      </c>
      <c r="DZ107" s="214">
        <f t="shared" si="54"/>
        <v>0</v>
      </c>
      <c r="EA107" s="214">
        <f t="shared" si="54"/>
        <v>0</v>
      </c>
      <c r="EB107" s="214">
        <f t="shared" si="54"/>
        <v>0</v>
      </c>
      <c r="EC107" s="214">
        <f t="shared" si="54"/>
        <v>0</v>
      </c>
      <c r="ED107" s="214">
        <f t="shared" si="54"/>
        <v>0</v>
      </c>
      <c r="EE107" s="214">
        <f t="shared" si="54"/>
        <v>0</v>
      </c>
      <c r="EF107" s="214">
        <f t="shared" si="54"/>
        <v>0</v>
      </c>
      <c r="EG107" s="214">
        <f t="shared" si="54"/>
        <v>0</v>
      </c>
      <c r="EH107" s="214">
        <f t="shared" si="54"/>
        <v>0</v>
      </c>
      <c r="EI107" s="214">
        <f t="shared" si="54"/>
        <v>0</v>
      </c>
      <c r="EJ107" s="214">
        <f t="shared" ref="EJ107:EL107" si="55">(EJ105&lt;0)*1</f>
        <v>0</v>
      </c>
      <c r="EK107" s="214">
        <f t="shared" si="55"/>
        <v>0</v>
      </c>
      <c r="EL107" s="214">
        <f t="shared" si="55"/>
        <v>0</v>
      </c>
      <c r="EM107" s="835"/>
    </row>
    <row r="108" spans="2:143">
      <c r="B108" s="1013"/>
      <c r="C108" s="1014"/>
      <c r="D108" s="1014"/>
      <c r="E108" s="1014"/>
      <c r="F108" s="1014"/>
      <c r="G108" s="1014"/>
      <c r="H108" s="217"/>
      <c r="I108" s="833"/>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c r="CW108" s="217"/>
      <c r="CX108" s="217"/>
      <c r="CY108" s="217"/>
      <c r="CZ108" s="217"/>
      <c r="DA108" s="217"/>
      <c r="DB108" s="217"/>
      <c r="DC108" s="217"/>
      <c r="DD108" s="217"/>
      <c r="DE108" s="217"/>
      <c r="DF108" s="217"/>
      <c r="DG108" s="217"/>
      <c r="DH108" s="217"/>
      <c r="DI108" s="217"/>
      <c r="DJ108" s="217"/>
      <c r="DK108" s="217"/>
      <c r="DL108" s="217"/>
      <c r="DM108" s="217"/>
      <c r="DN108" s="217"/>
      <c r="DO108" s="217"/>
      <c r="DP108" s="217"/>
      <c r="DQ108" s="217"/>
      <c r="DR108" s="217"/>
      <c r="DS108" s="217"/>
      <c r="DT108" s="217"/>
      <c r="DU108" s="217"/>
      <c r="DV108" s="217"/>
      <c r="DW108" s="217"/>
      <c r="DX108" s="217"/>
      <c r="DY108" s="217"/>
      <c r="DZ108" s="217"/>
      <c r="EA108" s="217"/>
      <c r="EB108" s="217"/>
      <c r="EC108" s="217"/>
      <c r="ED108" s="217"/>
      <c r="EE108" s="217"/>
      <c r="EF108" s="217"/>
      <c r="EG108" s="217"/>
      <c r="EH108" s="217"/>
      <c r="EI108" s="217"/>
      <c r="EJ108" s="217"/>
      <c r="EK108" s="217"/>
      <c r="EL108" s="217"/>
    </row>
    <row r="109" spans="2:143">
      <c r="B109" s="1073"/>
      <c r="C109" s="1073"/>
      <c r="D109" s="1073"/>
      <c r="E109" s="1073"/>
      <c r="F109" s="1073"/>
      <c r="G109" s="1073"/>
      <c r="H109" s="1073"/>
      <c r="I109" s="833"/>
      <c r="J109" s="1074"/>
      <c r="K109" s="1074"/>
      <c r="L109" s="1074"/>
      <c r="M109" s="1074"/>
      <c r="N109" s="1074"/>
      <c r="O109" s="1074"/>
      <c r="P109" s="1074"/>
      <c r="Q109" s="1074"/>
      <c r="R109" s="1074"/>
      <c r="S109" s="1074"/>
      <c r="T109" s="1074"/>
      <c r="U109" s="1074"/>
      <c r="V109" s="1074"/>
      <c r="W109" s="1074"/>
      <c r="X109" s="1074"/>
      <c r="Y109" s="1074"/>
      <c r="Z109" s="1074"/>
      <c r="AA109" s="1074"/>
      <c r="AB109" s="1074"/>
      <c r="AC109" s="1074"/>
      <c r="AD109" s="1074"/>
      <c r="AE109" s="1074"/>
      <c r="AF109" s="1074"/>
      <c r="AG109" s="1074"/>
      <c r="AH109" s="1074"/>
      <c r="AI109" s="1074"/>
      <c r="AJ109" s="1074"/>
      <c r="AK109" s="1074"/>
      <c r="AL109" s="1074"/>
      <c r="AM109" s="1074"/>
      <c r="AN109" s="1074"/>
      <c r="AO109" s="1074"/>
      <c r="AP109" s="1074"/>
      <c r="AQ109" s="1074"/>
      <c r="AR109" s="1074"/>
      <c r="AS109" s="1074"/>
      <c r="AT109" s="1074"/>
      <c r="AU109" s="1074"/>
      <c r="AV109" s="1074"/>
      <c r="AW109" s="1074"/>
      <c r="AX109" s="1074"/>
      <c r="AY109" s="1074"/>
      <c r="AZ109" s="1074"/>
      <c r="BA109" s="1074"/>
      <c r="BB109" s="1074"/>
      <c r="BC109" s="1074"/>
      <c r="BD109" s="1074"/>
      <c r="BE109" s="1074"/>
      <c r="BF109" s="1074"/>
      <c r="BG109" s="1074"/>
      <c r="BH109" s="1074"/>
      <c r="BI109" s="1074"/>
      <c r="BJ109" s="1074"/>
      <c r="BK109" s="1074"/>
      <c r="BL109" s="1074"/>
      <c r="BM109" s="1074"/>
      <c r="BN109" s="1074"/>
      <c r="BO109" s="1074"/>
      <c r="BP109" s="1074"/>
      <c r="BQ109" s="1074"/>
      <c r="BR109" s="1074"/>
      <c r="BS109" s="1074"/>
      <c r="BT109" s="1074"/>
      <c r="BU109" s="1074"/>
      <c r="BV109" s="1074"/>
      <c r="BW109" s="1074"/>
      <c r="BX109" s="1074"/>
      <c r="BY109" s="1074"/>
      <c r="BZ109" s="1074"/>
      <c r="CA109" s="1074"/>
      <c r="CB109" s="1074"/>
      <c r="CC109" s="1074"/>
      <c r="CD109" s="1074"/>
      <c r="CE109" s="1074"/>
      <c r="CF109" s="1074"/>
      <c r="CG109" s="1074"/>
      <c r="CH109" s="1074"/>
      <c r="CI109" s="1074"/>
      <c r="CJ109" s="1074"/>
      <c r="CK109" s="1074"/>
      <c r="CL109" s="1074"/>
      <c r="CM109" s="1074"/>
      <c r="CN109" s="1074"/>
      <c r="CO109" s="1074"/>
      <c r="CP109" s="1074"/>
      <c r="CQ109" s="1074"/>
      <c r="CR109" s="1074"/>
      <c r="CS109" s="1074"/>
      <c r="CT109" s="1074"/>
      <c r="CU109" s="1074"/>
      <c r="CV109" s="1074"/>
      <c r="CW109" s="1074"/>
      <c r="CX109" s="1074"/>
      <c r="CY109" s="1074"/>
      <c r="CZ109" s="1074"/>
      <c r="DA109" s="1074"/>
      <c r="DB109" s="1074"/>
      <c r="DC109" s="1074"/>
      <c r="DD109" s="1074"/>
      <c r="DE109" s="1074"/>
      <c r="DF109" s="1074"/>
      <c r="DG109" s="1074"/>
      <c r="DH109" s="1074"/>
      <c r="DI109" s="1074"/>
      <c r="DJ109" s="1074"/>
      <c r="DK109" s="1074"/>
      <c r="DL109" s="1074"/>
      <c r="DM109" s="1074"/>
      <c r="DN109" s="1074"/>
      <c r="DO109" s="1074"/>
      <c r="DP109" s="1074"/>
      <c r="DQ109" s="1074"/>
      <c r="DR109" s="1074"/>
      <c r="DS109" s="1074"/>
      <c r="DT109" s="1074"/>
      <c r="DU109" s="1074"/>
      <c r="DV109" s="1074"/>
      <c r="DW109" s="1074"/>
      <c r="DX109" s="1074"/>
      <c r="DY109" s="1074"/>
      <c r="DZ109" s="1074"/>
      <c r="EA109" s="1074"/>
      <c r="EB109" s="1074"/>
      <c r="EC109" s="1074"/>
      <c r="ED109" s="1074"/>
      <c r="EE109" s="1074"/>
      <c r="EF109" s="1074"/>
      <c r="EG109" s="1074"/>
      <c r="EH109" s="1074"/>
      <c r="EI109" s="1074"/>
      <c r="EJ109" s="1074"/>
      <c r="EK109" s="1074"/>
      <c r="EL109" s="1074"/>
    </row>
    <row r="110" spans="2:143" s="833" customFormat="1">
      <c r="B110" s="1000"/>
      <c r="C110" s="1001"/>
      <c r="D110" s="1001"/>
      <c r="E110" s="1001"/>
      <c r="F110" s="1008"/>
      <c r="G110" s="1001"/>
      <c r="H110" s="214"/>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N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214"/>
      <c r="DN110" s="214"/>
      <c r="DO110" s="214"/>
      <c r="DP110" s="214"/>
      <c r="DQ110" s="214"/>
      <c r="DR110" s="214"/>
      <c r="DS110" s="214"/>
      <c r="DT110" s="214"/>
      <c r="DU110" s="214"/>
      <c r="DV110" s="214"/>
      <c r="DW110" s="214"/>
      <c r="DX110" s="214"/>
      <c r="DY110" s="214"/>
      <c r="DZ110" s="214"/>
      <c r="EA110" s="214"/>
      <c r="EB110" s="214"/>
      <c r="EC110" s="214"/>
      <c r="ED110" s="214"/>
      <c r="EE110" s="214"/>
      <c r="EF110" s="214"/>
      <c r="EG110" s="214"/>
      <c r="EH110" s="214"/>
      <c r="EI110" s="214"/>
      <c r="EJ110" s="214"/>
      <c r="EK110" s="214"/>
      <c r="EL110" s="214"/>
    </row>
    <row r="111" spans="2:143" s="833" customFormat="1" ht="13.5">
      <c r="B111" s="1000"/>
      <c r="C111" s="1001"/>
      <c r="D111" s="1075" t="s">
        <v>2068</v>
      </c>
      <c r="E111" s="1001"/>
      <c r="F111" s="1076"/>
      <c r="G111" s="917">
        <f>H112</f>
        <v>46965</v>
      </c>
      <c r="H111" s="848">
        <f>MIN(J111:EL111)</f>
        <v>1719.0618503526175</v>
      </c>
      <c r="J111" s="848" t="str">
        <f>IF((J$7&gt;=$G$5)*(J$7&lt;$G$7),J105,"")</f>
        <v/>
      </c>
      <c r="K111" s="848" t="str">
        <f t="shared" ref="K111:BV111" si="56">IF((K$7&gt;=$G$5)*(K$7&lt;$G$7),K105,"")</f>
        <v/>
      </c>
      <c r="L111" s="848" t="str">
        <f t="shared" si="56"/>
        <v/>
      </c>
      <c r="M111" s="848" t="str">
        <f t="shared" si="56"/>
        <v/>
      </c>
      <c r="N111" s="848" t="str">
        <f t="shared" si="56"/>
        <v/>
      </c>
      <c r="O111" s="848" t="str">
        <f t="shared" si="56"/>
        <v/>
      </c>
      <c r="P111" s="848" t="str">
        <f t="shared" si="56"/>
        <v/>
      </c>
      <c r="Q111" s="848" t="str">
        <f t="shared" si="56"/>
        <v/>
      </c>
      <c r="R111" s="848" t="str">
        <f t="shared" si="56"/>
        <v/>
      </c>
      <c r="S111" s="848" t="str">
        <f t="shared" si="56"/>
        <v/>
      </c>
      <c r="T111" s="848" t="str">
        <f t="shared" si="56"/>
        <v/>
      </c>
      <c r="U111" s="848" t="str">
        <f t="shared" si="56"/>
        <v/>
      </c>
      <c r="V111" s="848" t="str">
        <f t="shared" si="56"/>
        <v/>
      </c>
      <c r="W111" s="848" t="str">
        <f t="shared" si="56"/>
        <v/>
      </c>
      <c r="X111" s="848" t="str">
        <f t="shared" si="56"/>
        <v/>
      </c>
      <c r="Y111" s="848" t="str">
        <f t="shared" si="56"/>
        <v/>
      </c>
      <c r="Z111" s="848" t="str">
        <f t="shared" si="56"/>
        <v/>
      </c>
      <c r="AA111" s="848" t="str">
        <f t="shared" si="56"/>
        <v/>
      </c>
      <c r="AB111" s="848" t="str">
        <f t="shared" si="56"/>
        <v/>
      </c>
      <c r="AC111" s="848" t="str">
        <f t="shared" si="56"/>
        <v/>
      </c>
      <c r="AD111" s="848" t="str">
        <f t="shared" si="56"/>
        <v/>
      </c>
      <c r="AE111" s="848" t="str">
        <f t="shared" si="56"/>
        <v/>
      </c>
      <c r="AF111" s="848" t="str">
        <f t="shared" si="56"/>
        <v/>
      </c>
      <c r="AG111" s="848" t="str">
        <f t="shared" si="56"/>
        <v/>
      </c>
      <c r="AH111" s="848" t="str">
        <f t="shared" si="56"/>
        <v/>
      </c>
      <c r="AI111" s="848" t="str">
        <f t="shared" si="56"/>
        <v/>
      </c>
      <c r="AJ111" s="848" t="str">
        <f t="shared" si="56"/>
        <v/>
      </c>
      <c r="AK111" s="848" t="str">
        <f t="shared" si="56"/>
        <v/>
      </c>
      <c r="AL111" s="848">
        <f t="shared" si="56"/>
        <v>18906.621137999929</v>
      </c>
      <c r="AM111" s="848">
        <f t="shared" si="56"/>
        <v>21230.374709130247</v>
      </c>
      <c r="AN111" s="848">
        <f t="shared" si="56"/>
        <v>20129.544000086316</v>
      </c>
      <c r="AO111" s="848">
        <f t="shared" si="56"/>
        <v>14828.781546538568</v>
      </c>
      <c r="AP111" s="848">
        <f t="shared" si="56"/>
        <v>17357.020127905405</v>
      </c>
      <c r="AQ111" s="848">
        <f t="shared" si="56"/>
        <v>15742.433203117422</v>
      </c>
      <c r="AR111" s="848">
        <f t="shared" si="56"/>
        <v>17562.959482670019</v>
      </c>
      <c r="AS111" s="848">
        <f t="shared" si="56"/>
        <v>20096.894268070464</v>
      </c>
      <c r="AT111" s="848">
        <f t="shared" si="56"/>
        <v>33218.656801341829</v>
      </c>
      <c r="AU111" s="848">
        <f t="shared" si="56"/>
        <v>30252.992647544852</v>
      </c>
      <c r="AV111" s="848">
        <f t="shared" si="56"/>
        <v>32813.365002038787</v>
      </c>
      <c r="AW111" s="848">
        <f t="shared" si="56"/>
        <v>29437.40834905938</v>
      </c>
      <c r="AX111" s="848">
        <f t="shared" si="56"/>
        <v>31469.867473737468</v>
      </c>
      <c r="AY111" s="848">
        <f t="shared" si="56"/>
        <v>33976.634261959909</v>
      </c>
      <c r="AZ111" s="848">
        <f t="shared" si="56"/>
        <v>29473.829433733656</v>
      </c>
      <c r="BA111" s="848">
        <f t="shared" si="56"/>
        <v>26870.382330984132</v>
      </c>
      <c r="BB111" s="848">
        <f t="shared" si="56"/>
        <v>29496.235314679674</v>
      </c>
      <c r="BC111" s="848">
        <f t="shared" si="56"/>
        <v>25642.156134757533</v>
      </c>
      <c r="BD111" s="848">
        <f t="shared" si="56"/>
        <v>27785.907746307385</v>
      </c>
      <c r="BE111" s="848">
        <f t="shared" si="56"/>
        <v>30413.668074618185</v>
      </c>
      <c r="BF111" s="848">
        <f t="shared" si="56"/>
        <v>25946.592484758869</v>
      </c>
      <c r="BG111" s="848">
        <f t="shared" si="56"/>
        <v>23040.22448696482</v>
      </c>
      <c r="BH111" s="848">
        <f t="shared" si="56"/>
        <v>25658.097975151988</v>
      </c>
      <c r="BI111" s="848">
        <f t="shared" si="56"/>
        <v>22336.328987563444</v>
      </c>
      <c r="BJ111" s="848">
        <f t="shared" si="56"/>
        <v>24425.616647765859</v>
      </c>
      <c r="BK111" s="848">
        <f t="shared" si="56"/>
        <v>26989.605208985668</v>
      </c>
      <c r="BL111" s="848">
        <f t="shared" si="56"/>
        <v>22508.400052218509</v>
      </c>
      <c r="BM111" s="848">
        <f t="shared" si="56"/>
        <v>19964.353589874845</v>
      </c>
      <c r="BN111" s="848">
        <f t="shared" si="56"/>
        <v>22650.472836565448</v>
      </c>
      <c r="BO111" s="848">
        <f t="shared" si="56"/>
        <v>18833.136380364987</v>
      </c>
      <c r="BP111" s="848">
        <f t="shared" si="56"/>
        <v>21037.35635696556</v>
      </c>
      <c r="BQ111" s="848">
        <f t="shared" si="56"/>
        <v>23725.711026087603</v>
      </c>
      <c r="BR111" s="848">
        <f t="shared" si="56"/>
        <v>10972.107323521641</v>
      </c>
      <c r="BS111" s="848">
        <f t="shared" si="56"/>
        <v>8111.4473773832651</v>
      </c>
      <c r="BT111" s="848">
        <f t="shared" si="56"/>
        <v>10772.873069464513</v>
      </c>
      <c r="BU111" s="848">
        <f t="shared" si="56"/>
        <v>8662.4950919506355</v>
      </c>
      <c r="BV111" s="848">
        <f t="shared" si="56"/>
        <v>10797.02678885762</v>
      </c>
      <c r="BW111" s="848">
        <f t="shared" ref="BW111:EH111" si="57">IF((BW$7&gt;=$G$5)*(BW$7&lt;$G$7),BW105,"")</f>
        <v>13406.638184615536</v>
      </c>
      <c r="BX111" s="848">
        <f t="shared" si="57"/>
        <v>10105.649968810838</v>
      </c>
      <c r="BY111" s="848">
        <f t="shared" si="57"/>
        <v>6528.8423695042093</v>
      </c>
      <c r="BZ111" s="848">
        <f t="shared" si="57"/>
        <v>9263.8127639037011</v>
      </c>
      <c r="CA111" s="848">
        <f t="shared" si="57"/>
        <v>7344.9315609911246</v>
      </c>
      <c r="CB111" s="848">
        <f t="shared" si="57"/>
        <v>9602.0595736359955</v>
      </c>
      <c r="CC111" s="848">
        <f t="shared" si="57"/>
        <v>12343.43250387743</v>
      </c>
      <c r="CD111" s="848">
        <f t="shared" si="57"/>
        <v>10491.766627723533</v>
      </c>
      <c r="CE111" s="848">
        <f t="shared" si="57"/>
        <v>6618.906709434299</v>
      </c>
      <c r="CF111" s="848">
        <f t="shared" si="57"/>
        <v>9354.0647378753129</v>
      </c>
      <c r="CG111" s="848">
        <f t="shared" si="57"/>
        <v>7314.0007396262126</v>
      </c>
      <c r="CH111" s="848">
        <f t="shared" si="57"/>
        <v>9621.6245638309465</v>
      </c>
      <c r="CI111" s="848">
        <f t="shared" si="57"/>
        <v>12304.983154097094</v>
      </c>
      <c r="CJ111" s="848">
        <f t="shared" si="57"/>
        <v>9040.1068457790025</v>
      </c>
      <c r="CK111" s="848">
        <f t="shared" si="57"/>
        <v>5381.4990745261166</v>
      </c>
      <c r="CL111" s="848">
        <f t="shared" si="57"/>
        <v>12260.549891864104</v>
      </c>
      <c r="CM111" s="848">
        <f t="shared" si="57"/>
        <v>10454.798751941384</v>
      </c>
      <c r="CN111" s="848">
        <f t="shared" si="57"/>
        <v>12930.100284763132</v>
      </c>
      <c r="CO111" s="848">
        <f t="shared" si="57"/>
        <v>15791.373439022724</v>
      </c>
      <c r="CP111" s="848">
        <f t="shared" si="57"/>
        <v>5489.8575790203558</v>
      </c>
      <c r="CQ111" s="848">
        <f t="shared" si="57"/>
        <v>1719.0618503526175</v>
      </c>
      <c r="CR111" s="848">
        <f t="shared" si="57"/>
        <v>4556.9786745405208</v>
      </c>
      <c r="CS111" s="848">
        <f t="shared" si="57"/>
        <v>3852.4941474111297</v>
      </c>
      <c r="CT111" s="848">
        <f t="shared" si="57"/>
        <v>6661.1554862264747</v>
      </c>
      <c r="CU111" s="848">
        <f t="shared" si="57"/>
        <v>9447.8204025934156</v>
      </c>
      <c r="CV111" s="848">
        <f t="shared" si="57"/>
        <v>7483.859575816814</v>
      </c>
      <c r="CW111" s="848">
        <f t="shared" si="57"/>
        <v>4087.7380061924937</v>
      </c>
      <c r="CX111" s="848">
        <f t="shared" si="57"/>
        <v>7010.5433866229505</v>
      </c>
      <c r="CY111" s="848">
        <f t="shared" si="57"/>
        <v>6503.3706076458202</v>
      </c>
      <c r="CZ111" s="848">
        <f t="shared" si="57"/>
        <v>9047.8375372288865</v>
      </c>
      <c r="DA111" s="848">
        <f t="shared" si="57"/>
        <v>11980.976458349003</v>
      </c>
      <c r="DB111" s="848">
        <f t="shared" si="57"/>
        <v>11557.726085554787</v>
      </c>
      <c r="DC111" s="848">
        <f t="shared" si="57"/>
        <v>5766.1245926936708</v>
      </c>
      <c r="DD111" s="848">
        <f t="shared" si="57"/>
        <v>8692.4266118460055</v>
      </c>
      <c r="DE111" s="848">
        <f t="shared" si="57"/>
        <v>8072.7951419432011</v>
      </c>
      <c r="DF111" s="848">
        <f t="shared" si="57"/>
        <v>10568.986748682435</v>
      </c>
      <c r="DG111" s="848">
        <f t="shared" si="57"/>
        <v>13445.839094169627</v>
      </c>
      <c r="DH111" s="848">
        <f t="shared" si="57"/>
        <v>11532.300411471973</v>
      </c>
      <c r="DI111" s="848">
        <f t="shared" si="57"/>
        <v>4426.9415022109688</v>
      </c>
      <c r="DJ111" s="848">
        <f t="shared" si="57"/>
        <v>7435.5976592293646</v>
      </c>
      <c r="DK111" s="848">
        <f t="shared" si="57"/>
        <v>7007.0977788963828</v>
      </c>
      <c r="DL111" s="848">
        <f t="shared" si="57"/>
        <v>9637.7582427241214</v>
      </c>
      <c r="DM111" s="848">
        <f t="shared" si="57"/>
        <v>12657.270267951919</v>
      </c>
      <c r="DN111" s="848">
        <f t="shared" si="57"/>
        <v>12320.572943232275</v>
      </c>
      <c r="DO111" s="848">
        <f t="shared" si="57"/>
        <v>6132.0496841948234</v>
      </c>
      <c r="DP111" s="848">
        <f t="shared" si="57"/>
        <v>9144.2581499256848</v>
      </c>
      <c r="DQ111" s="848">
        <f t="shared" si="57"/>
        <v>8606.9214993332116</v>
      </c>
      <c r="DR111" s="848">
        <f t="shared" si="57"/>
        <v>11188.372086956111</v>
      </c>
      <c r="DS111" s="848">
        <f t="shared" si="57"/>
        <v>14150.986644643537</v>
      </c>
      <c r="DT111" s="848">
        <f t="shared" si="57"/>
        <v>12282.307749995802</v>
      </c>
      <c r="DU111" s="848">
        <f t="shared" si="57"/>
        <v>4751.7053458489281</v>
      </c>
      <c r="DV111" s="848">
        <f t="shared" si="57"/>
        <v>7848.6871927911398</v>
      </c>
      <c r="DW111" s="848">
        <f t="shared" si="57"/>
        <v>7500.6046071347992</v>
      </c>
      <c r="DX111" s="848">
        <f t="shared" si="57"/>
        <v>10219.942308770938</v>
      </c>
      <c r="DY111" s="848">
        <f t="shared" si="57"/>
        <v>13328.316316052571</v>
      </c>
      <c r="DZ111" s="848" t="str">
        <f t="shared" si="57"/>
        <v/>
      </c>
      <c r="EA111" s="848" t="str">
        <f t="shared" si="57"/>
        <v/>
      </c>
      <c r="EB111" s="848" t="str">
        <f t="shared" si="57"/>
        <v/>
      </c>
      <c r="EC111" s="848" t="str">
        <f t="shared" si="57"/>
        <v/>
      </c>
      <c r="ED111" s="848" t="str">
        <f t="shared" si="57"/>
        <v/>
      </c>
      <c r="EE111" s="848" t="str">
        <f t="shared" si="57"/>
        <v/>
      </c>
      <c r="EF111" s="848" t="str">
        <f t="shared" si="57"/>
        <v/>
      </c>
      <c r="EG111" s="848" t="str">
        <f t="shared" si="57"/>
        <v/>
      </c>
      <c r="EH111" s="848" t="str">
        <f t="shared" si="57"/>
        <v/>
      </c>
      <c r="EI111" s="848" t="str">
        <f t="shared" ref="EI111:EL111" si="58">IF((EI$7&gt;=$G$5)*(EI$7&lt;$G$7),EI105,"")</f>
        <v/>
      </c>
      <c r="EJ111" s="848" t="str">
        <f t="shared" si="58"/>
        <v/>
      </c>
      <c r="EK111" s="848" t="str">
        <f t="shared" si="58"/>
        <v/>
      </c>
      <c r="EL111" s="848" t="str">
        <f t="shared" si="58"/>
        <v/>
      </c>
    </row>
    <row r="112" spans="2:143" s="1079" customFormat="1">
      <c r="B112" s="1077"/>
      <c r="C112" s="1078"/>
      <c r="D112" s="1078"/>
      <c r="E112" s="1078"/>
      <c r="F112" s="1078"/>
      <c r="G112" s="1078"/>
      <c r="H112" s="524">
        <f>SUM(J112:EL112)</f>
        <v>46965</v>
      </c>
      <c r="J112" s="524">
        <f>(J111=$H111)*(SUM($I112:I112)=0)*J7</f>
        <v>0</v>
      </c>
      <c r="K112" s="524">
        <f>(K111=$H111)*(SUM($I112:J112)=0)*K7</f>
        <v>0</v>
      </c>
      <c r="L112" s="524">
        <f>(L111=$H111)*(SUM($I112:K112)=0)*L7</f>
        <v>0</v>
      </c>
      <c r="M112" s="524">
        <f>(M111=$H111)*(SUM($I112:L112)=0)*M7</f>
        <v>0</v>
      </c>
      <c r="N112" s="524">
        <f>(N111=$H111)*(SUM($I112:M112)=0)*N7</f>
        <v>0</v>
      </c>
      <c r="O112" s="524">
        <f>(O111=$H111)*(SUM($I112:N112)=0)*O7</f>
        <v>0</v>
      </c>
      <c r="P112" s="524">
        <f>(P111=$H111)*(SUM($I112:O112)=0)*P7</f>
        <v>0</v>
      </c>
      <c r="Q112" s="524">
        <f>(Q111=$H111)*(SUM($I112:P112)=0)*Q7</f>
        <v>0</v>
      </c>
      <c r="R112" s="524">
        <f>(R111=$H111)*(SUM($I112:Q112)=0)*R7</f>
        <v>0</v>
      </c>
      <c r="S112" s="524">
        <f>(S111=$H111)*(SUM($I112:R112)=0)*S7</f>
        <v>0</v>
      </c>
      <c r="T112" s="524">
        <f>(T111=$H111)*(SUM($I112:S112)=0)*T7</f>
        <v>0</v>
      </c>
      <c r="U112" s="524">
        <f>(U111=$H111)*(SUM($I112:T112)=0)*U7</f>
        <v>0</v>
      </c>
      <c r="V112" s="524">
        <f>(V111=$H111)*(SUM($I112:U112)=0)*V7</f>
        <v>0</v>
      </c>
      <c r="W112" s="524">
        <f>(W111=$H111)*(SUM($I112:V112)=0)*W7</f>
        <v>0</v>
      </c>
      <c r="X112" s="524">
        <f>(X111=$H111)*(SUM($I112:W112)=0)*X7</f>
        <v>0</v>
      </c>
      <c r="Y112" s="524">
        <f>(Y111=$H111)*(SUM($I112:X112)=0)*Y7</f>
        <v>0</v>
      </c>
      <c r="Z112" s="524">
        <f>(Z111=$H111)*(SUM($I112:Y112)=0)*Z7</f>
        <v>0</v>
      </c>
      <c r="AA112" s="524">
        <f>(AA111=$H111)*(SUM($I112:Z112)=0)*AA7</f>
        <v>0</v>
      </c>
      <c r="AB112" s="524">
        <f>(AB111=$H111)*(SUM($I112:AA112)=0)*AB7</f>
        <v>0</v>
      </c>
      <c r="AC112" s="524">
        <f>(AC111=$H111)*(SUM($I112:AB112)=0)*AC7</f>
        <v>0</v>
      </c>
      <c r="AD112" s="524">
        <f>(AD111=$H111)*(SUM($I112:AC112)=0)*AD7</f>
        <v>0</v>
      </c>
      <c r="AE112" s="524">
        <f>(AE111=$H111)*(SUM($I112:AD112)=0)*AE7</f>
        <v>0</v>
      </c>
      <c r="AF112" s="524">
        <f>(AF111=$H111)*(SUM($I112:AE112)=0)*AF7</f>
        <v>0</v>
      </c>
      <c r="AG112" s="524">
        <f>(AG111=$H111)*(SUM($I112:AF112)=0)*AG7</f>
        <v>0</v>
      </c>
      <c r="AH112" s="524">
        <f>(AH111=$H111)*(SUM($I112:AG112)=0)*AH7</f>
        <v>0</v>
      </c>
      <c r="AI112" s="524">
        <f>(AI111=$H111)*(SUM($I112:AH112)=0)*AI7</f>
        <v>0</v>
      </c>
      <c r="AJ112" s="524">
        <f>(AJ111=$H111)*(SUM($I112:AI112)=0)*AJ7</f>
        <v>0</v>
      </c>
      <c r="AK112" s="524">
        <f>(AK111=$H111)*(SUM($I112:AJ112)=0)*AK7</f>
        <v>0</v>
      </c>
      <c r="AL112" s="524">
        <f>(AL111=$H111)*(SUM($I112:AK112)=0)*AL7</f>
        <v>0</v>
      </c>
      <c r="AM112" s="524">
        <f>(AM111=$H111)*(SUM($I112:AL112)=0)*AM7</f>
        <v>0</v>
      </c>
      <c r="AN112" s="524">
        <f>(AN111=$H111)*(SUM($I112:AM112)=0)*AN7</f>
        <v>0</v>
      </c>
      <c r="AO112" s="524">
        <f>(AO111=$H111)*(SUM($I112:AN112)=0)*AO7</f>
        <v>0</v>
      </c>
      <c r="AP112" s="524">
        <f>(AP111=$H111)*(SUM($I112:AO112)=0)*AP7</f>
        <v>0</v>
      </c>
      <c r="AQ112" s="524">
        <f>(AQ111=$H111)*(SUM($I112:AP112)=0)*AQ7</f>
        <v>0</v>
      </c>
      <c r="AR112" s="524">
        <f>(AR111=$H111)*(SUM($I112:AQ112)=0)*AR7</f>
        <v>0</v>
      </c>
      <c r="AS112" s="524">
        <f>(AS111=$H111)*(SUM($I112:AR112)=0)*AS7</f>
        <v>0</v>
      </c>
      <c r="AT112" s="524">
        <f>(AT111=$H111)*(SUM($I112:AS112)=0)*AT7</f>
        <v>0</v>
      </c>
      <c r="AU112" s="524">
        <f>(AU111=$H111)*(SUM($I112:AT112)=0)*AU7</f>
        <v>0</v>
      </c>
      <c r="AV112" s="524">
        <f>(AV111=$H111)*(SUM($I112:AU112)=0)*AV7</f>
        <v>0</v>
      </c>
      <c r="AW112" s="524">
        <f>(AW111=$H111)*(SUM($I112:AV112)=0)*AW7</f>
        <v>0</v>
      </c>
      <c r="AX112" s="524">
        <f>(AX111=$H111)*(SUM($I112:AW112)=0)*AX7</f>
        <v>0</v>
      </c>
      <c r="AY112" s="524">
        <f>(AY111=$H111)*(SUM($I112:AX112)=0)*AY7</f>
        <v>0</v>
      </c>
      <c r="AZ112" s="524">
        <f>(AZ111=$H111)*(SUM($I112:AY112)=0)*AZ7</f>
        <v>0</v>
      </c>
      <c r="BA112" s="524">
        <f>(BA111=$H111)*(SUM($I112:AZ112)=0)*BA7</f>
        <v>0</v>
      </c>
      <c r="BB112" s="524">
        <f>(BB111=$H111)*(SUM($I112:BA112)=0)*BB7</f>
        <v>0</v>
      </c>
      <c r="BC112" s="524">
        <f>(BC111=$H111)*(SUM($I112:BB112)=0)*BC7</f>
        <v>0</v>
      </c>
      <c r="BD112" s="524">
        <f>(BD111=$H111)*(SUM($I112:BC112)=0)*BD7</f>
        <v>0</v>
      </c>
      <c r="BE112" s="524">
        <f>(BE111=$H111)*(SUM($I112:BD112)=0)*BE7</f>
        <v>0</v>
      </c>
      <c r="BF112" s="524">
        <f>(BF111=$H111)*(SUM($I112:BE112)=0)*BF7</f>
        <v>0</v>
      </c>
      <c r="BG112" s="524">
        <f>(BG111=$H111)*(SUM($I112:BF112)=0)*BG7</f>
        <v>0</v>
      </c>
      <c r="BH112" s="524">
        <f>(BH111=$H111)*(SUM($I112:BG112)=0)*BH7</f>
        <v>0</v>
      </c>
      <c r="BI112" s="524">
        <f>(BI111=$H111)*(SUM($I112:BH112)=0)*BI7</f>
        <v>0</v>
      </c>
      <c r="BJ112" s="524">
        <f>(BJ111=$H111)*(SUM($I112:BI112)=0)*BJ7</f>
        <v>0</v>
      </c>
      <c r="BK112" s="524">
        <f>(BK111=$H111)*(SUM($I112:BJ112)=0)*BK7</f>
        <v>0</v>
      </c>
      <c r="BL112" s="524">
        <f>(BL111=$H111)*(SUM($I112:BK112)=0)*BL7</f>
        <v>0</v>
      </c>
      <c r="BM112" s="524">
        <f>(BM111=$H111)*(SUM($I112:BL112)=0)*BM7</f>
        <v>0</v>
      </c>
      <c r="BN112" s="524">
        <f>(BN111=$H111)*(SUM($I112:BM112)=0)*BN7</f>
        <v>0</v>
      </c>
      <c r="BO112" s="524">
        <f>(BO111=$H111)*(SUM($I112:BN112)=0)*BO7</f>
        <v>0</v>
      </c>
      <c r="BP112" s="524">
        <f>(BP111=$H111)*(SUM($I112:BO112)=0)*BP7</f>
        <v>0</v>
      </c>
      <c r="BQ112" s="524">
        <f>(BQ111=$H111)*(SUM($I112:BP112)=0)*BQ7</f>
        <v>0</v>
      </c>
      <c r="BR112" s="524">
        <f>(BR111=$H111)*(SUM($I112:BQ112)=0)*BR7</f>
        <v>0</v>
      </c>
      <c r="BS112" s="524">
        <f>(BS111=$H111)*(SUM($I112:BR112)=0)*BS7</f>
        <v>0</v>
      </c>
      <c r="BT112" s="524">
        <f>(BT111=$H111)*(SUM($I112:BS112)=0)*BT7</f>
        <v>0</v>
      </c>
      <c r="BU112" s="524">
        <f>(BU111=$H111)*(SUM($I112:BT112)=0)*BU7</f>
        <v>0</v>
      </c>
      <c r="BV112" s="524">
        <f>(BV111=$H111)*(SUM($I112:BU112)=0)*BV7</f>
        <v>0</v>
      </c>
      <c r="BW112" s="524">
        <f>(BW111=$H111)*(SUM($I112:BV112)=0)*BW7</f>
        <v>0</v>
      </c>
      <c r="BX112" s="524">
        <f>(BX111=$H111)*(SUM($I112:BW112)=0)*BX7</f>
        <v>0</v>
      </c>
      <c r="BY112" s="524">
        <f>(BY111=$H111)*(SUM($I112:BX112)=0)*BY7</f>
        <v>0</v>
      </c>
      <c r="BZ112" s="524">
        <f>(BZ111=$H111)*(SUM($I112:BY112)=0)*BZ7</f>
        <v>0</v>
      </c>
      <c r="CA112" s="524">
        <f>(CA111=$H111)*(SUM($I112:BZ112)=0)*CA7</f>
        <v>0</v>
      </c>
      <c r="CB112" s="524">
        <f>(CB111=$H111)*(SUM($I112:CA112)=0)*CB7</f>
        <v>0</v>
      </c>
      <c r="CC112" s="524">
        <f>(CC111=$H111)*(SUM($I112:CB112)=0)*CC7</f>
        <v>0</v>
      </c>
      <c r="CD112" s="524">
        <f>(CD111=$H111)*(SUM($I112:CC112)=0)*CD7</f>
        <v>0</v>
      </c>
      <c r="CE112" s="524">
        <f>(CE111=$H111)*(SUM($I112:CD112)=0)*CE7</f>
        <v>0</v>
      </c>
      <c r="CF112" s="524">
        <f>(CF111=$H111)*(SUM($I112:CE112)=0)*CF7</f>
        <v>0</v>
      </c>
      <c r="CG112" s="524">
        <f>(CG111=$H111)*(SUM($I112:CF112)=0)*CG7</f>
        <v>0</v>
      </c>
      <c r="CH112" s="524">
        <f>(CH111=$H111)*(SUM($I112:CG112)=0)*CH7</f>
        <v>0</v>
      </c>
      <c r="CI112" s="524">
        <f>(CI111=$H111)*(SUM($I112:CH112)=0)*CI7</f>
        <v>0</v>
      </c>
      <c r="CJ112" s="524">
        <f>(CJ111=$H111)*(SUM($I112:CI112)=0)*CJ7</f>
        <v>0</v>
      </c>
      <c r="CK112" s="524">
        <f>(CK111=$H111)*(SUM($I112:CJ112)=0)*CK7</f>
        <v>0</v>
      </c>
      <c r="CL112" s="524">
        <f>(CL111=$H111)*(SUM($I112:CK112)=0)*CL7</f>
        <v>0</v>
      </c>
      <c r="CM112" s="524">
        <f>(CM111=$H111)*(SUM($I112:CL112)=0)*CM7</f>
        <v>0</v>
      </c>
      <c r="CN112" s="524">
        <f>(CN111=$H111)*(SUM($I112:CM112)=0)*CN7</f>
        <v>0</v>
      </c>
      <c r="CO112" s="524">
        <f>(CO111=$H111)*(SUM($I112:CN112)=0)*CO7</f>
        <v>0</v>
      </c>
      <c r="CP112" s="524">
        <f>(CP111=$H111)*(SUM($I112:CO112)=0)*CP7</f>
        <v>0</v>
      </c>
      <c r="CQ112" s="524">
        <f>(CQ111=$H111)*(SUM($I112:CP112)=0)*CQ7</f>
        <v>46965</v>
      </c>
      <c r="CR112" s="524">
        <f>(CR111=$H111)*(SUM($I112:CQ112)=0)*CR7</f>
        <v>0</v>
      </c>
      <c r="CS112" s="524">
        <f>(CS111=$H111)*(SUM($I112:CR112)=0)*CS7</f>
        <v>0</v>
      </c>
      <c r="CT112" s="524">
        <f>(CT111=$H111)*(SUM($I112:CS112)=0)*CT7</f>
        <v>0</v>
      </c>
      <c r="CU112" s="524">
        <f>(CU111=$H111)*(SUM($I112:CT112)=0)*CU7</f>
        <v>0</v>
      </c>
      <c r="CV112" s="524">
        <f>(CV111=$H111)*(SUM($I112:CU112)=0)*CV7</f>
        <v>0</v>
      </c>
      <c r="CW112" s="524">
        <f>(CW111=$H111)*(SUM($I112:CV112)=0)*CW7</f>
        <v>0</v>
      </c>
      <c r="CX112" s="524">
        <f>(CX111=$H111)*(SUM($I112:CW112)=0)*CX7</f>
        <v>0</v>
      </c>
      <c r="CY112" s="524">
        <f>(CY111=$H111)*(SUM($I112:CX112)=0)*CY7</f>
        <v>0</v>
      </c>
      <c r="CZ112" s="524">
        <f>(CZ111=$H111)*(SUM($I112:CY112)=0)*CZ7</f>
        <v>0</v>
      </c>
      <c r="DA112" s="524">
        <f>(DA111=$H111)*(SUM($I112:CZ112)=0)*DA7</f>
        <v>0</v>
      </c>
      <c r="DB112" s="524">
        <f>(DB111=$H111)*(SUM($I112:DA112)=0)*DB7</f>
        <v>0</v>
      </c>
      <c r="DC112" s="524">
        <f>(DC111=$H111)*(SUM($I112:DB112)=0)*DC7</f>
        <v>0</v>
      </c>
      <c r="DD112" s="524">
        <f>(DD111=$H111)*(SUM($I112:DC112)=0)*DD7</f>
        <v>0</v>
      </c>
      <c r="DE112" s="524">
        <f>(DE111=$H111)*(SUM($I112:DD112)=0)*DE7</f>
        <v>0</v>
      </c>
      <c r="DF112" s="524">
        <f>(DF111=$H111)*(SUM($I112:DE112)=0)*DF7</f>
        <v>0</v>
      </c>
      <c r="DG112" s="524">
        <f>(DG111=$H111)*(SUM($I112:DF112)=0)*DG7</f>
        <v>0</v>
      </c>
      <c r="DH112" s="524">
        <f>(DH111=$H111)*(SUM($I112:DG112)=0)*DH7</f>
        <v>0</v>
      </c>
      <c r="DI112" s="524">
        <f>(DI111=$H111)*(SUM($I112:DH112)=0)*DI7</f>
        <v>0</v>
      </c>
      <c r="DJ112" s="524">
        <f>(DJ111=$H111)*(SUM($I112:DI112)=0)*DJ7</f>
        <v>0</v>
      </c>
      <c r="DK112" s="524">
        <f>(DK111=$H111)*(SUM($I112:DJ112)=0)*DK7</f>
        <v>0</v>
      </c>
      <c r="DL112" s="524">
        <f>(DL111=$H111)*(SUM($I112:DK112)=0)*DL7</f>
        <v>0</v>
      </c>
      <c r="DM112" s="524">
        <f>(DM111=$H111)*(SUM($I112:DL112)=0)*DM7</f>
        <v>0</v>
      </c>
      <c r="DN112" s="524">
        <f>(DN111=$H111)*(SUM($I112:DM112)=0)*DN7</f>
        <v>0</v>
      </c>
      <c r="DO112" s="524">
        <f>(DO111=$H111)*(SUM($I112:DN112)=0)*DO7</f>
        <v>0</v>
      </c>
      <c r="DP112" s="524">
        <f>(DP111=$H111)*(SUM($I112:DO112)=0)*DP7</f>
        <v>0</v>
      </c>
      <c r="DQ112" s="524">
        <f>(DQ111=$H111)*(SUM($I112:DP112)=0)*DQ7</f>
        <v>0</v>
      </c>
      <c r="DR112" s="524">
        <f>(DR111=$H111)*(SUM($I112:DQ112)=0)*DR7</f>
        <v>0</v>
      </c>
      <c r="DS112" s="524">
        <f>(DS111=$H111)*(SUM($I112:DR112)=0)*DS7</f>
        <v>0</v>
      </c>
      <c r="DT112" s="524">
        <f>(DT111=$H111)*(SUM($I112:DS112)=0)*DT7</f>
        <v>0</v>
      </c>
      <c r="DU112" s="524">
        <f>(DU111=$H111)*(SUM($I112:DT112)=0)*DU7</f>
        <v>0</v>
      </c>
      <c r="DV112" s="524">
        <f>(DV111=$H111)*(SUM($I112:DU112)=0)*DV7</f>
        <v>0</v>
      </c>
      <c r="DW112" s="524">
        <f>(DW111=$H111)*(SUM($I112:DV112)=0)*DW7</f>
        <v>0</v>
      </c>
      <c r="DX112" s="524">
        <f>(DX111=$H111)*(SUM($I112:DW112)=0)*DX7</f>
        <v>0</v>
      </c>
      <c r="DY112" s="524">
        <f>(DY111=$H111)*(SUM($I112:DX112)=0)*DY7</f>
        <v>0</v>
      </c>
      <c r="DZ112" s="524">
        <f>(DZ111=$H111)*(SUM($I112:DY112)=0)*DZ7</f>
        <v>0</v>
      </c>
      <c r="EA112" s="524">
        <f>(EA111=$H111)*(SUM($I112:DZ112)=0)*EA7</f>
        <v>0</v>
      </c>
      <c r="EB112" s="524">
        <f>(EB111=$H111)*(SUM($I112:EA112)=0)*EB7</f>
        <v>0</v>
      </c>
      <c r="EC112" s="524">
        <f>(EC111=$H111)*(SUM($I112:EB112)=0)*EC7</f>
        <v>0</v>
      </c>
      <c r="ED112" s="524">
        <f>(ED111=$H111)*(SUM($I112:EC112)=0)*ED7</f>
        <v>0</v>
      </c>
      <c r="EE112" s="524">
        <f>(EE111=$H111)*(SUM($I112:ED112)=0)*EE7</f>
        <v>0</v>
      </c>
      <c r="EF112" s="524">
        <f>(EF111=$H111)*(SUM($I112:EE112)=0)*EF7</f>
        <v>0</v>
      </c>
      <c r="EG112" s="524">
        <f>(EG111=$H111)*(SUM($I112:EF112)=0)*EG7</f>
        <v>0</v>
      </c>
      <c r="EH112" s="524">
        <f>(EH111=$H111)*(SUM($I112:EG112)=0)*EH7</f>
        <v>0</v>
      </c>
      <c r="EI112" s="524">
        <f>(EI111=$H111)*(SUM($I112:EH112)=0)*EI7</f>
        <v>0</v>
      </c>
      <c r="EJ112" s="524">
        <f>(EJ111=$H111)*(SUM($I112:EI112)=0)*EJ7</f>
        <v>0</v>
      </c>
      <c r="EK112" s="524">
        <f>(EK111=$H111)*(SUM($I112:EJ112)=0)*EK7</f>
        <v>0</v>
      </c>
      <c r="EL112" s="524">
        <f>(EL111=$H111)*(SUM($I112:EK112)=0)*EL7</f>
        <v>0</v>
      </c>
    </row>
    <row r="113" spans="2:143" s="833" customFormat="1">
      <c r="B113" s="1000"/>
      <c r="C113" s="1001"/>
      <c r="D113" s="1001"/>
      <c r="E113" s="1001"/>
      <c r="F113" s="1008"/>
      <c r="G113" s="1001"/>
      <c r="H113" s="214"/>
      <c r="J113" s="214"/>
      <c r="K113" s="214"/>
      <c r="L113" s="214"/>
      <c r="M113" s="214"/>
      <c r="N113" s="214"/>
      <c r="O113" s="214"/>
      <c r="P113" s="214"/>
      <c r="Q113" s="214"/>
      <c r="R113" s="214"/>
      <c r="S113" s="214"/>
      <c r="T113" s="214"/>
      <c r="U113" s="214"/>
      <c r="V113" s="214"/>
      <c r="W113" s="214"/>
      <c r="X113" s="214"/>
      <c r="Y113" s="214"/>
      <c r="Z113" s="214"/>
      <c r="AA113" s="214"/>
      <c r="AB113" s="214"/>
      <c r="AC113" s="214"/>
      <c r="AD113" s="214"/>
      <c r="AE113" s="214"/>
      <c r="AF113" s="214"/>
      <c r="AG113" s="214"/>
      <c r="AH113" s="214"/>
      <c r="AI113" s="214"/>
      <c r="AJ113" s="214"/>
      <c r="AK113" s="214"/>
      <c r="AL113" s="214"/>
      <c r="AM113" s="214"/>
      <c r="AN113" s="214"/>
      <c r="AO113" s="214"/>
      <c r="AP113" s="214"/>
      <c r="AQ113" s="214"/>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N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214"/>
      <c r="DN113" s="214"/>
      <c r="DO113" s="214"/>
      <c r="DP113" s="214"/>
      <c r="DQ113" s="214"/>
      <c r="DR113" s="214"/>
      <c r="DS113" s="214"/>
      <c r="DT113" s="214"/>
      <c r="DU113" s="214"/>
      <c r="DV113" s="214"/>
      <c r="DW113" s="214"/>
      <c r="DX113" s="214"/>
      <c r="DY113" s="214"/>
      <c r="DZ113" s="214"/>
      <c r="EA113" s="214"/>
      <c r="EB113" s="214"/>
      <c r="EC113" s="214"/>
      <c r="ED113" s="214"/>
      <c r="EE113" s="214"/>
      <c r="EF113" s="214"/>
      <c r="EG113" s="214"/>
      <c r="EH113" s="214"/>
      <c r="EI113" s="214"/>
      <c r="EJ113" s="214"/>
      <c r="EK113" s="214"/>
      <c r="EL113" s="214"/>
      <c r="EM113" s="835"/>
    </row>
    <row r="114" spans="2:143" s="833" customFormat="1" ht="13.5">
      <c r="B114" s="1000"/>
      <c r="C114" s="1001"/>
      <c r="D114" s="1001" t="s">
        <v>957</v>
      </c>
      <c r="E114" s="1001"/>
      <c r="F114" s="1008"/>
      <c r="G114" s="1001"/>
      <c r="H114" s="214"/>
      <c r="J114" s="214"/>
      <c r="K114" s="214"/>
      <c r="L114" s="214"/>
      <c r="M114" s="214"/>
      <c r="N114" s="214"/>
      <c r="O114" s="214"/>
      <c r="P114" s="214"/>
      <c r="Q114" s="214"/>
      <c r="R114" s="214"/>
      <c r="S114" s="214"/>
      <c r="T114" s="214"/>
      <c r="U114" s="214"/>
      <c r="V114" s="214"/>
      <c r="W114" s="214"/>
      <c r="X114" s="214"/>
      <c r="Y114" s="214"/>
      <c r="Z114" s="214"/>
      <c r="AA114" s="214"/>
      <c r="AB114" s="214"/>
      <c r="AC114" s="214"/>
      <c r="AD114" s="214"/>
      <c r="AE114" s="214"/>
      <c r="AF114" s="214"/>
      <c r="AG114" s="214"/>
      <c r="AH114" s="214"/>
      <c r="AI114" s="214"/>
      <c r="AJ114" s="214"/>
      <c r="AK114" s="214"/>
      <c r="AL114" s="214"/>
      <c r="AM114" s="214"/>
      <c r="AN114" s="214"/>
      <c r="AO114" s="214"/>
      <c r="AP114" s="214"/>
      <c r="AQ114" s="214"/>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N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c r="CM114" s="214"/>
      <c r="CN114" s="214"/>
      <c r="CO114" s="214"/>
      <c r="CP114" s="214"/>
      <c r="CQ114" s="214"/>
      <c r="CR114" s="214"/>
      <c r="CS114" s="214"/>
      <c r="CT114" s="214"/>
      <c r="CU114" s="214"/>
      <c r="CV114" s="214"/>
      <c r="CW114" s="214"/>
      <c r="CX114" s="214"/>
      <c r="CY114" s="214"/>
      <c r="CZ114" s="214"/>
      <c r="DA114" s="214"/>
      <c r="DB114" s="214"/>
      <c r="DC114" s="214"/>
      <c r="DD114" s="214"/>
      <c r="DE114" s="214"/>
      <c r="DF114" s="214"/>
      <c r="DG114" s="214"/>
      <c r="DH114" s="214"/>
      <c r="DI114" s="214"/>
      <c r="DJ114" s="214"/>
      <c r="DK114" s="214"/>
      <c r="DL114" s="214"/>
      <c r="DM114" s="214"/>
      <c r="DN114" s="214"/>
      <c r="DO114" s="214"/>
      <c r="DP114" s="214"/>
      <c r="DQ114" s="214"/>
      <c r="DR114" s="214"/>
      <c r="DS114" s="214"/>
      <c r="DT114" s="214"/>
      <c r="DU114" s="214"/>
      <c r="DV114" s="214"/>
      <c r="DW114" s="214"/>
      <c r="DX114" s="214"/>
      <c r="DY114" s="214"/>
      <c r="DZ114" s="214"/>
      <c r="EA114" s="214"/>
      <c r="EB114" s="214"/>
      <c r="EC114" s="214"/>
      <c r="ED114" s="214"/>
      <c r="EE114" s="214"/>
      <c r="EF114" s="214"/>
      <c r="EG114" s="214"/>
      <c r="EH114" s="214"/>
      <c r="EI114" s="214"/>
      <c r="EJ114" s="214"/>
      <c r="EK114" s="214"/>
      <c r="EL114" s="214"/>
      <c r="EM114" s="835"/>
    </row>
    <row r="115" spans="2:143" s="833" customFormat="1">
      <c r="B115" s="1000"/>
      <c r="C115" s="1001"/>
      <c r="D115" s="1001"/>
      <c r="E115" s="1001"/>
      <c r="F115" s="1008"/>
      <c r="G115" s="1001"/>
      <c r="H115" s="214"/>
      <c r="J115" s="214"/>
      <c r="K115" s="214"/>
      <c r="L115" s="214"/>
      <c r="M115" s="214"/>
      <c r="N115" s="214"/>
      <c r="O115" s="214"/>
      <c r="P115" s="214"/>
      <c r="Q115" s="214"/>
      <c r="R115" s="214"/>
      <c r="S115" s="214"/>
      <c r="T115" s="214"/>
      <c r="U115" s="214"/>
      <c r="V115" s="214"/>
      <c r="W115" s="214"/>
      <c r="X115" s="214"/>
      <c r="Y115" s="214"/>
      <c r="Z115" s="214"/>
      <c r="AA115" s="214"/>
      <c r="AB115" s="214"/>
      <c r="AC115" s="214"/>
      <c r="AD115" s="214"/>
      <c r="AE115" s="214"/>
      <c r="AF115" s="214"/>
      <c r="AG115" s="214"/>
      <c r="AH115" s="214"/>
      <c r="AI115" s="214"/>
      <c r="AJ115" s="214"/>
      <c r="AK115" s="214"/>
      <c r="AL115" s="214"/>
      <c r="AM115" s="214"/>
      <c r="AN115" s="214"/>
      <c r="AO115" s="214"/>
      <c r="AP115" s="214"/>
      <c r="AQ115" s="214"/>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N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214"/>
      <c r="DN115" s="214"/>
      <c r="DO115" s="214"/>
      <c r="DP115" s="214"/>
      <c r="DQ115" s="214"/>
      <c r="DR115" s="214"/>
      <c r="DS115" s="214"/>
      <c r="DT115" s="214"/>
      <c r="DU115" s="214"/>
      <c r="DV115" s="214"/>
      <c r="DW115" s="214"/>
      <c r="DX115" s="214"/>
      <c r="DY115" s="214"/>
      <c r="DZ115" s="214"/>
      <c r="EA115" s="214"/>
      <c r="EB115" s="214"/>
      <c r="EC115" s="214"/>
      <c r="ED115" s="214"/>
      <c r="EE115" s="214"/>
      <c r="EF115" s="214"/>
      <c r="EG115" s="214"/>
      <c r="EH115" s="214"/>
      <c r="EI115" s="214"/>
      <c r="EJ115" s="214"/>
      <c r="EK115" s="214"/>
      <c r="EL115" s="214"/>
    </row>
    <row r="116" spans="2:143" s="833" customFormat="1" ht="13.5">
      <c r="B116" s="1000"/>
      <c r="C116" s="1001"/>
      <c r="D116" s="1001"/>
      <c r="E116" s="1001" t="s">
        <v>958</v>
      </c>
      <c r="F116" s="1008"/>
      <c r="G116" s="1001"/>
      <c r="H116" s="848">
        <f>SUM(J116:EL116)</f>
        <v>1329414.0018548043</v>
      </c>
      <c r="I116" s="858"/>
      <c r="J116" s="848">
        <f t="shared" ref="J116:BU116" si="59">(ABS(SUM(J9,J53,J73:J80,-J83,J104))&gt;0.0001)*SUM(J9,J53,J73:J80,-J83,J104)</f>
        <v>0</v>
      </c>
      <c r="K116" s="848">
        <f t="shared" si="59"/>
        <v>0</v>
      </c>
      <c r="L116" s="848">
        <f t="shared" si="59"/>
        <v>0</v>
      </c>
      <c r="M116" s="848">
        <f t="shared" si="59"/>
        <v>0</v>
      </c>
      <c r="N116" s="848">
        <f t="shared" si="59"/>
        <v>0</v>
      </c>
      <c r="O116" s="848">
        <f t="shared" si="59"/>
        <v>0</v>
      </c>
      <c r="P116" s="848">
        <f t="shared" si="59"/>
        <v>0</v>
      </c>
      <c r="Q116" s="848">
        <f t="shared" si="59"/>
        <v>0</v>
      </c>
      <c r="R116" s="848">
        <f t="shared" si="59"/>
        <v>0</v>
      </c>
      <c r="S116" s="848">
        <f t="shared" si="59"/>
        <v>0</v>
      </c>
      <c r="T116" s="848">
        <f t="shared" si="59"/>
        <v>0</v>
      </c>
      <c r="U116" s="848">
        <f t="shared" si="59"/>
        <v>0</v>
      </c>
      <c r="V116" s="848">
        <f t="shared" si="59"/>
        <v>0</v>
      </c>
      <c r="W116" s="848">
        <f t="shared" si="59"/>
        <v>0</v>
      </c>
      <c r="X116" s="848">
        <f t="shared" si="59"/>
        <v>0</v>
      </c>
      <c r="Y116" s="848">
        <f t="shared" si="59"/>
        <v>0</v>
      </c>
      <c r="Z116" s="848">
        <f t="shared" si="59"/>
        <v>0</v>
      </c>
      <c r="AA116" s="848">
        <f t="shared" si="59"/>
        <v>0</v>
      </c>
      <c r="AB116" s="848">
        <f t="shared" si="59"/>
        <v>0</v>
      </c>
      <c r="AC116" s="848">
        <f t="shared" si="59"/>
        <v>0</v>
      </c>
      <c r="AD116" s="848">
        <f t="shared" si="59"/>
        <v>0</v>
      </c>
      <c r="AE116" s="848">
        <f t="shared" si="59"/>
        <v>0</v>
      </c>
      <c r="AF116" s="848">
        <f t="shared" si="59"/>
        <v>0</v>
      </c>
      <c r="AG116" s="848">
        <f t="shared" si="59"/>
        <v>0</v>
      </c>
      <c r="AH116" s="848">
        <f t="shared" si="59"/>
        <v>0</v>
      </c>
      <c r="AI116" s="848">
        <f t="shared" si="59"/>
        <v>0</v>
      </c>
      <c r="AJ116" s="848">
        <f t="shared" si="59"/>
        <v>0</v>
      </c>
      <c r="AK116" s="848">
        <f t="shared" si="59"/>
        <v>0</v>
      </c>
      <c r="AL116" s="848">
        <f t="shared" si="59"/>
        <v>18906.621138000002</v>
      </c>
      <c r="AM116" s="848">
        <f t="shared" si="59"/>
        <v>21230.374709130247</v>
      </c>
      <c r="AN116" s="848">
        <f t="shared" si="59"/>
        <v>20129.544000086316</v>
      </c>
      <c r="AO116" s="848">
        <f t="shared" si="59"/>
        <v>14828.781546538568</v>
      </c>
      <c r="AP116" s="848">
        <f t="shared" si="59"/>
        <v>17357.020127905405</v>
      </c>
      <c r="AQ116" s="848">
        <f t="shared" si="59"/>
        <v>15742.433203117422</v>
      </c>
      <c r="AR116" s="848">
        <f t="shared" si="59"/>
        <v>17562.959482670019</v>
      </c>
      <c r="AS116" s="848">
        <f t="shared" si="59"/>
        <v>20096.894268070464</v>
      </c>
      <c r="AT116" s="848">
        <f t="shared" si="59"/>
        <v>33218.6568013418</v>
      </c>
      <c r="AU116" s="848">
        <f t="shared" si="59"/>
        <v>30252.992647544852</v>
      </c>
      <c r="AV116" s="848">
        <f t="shared" si="59"/>
        <v>32813.365002038787</v>
      </c>
      <c r="AW116" s="848">
        <f t="shared" si="59"/>
        <v>29437.40834905938</v>
      </c>
      <c r="AX116" s="848">
        <f t="shared" si="59"/>
        <v>31469.867473737468</v>
      </c>
      <c r="AY116" s="848">
        <f t="shared" si="59"/>
        <v>33976.634261959909</v>
      </c>
      <c r="AZ116" s="848">
        <f t="shared" si="59"/>
        <v>29473.829433733656</v>
      </c>
      <c r="BA116" s="848">
        <f t="shared" si="59"/>
        <v>26870.382330984132</v>
      </c>
      <c r="BB116" s="848">
        <f t="shared" si="59"/>
        <v>29496.235314679674</v>
      </c>
      <c r="BC116" s="848">
        <f t="shared" si="59"/>
        <v>25642.156134757533</v>
      </c>
      <c r="BD116" s="848">
        <f t="shared" si="59"/>
        <v>27785.907746307385</v>
      </c>
      <c r="BE116" s="848">
        <f t="shared" si="59"/>
        <v>30413.668074618185</v>
      </c>
      <c r="BF116" s="848">
        <f t="shared" si="59"/>
        <v>25946.592484758869</v>
      </c>
      <c r="BG116" s="848">
        <f t="shared" si="59"/>
        <v>23040.22448696482</v>
      </c>
      <c r="BH116" s="848">
        <f t="shared" si="59"/>
        <v>25658.097975151988</v>
      </c>
      <c r="BI116" s="848">
        <f t="shared" si="59"/>
        <v>22336.328987563444</v>
      </c>
      <c r="BJ116" s="848">
        <f t="shared" si="59"/>
        <v>24425.616647765859</v>
      </c>
      <c r="BK116" s="848">
        <f t="shared" si="59"/>
        <v>26989.605208985668</v>
      </c>
      <c r="BL116" s="848">
        <f t="shared" si="59"/>
        <v>22508.400052218509</v>
      </c>
      <c r="BM116" s="848">
        <f t="shared" si="59"/>
        <v>19964.353589874845</v>
      </c>
      <c r="BN116" s="848">
        <f t="shared" si="59"/>
        <v>22650.472836565448</v>
      </c>
      <c r="BO116" s="848">
        <f t="shared" si="59"/>
        <v>18833.136380364987</v>
      </c>
      <c r="BP116" s="848">
        <f t="shared" si="59"/>
        <v>21037.35635696556</v>
      </c>
      <c r="BQ116" s="848">
        <f t="shared" si="59"/>
        <v>23725.711026087603</v>
      </c>
      <c r="BR116" s="848">
        <f t="shared" si="59"/>
        <v>10972.107323521715</v>
      </c>
      <c r="BS116" s="848">
        <f t="shared" si="59"/>
        <v>8111.4473773832651</v>
      </c>
      <c r="BT116" s="848">
        <f t="shared" si="59"/>
        <v>10772.873069464513</v>
      </c>
      <c r="BU116" s="848">
        <f t="shared" si="59"/>
        <v>8662.4950919506355</v>
      </c>
      <c r="BV116" s="848">
        <f t="shared" ref="BV116:EG116" si="60">(ABS(SUM(BV9,BV53,BV73:BV80,-BV83,BV104))&gt;0.0001)*SUM(BV9,BV53,BV73:BV80,-BV83,BV104)</f>
        <v>10797.02678885762</v>
      </c>
      <c r="BW116" s="848">
        <f t="shared" si="60"/>
        <v>13406.638184615536</v>
      </c>
      <c r="BX116" s="848">
        <f t="shared" si="60"/>
        <v>10105.649968810838</v>
      </c>
      <c r="BY116" s="848">
        <f t="shared" si="60"/>
        <v>6528.8423695042093</v>
      </c>
      <c r="BZ116" s="848">
        <f t="shared" si="60"/>
        <v>9263.8127639037011</v>
      </c>
      <c r="CA116" s="848">
        <f t="shared" si="60"/>
        <v>7344.9315609911246</v>
      </c>
      <c r="CB116" s="848">
        <f t="shared" si="60"/>
        <v>9602.0595736359955</v>
      </c>
      <c r="CC116" s="848">
        <f t="shared" si="60"/>
        <v>12343.43250387743</v>
      </c>
      <c r="CD116" s="848">
        <f t="shared" si="60"/>
        <v>10491.766627723533</v>
      </c>
      <c r="CE116" s="848">
        <f t="shared" si="60"/>
        <v>6618.906709434299</v>
      </c>
      <c r="CF116" s="848">
        <f t="shared" si="60"/>
        <v>9354.0647378753129</v>
      </c>
      <c r="CG116" s="848">
        <f t="shared" si="60"/>
        <v>7314.0007396262126</v>
      </c>
      <c r="CH116" s="848">
        <f t="shared" si="60"/>
        <v>9621.6245638309465</v>
      </c>
      <c r="CI116" s="848">
        <f t="shared" si="60"/>
        <v>12304.983154097094</v>
      </c>
      <c r="CJ116" s="848">
        <f t="shared" si="60"/>
        <v>9040.1068457790025</v>
      </c>
      <c r="CK116" s="848">
        <f t="shared" si="60"/>
        <v>5381.4990745261166</v>
      </c>
      <c r="CL116" s="848">
        <f t="shared" si="60"/>
        <v>12260.549891864104</v>
      </c>
      <c r="CM116" s="848">
        <f t="shared" si="60"/>
        <v>10454.798751941384</v>
      </c>
      <c r="CN116" s="848">
        <f t="shared" si="60"/>
        <v>12930.100284763132</v>
      </c>
      <c r="CO116" s="848">
        <f t="shared" si="60"/>
        <v>15791.373439022724</v>
      </c>
      <c r="CP116" s="848">
        <f t="shared" si="60"/>
        <v>5489.8575790203522</v>
      </c>
      <c r="CQ116" s="848">
        <f t="shared" si="60"/>
        <v>1719.0618503526175</v>
      </c>
      <c r="CR116" s="848">
        <f t="shared" si="60"/>
        <v>4556.9786745405208</v>
      </c>
      <c r="CS116" s="848">
        <f t="shared" si="60"/>
        <v>3852.4941474111297</v>
      </c>
      <c r="CT116" s="848">
        <f t="shared" si="60"/>
        <v>6661.1554862264747</v>
      </c>
      <c r="CU116" s="848">
        <f t="shared" si="60"/>
        <v>9447.8204025934156</v>
      </c>
      <c r="CV116" s="848">
        <f t="shared" si="60"/>
        <v>7483.859575816814</v>
      </c>
      <c r="CW116" s="848">
        <f t="shared" si="60"/>
        <v>4087.7380061924937</v>
      </c>
      <c r="CX116" s="848">
        <f t="shared" si="60"/>
        <v>7010.5433866229505</v>
      </c>
      <c r="CY116" s="848">
        <f t="shared" si="60"/>
        <v>6503.3706076458202</v>
      </c>
      <c r="CZ116" s="848">
        <f t="shared" si="60"/>
        <v>9047.8375372288865</v>
      </c>
      <c r="DA116" s="848">
        <f t="shared" si="60"/>
        <v>11980.976458349003</v>
      </c>
      <c r="DB116" s="848">
        <f t="shared" si="60"/>
        <v>11557.726085554787</v>
      </c>
      <c r="DC116" s="848">
        <f t="shared" si="60"/>
        <v>5766.1245926936708</v>
      </c>
      <c r="DD116" s="848">
        <f t="shared" si="60"/>
        <v>8692.4266118460055</v>
      </c>
      <c r="DE116" s="848">
        <f t="shared" si="60"/>
        <v>8072.7951419432011</v>
      </c>
      <c r="DF116" s="848">
        <f t="shared" si="60"/>
        <v>10568.986748682435</v>
      </c>
      <c r="DG116" s="848">
        <f t="shared" si="60"/>
        <v>13445.839094169627</v>
      </c>
      <c r="DH116" s="848">
        <f t="shared" si="60"/>
        <v>11532.300411471973</v>
      </c>
      <c r="DI116" s="848">
        <f t="shared" si="60"/>
        <v>4426.9415022109688</v>
      </c>
      <c r="DJ116" s="848">
        <f t="shared" si="60"/>
        <v>7435.5976592293646</v>
      </c>
      <c r="DK116" s="848">
        <f t="shared" si="60"/>
        <v>7007.0977788963828</v>
      </c>
      <c r="DL116" s="848">
        <f t="shared" si="60"/>
        <v>9637.7582427241214</v>
      </c>
      <c r="DM116" s="848">
        <f t="shared" si="60"/>
        <v>12657.270267951919</v>
      </c>
      <c r="DN116" s="848">
        <f t="shared" si="60"/>
        <v>12320.572943232275</v>
      </c>
      <c r="DO116" s="848">
        <f t="shared" si="60"/>
        <v>6132.0496841948234</v>
      </c>
      <c r="DP116" s="848">
        <f t="shared" si="60"/>
        <v>9144.2581499256848</v>
      </c>
      <c r="DQ116" s="848">
        <f t="shared" si="60"/>
        <v>8606.9214993332116</v>
      </c>
      <c r="DR116" s="848">
        <f t="shared" si="60"/>
        <v>11188.372086956111</v>
      </c>
      <c r="DS116" s="848">
        <f t="shared" si="60"/>
        <v>14150.986644643537</v>
      </c>
      <c r="DT116" s="848">
        <f t="shared" si="60"/>
        <v>12282.307749995802</v>
      </c>
      <c r="DU116" s="848">
        <f t="shared" si="60"/>
        <v>4751.7053458489281</v>
      </c>
      <c r="DV116" s="848">
        <f t="shared" si="60"/>
        <v>7848.6871927911398</v>
      </c>
      <c r="DW116" s="848">
        <f t="shared" si="60"/>
        <v>7500.6046071347992</v>
      </c>
      <c r="DX116" s="848">
        <f t="shared" si="60"/>
        <v>10219.942308770938</v>
      </c>
      <c r="DY116" s="848">
        <f t="shared" si="60"/>
        <v>13328.316316052571</v>
      </c>
      <c r="DZ116" s="848">
        <f t="shared" si="60"/>
        <v>0</v>
      </c>
      <c r="EA116" s="848">
        <f t="shared" si="60"/>
        <v>0</v>
      </c>
      <c r="EB116" s="848">
        <f t="shared" si="60"/>
        <v>0</v>
      </c>
      <c r="EC116" s="848">
        <f t="shared" si="60"/>
        <v>0</v>
      </c>
      <c r="ED116" s="848">
        <f t="shared" si="60"/>
        <v>0</v>
      </c>
      <c r="EE116" s="848">
        <f t="shared" si="60"/>
        <v>0</v>
      </c>
      <c r="EF116" s="848">
        <f t="shared" si="60"/>
        <v>0</v>
      </c>
      <c r="EG116" s="848">
        <f t="shared" si="60"/>
        <v>0</v>
      </c>
      <c r="EH116" s="848">
        <f t="shared" ref="EH116:EL116" si="61">(ABS(SUM(EH9,EH53,EH73:EH80,-EH83,EH104))&gt;0.0001)*SUM(EH9,EH53,EH73:EH80,-EH83,EH104)</f>
        <v>0</v>
      </c>
      <c r="EI116" s="848">
        <f t="shared" si="61"/>
        <v>0</v>
      </c>
      <c r="EJ116" s="848">
        <f t="shared" si="61"/>
        <v>0</v>
      </c>
      <c r="EK116" s="848">
        <f t="shared" si="61"/>
        <v>0</v>
      </c>
      <c r="EL116" s="848">
        <f t="shared" si="61"/>
        <v>0</v>
      </c>
    </row>
    <row r="117" spans="2:143" s="833" customFormat="1" ht="13.5">
      <c r="B117" s="1000"/>
      <c r="C117" s="1001"/>
      <c r="D117" s="1001"/>
      <c r="E117" s="1001" t="s">
        <v>959</v>
      </c>
      <c r="F117" s="1008"/>
      <c r="G117" s="1001"/>
      <c r="H117" s="848">
        <f>SUM(J117:EL117)</f>
        <v>0</v>
      </c>
      <c r="J117" s="848">
        <f>IF(J116&gt;0,0,-J116)</f>
        <v>0</v>
      </c>
      <c r="K117" s="848">
        <f>IF(K116&gt;0,0,-K116)</f>
        <v>0</v>
      </c>
      <c r="L117" s="848">
        <f t="shared" ref="L117:BW117" si="62">IF(L116&gt;0,0,-L116)</f>
        <v>0</v>
      </c>
      <c r="M117" s="848">
        <f t="shared" si="62"/>
        <v>0</v>
      </c>
      <c r="N117" s="848">
        <f t="shared" si="62"/>
        <v>0</v>
      </c>
      <c r="O117" s="848">
        <f t="shared" si="62"/>
        <v>0</v>
      </c>
      <c r="P117" s="848">
        <f t="shared" si="62"/>
        <v>0</v>
      </c>
      <c r="Q117" s="848">
        <f t="shared" si="62"/>
        <v>0</v>
      </c>
      <c r="R117" s="848">
        <f t="shared" si="62"/>
        <v>0</v>
      </c>
      <c r="S117" s="848">
        <f t="shared" si="62"/>
        <v>0</v>
      </c>
      <c r="T117" s="848">
        <f t="shared" si="62"/>
        <v>0</v>
      </c>
      <c r="U117" s="848">
        <f t="shared" si="62"/>
        <v>0</v>
      </c>
      <c r="V117" s="848">
        <f t="shared" si="62"/>
        <v>0</v>
      </c>
      <c r="W117" s="848">
        <f t="shared" si="62"/>
        <v>0</v>
      </c>
      <c r="X117" s="848">
        <f t="shared" si="62"/>
        <v>0</v>
      </c>
      <c r="Y117" s="848">
        <f t="shared" si="62"/>
        <v>0</v>
      </c>
      <c r="Z117" s="848">
        <f t="shared" si="62"/>
        <v>0</v>
      </c>
      <c r="AA117" s="848">
        <f t="shared" si="62"/>
        <v>0</v>
      </c>
      <c r="AB117" s="848">
        <f t="shared" si="62"/>
        <v>0</v>
      </c>
      <c r="AC117" s="848">
        <f t="shared" si="62"/>
        <v>0</v>
      </c>
      <c r="AD117" s="848">
        <f t="shared" si="62"/>
        <v>0</v>
      </c>
      <c r="AE117" s="848">
        <f t="shared" si="62"/>
        <v>0</v>
      </c>
      <c r="AF117" s="848">
        <f t="shared" si="62"/>
        <v>0</v>
      </c>
      <c r="AG117" s="848">
        <f t="shared" si="62"/>
        <v>0</v>
      </c>
      <c r="AH117" s="848">
        <f t="shared" si="62"/>
        <v>0</v>
      </c>
      <c r="AI117" s="848">
        <f t="shared" si="62"/>
        <v>0</v>
      </c>
      <c r="AJ117" s="848">
        <f t="shared" si="62"/>
        <v>0</v>
      </c>
      <c r="AK117" s="848">
        <f t="shared" si="62"/>
        <v>0</v>
      </c>
      <c r="AL117" s="848">
        <f t="shared" si="62"/>
        <v>0</v>
      </c>
      <c r="AM117" s="848">
        <f t="shared" si="62"/>
        <v>0</v>
      </c>
      <c r="AN117" s="848">
        <f t="shared" si="62"/>
        <v>0</v>
      </c>
      <c r="AO117" s="848">
        <f t="shared" si="62"/>
        <v>0</v>
      </c>
      <c r="AP117" s="848">
        <f t="shared" si="62"/>
        <v>0</v>
      </c>
      <c r="AQ117" s="848">
        <f t="shared" si="62"/>
        <v>0</v>
      </c>
      <c r="AR117" s="848">
        <f t="shared" si="62"/>
        <v>0</v>
      </c>
      <c r="AS117" s="848">
        <f t="shared" si="62"/>
        <v>0</v>
      </c>
      <c r="AT117" s="848">
        <f t="shared" si="62"/>
        <v>0</v>
      </c>
      <c r="AU117" s="848">
        <f t="shared" si="62"/>
        <v>0</v>
      </c>
      <c r="AV117" s="848">
        <f t="shared" si="62"/>
        <v>0</v>
      </c>
      <c r="AW117" s="848">
        <f t="shared" si="62"/>
        <v>0</v>
      </c>
      <c r="AX117" s="848">
        <f t="shared" si="62"/>
        <v>0</v>
      </c>
      <c r="AY117" s="848">
        <f t="shared" si="62"/>
        <v>0</v>
      </c>
      <c r="AZ117" s="848">
        <f t="shared" si="62"/>
        <v>0</v>
      </c>
      <c r="BA117" s="848">
        <f t="shared" si="62"/>
        <v>0</v>
      </c>
      <c r="BB117" s="848">
        <f t="shared" si="62"/>
        <v>0</v>
      </c>
      <c r="BC117" s="848">
        <f t="shared" si="62"/>
        <v>0</v>
      </c>
      <c r="BD117" s="848">
        <f t="shared" si="62"/>
        <v>0</v>
      </c>
      <c r="BE117" s="848">
        <f t="shared" si="62"/>
        <v>0</v>
      </c>
      <c r="BF117" s="848">
        <f t="shared" si="62"/>
        <v>0</v>
      </c>
      <c r="BG117" s="848">
        <f t="shared" si="62"/>
        <v>0</v>
      </c>
      <c r="BH117" s="848">
        <f t="shared" si="62"/>
        <v>0</v>
      </c>
      <c r="BI117" s="848">
        <f t="shared" si="62"/>
        <v>0</v>
      </c>
      <c r="BJ117" s="848">
        <f t="shared" si="62"/>
        <v>0</v>
      </c>
      <c r="BK117" s="848">
        <f t="shared" si="62"/>
        <v>0</v>
      </c>
      <c r="BL117" s="848">
        <f t="shared" si="62"/>
        <v>0</v>
      </c>
      <c r="BM117" s="848">
        <f t="shared" si="62"/>
        <v>0</v>
      </c>
      <c r="BN117" s="848">
        <f t="shared" si="62"/>
        <v>0</v>
      </c>
      <c r="BO117" s="848">
        <f t="shared" si="62"/>
        <v>0</v>
      </c>
      <c r="BP117" s="848">
        <f t="shared" si="62"/>
        <v>0</v>
      </c>
      <c r="BQ117" s="848">
        <f t="shared" si="62"/>
        <v>0</v>
      </c>
      <c r="BR117" s="848">
        <f t="shared" si="62"/>
        <v>0</v>
      </c>
      <c r="BS117" s="848">
        <f t="shared" si="62"/>
        <v>0</v>
      </c>
      <c r="BT117" s="848">
        <f t="shared" si="62"/>
        <v>0</v>
      </c>
      <c r="BU117" s="848">
        <f t="shared" si="62"/>
        <v>0</v>
      </c>
      <c r="BV117" s="848">
        <f t="shared" si="62"/>
        <v>0</v>
      </c>
      <c r="BW117" s="848">
        <f t="shared" si="62"/>
        <v>0</v>
      </c>
      <c r="BX117" s="848">
        <f t="shared" ref="BX117:EI117" si="63">IF(BX116&gt;0,0,-BX116)</f>
        <v>0</v>
      </c>
      <c r="BY117" s="848">
        <f t="shared" si="63"/>
        <v>0</v>
      </c>
      <c r="BZ117" s="848">
        <f t="shared" si="63"/>
        <v>0</v>
      </c>
      <c r="CA117" s="848">
        <f t="shared" si="63"/>
        <v>0</v>
      </c>
      <c r="CB117" s="848">
        <f t="shared" si="63"/>
        <v>0</v>
      </c>
      <c r="CC117" s="848">
        <f t="shared" si="63"/>
        <v>0</v>
      </c>
      <c r="CD117" s="848">
        <f t="shared" si="63"/>
        <v>0</v>
      </c>
      <c r="CE117" s="848">
        <f t="shared" si="63"/>
        <v>0</v>
      </c>
      <c r="CF117" s="848">
        <f t="shared" si="63"/>
        <v>0</v>
      </c>
      <c r="CG117" s="848">
        <f t="shared" si="63"/>
        <v>0</v>
      </c>
      <c r="CH117" s="848">
        <f t="shared" si="63"/>
        <v>0</v>
      </c>
      <c r="CI117" s="848">
        <f t="shared" si="63"/>
        <v>0</v>
      </c>
      <c r="CJ117" s="848">
        <f t="shared" si="63"/>
        <v>0</v>
      </c>
      <c r="CK117" s="848">
        <f t="shared" si="63"/>
        <v>0</v>
      </c>
      <c r="CL117" s="848">
        <f t="shared" si="63"/>
        <v>0</v>
      </c>
      <c r="CM117" s="848">
        <f t="shared" si="63"/>
        <v>0</v>
      </c>
      <c r="CN117" s="848">
        <f t="shared" si="63"/>
        <v>0</v>
      </c>
      <c r="CO117" s="848">
        <f t="shared" si="63"/>
        <v>0</v>
      </c>
      <c r="CP117" s="848">
        <f t="shared" si="63"/>
        <v>0</v>
      </c>
      <c r="CQ117" s="848">
        <f t="shared" si="63"/>
        <v>0</v>
      </c>
      <c r="CR117" s="848">
        <f t="shared" si="63"/>
        <v>0</v>
      </c>
      <c r="CS117" s="848">
        <f t="shared" si="63"/>
        <v>0</v>
      </c>
      <c r="CT117" s="848">
        <f t="shared" si="63"/>
        <v>0</v>
      </c>
      <c r="CU117" s="848">
        <f t="shared" si="63"/>
        <v>0</v>
      </c>
      <c r="CV117" s="848">
        <f t="shared" si="63"/>
        <v>0</v>
      </c>
      <c r="CW117" s="848">
        <f t="shared" si="63"/>
        <v>0</v>
      </c>
      <c r="CX117" s="848">
        <f t="shared" si="63"/>
        <v>0</v>
      </c>
      <c r="CY117" s="848">
        <f t="shared" si="63"/>
        <v>0</v>
      </c>
      <c r="CZ117" s="848">
        <f t="shared" si="63"/>
        <v>0</v>
      </c>
      <c r="DA117" s="848">
        <f t="shared" si="63"/>
        <v>0</v>
      </c>
      <c r="DB117" s="848">
        <f t="shared" si="63"/>
        <v>0</v>
      </c>
      <c r="DC117" s="848">
        <f t="shared" si="63"/>
        <v>0</v>
      </c>
      <c r="DD117" s="848">
        <f t="shared" si="63"/>
        <v>0</v>
      </c>
      <c r="DE117" s="848">
        <f t="shared" si="63"/>
        <v>0</v>
      </c>
      <c r="DF117" s="848">
        <f t="shared" si="63"/>
        <v>0</v>
      </c>
      <c r="DG117" s="848">
        <f t="shared" si="63"/>
        <v>0</v>
      </c>
      <c r="DH117" s="848">
        <f t="shared" si="63"/>
        <v>0</v>
      </c>
      <c r="DI117" s="848">
        <f t="shared" si="63"/>
        <v>0</v>
      </c>
      <c r="DJ117" s="848">
        <f t="shared" si="63"/>
        <v>0</v>
      </c>
      <c r="DK117" s="848">
        <f t="shared" si="63"/>
        <v>0</v>
      </c>
      <c r="DL117" s="848">
        <f t="shared" si="63"/>
        <v>0</v>
      </c>
      <c r="DM117" s="848">
        <f t="shared" si="63"/>
        <v>0</v>
      </c>
      <c r="DN117" s="848">
        <f t="shared" si="63"/>
        <v>0</v>
      </c>
      <c r="DO117" s="848">
        <f t="shared" si="63"/>
        <v>0</v>
      </c>
      <c r="DP117" s="848">
        <f t="shared" si="63"/>
        <v>0</v>
      </c>
      <c r="DQ117" s="848">
        <f t="shared" si="63"/>
        <v>0</v>
      </c>
      <c r="DR117" s="848">
        <f t="shared" si="63"/>
        <v>0</v>
      </c>
      <c r="DS117" s="848">
        <f t="shared" si="63"/>
        <v>0</v>
      </c>
      <c r="DT117" s="848">
        <f t="shared" si="63"/>
        <v>0</v>
      </c>
      <c r="DU117" s="848">
        <f t="shared" si="63"/>
        <v>0</v>
      </c>
      <c r="DV117" s="848">
        <f t="shared" si="63"/>
        <v>0</v>
      </c>
      <c r="DW117" s="848">
        <f t="shared" si="63"/>
        <v>0</v>
      </c>
      <c r="DX117" s="848">
        <f t="shared" si="63"/>
        <v>0</v>
      </c>
      <c r="DY117" s="848">
        <f t="shared" si="63"/>
        <v>0</v>
      </c>
      <c r="DZ117" s="848">
        <f t="shared" si="63"/>
        <v>0</v>
      </c>
      <c r="EA117" s="848">
        <f t="shared" si="63"/>
        <v>0</v>
      </c>
      <c r="EB117" s="848">
        <f t="shared" si="63"/>
        <v>0</v>
      </c>
      <c r="EC117" s="848">
        <f t="shared" si="63"/>
        <v>0</v>
      </c>
      <c r="ED117" s="848">
        <f t="shared" si="63"/>
        <v>0</v>
      </c>
      <c r="EE117" s="848">
        <f t="shared" si="63"/>
        <v>0</v>
      </c>
      <c r="EF117" s="848">
        <f t="shared" si="63"/>
        <v>0</v>
      </c>
      <c r="EG117" s="848">
        <f t="shared" si="63"/>
        <v>0</v>
      </c>
      <c r="EH117" s="848">
        <f t="shared" si="63"/>
        <v>0</v>
      </c>
      <c r="EI117" s="848">
        <f t="shared" si="63"/>
        <v>0</v>
      </c>
      <c r="EJ117" s="848">
        <f>IF(EJ116&gt;0,0,-EJ116)</f>
        <v>0</v>
      </c>
      <c r="EK117" s="848">
        <f>IF(EK116&gt;0,0,-EK116)</f>
        <v>0</v>
      </c>
      <c r="EL117" s="848">
        <f>IF(EL116&gt;0,0,-EL116)</f>
        <v>0</v>
      </c>
    </row>
    <row r="118" spans="2:143" s="833" customFormat="1">
      <c r="B118" s="1000"/>
      <c r="C118" s="1001"/>
      <c r="D118" s="1001"/>
      <c r="E118" s="1001"/>
      <c r="F118" s="1008"/>
      <c r="G118" s="1001"/>
      <c r="H118" s="214"/>
      <c r="J118" s="214"/>
      <c r="K118" s="214"/>
      <c r="L118" s="214"/>
      <c r="M118" s="214"/>
      <c r="N118" s="214"/>
      <c r="O118" s="214"/>
      <c r="P118" s="214"/>
      <c r="Q118" s="214"/>
      <c r="R118" s="214"/>
      <c r="S118" s="214"/>
      <c r="T118" s="214"/>
      <c r="U118" s="214"/>
      <c r="V118" s="214"/>
      <c r="W118" s="214"/>
      <c r="X118" s="214"/>
      <c r="Y118" s="214"/>
      <c r="Z118" s="214"/>
      <c r="AA118" s="214"/>
      <c r="AB118" s="214"/>
      <c r="AC118" s="214"/>
      <c r="AD118" s="214"/>
      <c r="AE118" s="214"/>
      <c r="AF118" s="214"/>
      <c r="AG118" s="214"/>
      <c r="AH118" s="214"/>
      <c r="AI118" s="214"/>
      <c r="AJ118" s="214"/>
      <c r="AK118" s="214"/>
      <c r="AL118" s="214"/>
      <c r="AM118" s="214"/>
      <c r="AN118" s="214"/>
      <c r="AO118" s="214"/>
      <c r="AP118" s="214"/>
      <c r="AQ118" s="214"/>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N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214"/>
      <c r="DN118" s="214"/>
      <c r="DO118" s="214"/>
      <c r="DP118" s="214"/>
      <c r="DQ118" s="214"/>
      <c r="DR118" s="214"/>
      <c r="DS118" s="214"/>
      <c r="DT118" s="214"/>
      <c r="DU118" s="214"/>
      <c r="DV118" s="214"/>
      <c r="DW118" s="214"/>
      <c r="DX118" s="214"/>
      <c r="DY118" s="214"/>
      <c r="DZ118" s="214"/>
      <c r="EA118" s="214"/>
      <c r="EB118" s="214"/>
      <c r="EC118" s="214"/>
      <c r="ED118" s="214"/>
      <c r="EE118" s="214"/>
      <c r="EF118" s="214"/>
      <c r="EG118" s="214"/>
      <c r="EH118" s="214"/>
      <c r="EI118" s="214"/>
      <c r="EJ118" s="214"/>
      <c r="EK118" s="214"/>
      <c r="EL118" s="214"/>
    </row>
    <row r="119" spans="2:143" s="833" customFormat="1" ht="13.5">
      <c r="B119" s="1000"/>
      <c r="C119" s="1001"/>
      <c r="D119" s="1001"/>
      <c r="E119" s="1001" t="s">
        <v>960</v>
      </c>
      <c r="F119" s="1001"/>
      <c r="G119" s="1001"/>
      <c r="H119" s="525">
        <f>SUM(J119:EL119)</f>
        <v>0</v>
      </c>
      <c r="J119" s="848">
        <f>(J117&gt;0)*1</f>
        <v>0</v>
      </c>
      <c r="K119" s="848">
        <f>(K117&gt;0)*1</f>
        <v>0</v>
      </c>
      <c r="L119" s="848">
        <f t="shared" ref="L119:BW119" si="64">(L117&gt;0)*1</f>
        <v>0</v>
      </c>
      <c r="M119" s="848">
        <f t="shared" si="64"/>
        <v>0</v>
      </c>
      <c r="N119" s="848">
        <f t="shared" si="64"/>
        <v>0</v>
      </c>
      <c r="O119" s="848">
        <f t="shared" si="64"/>
        <v>0</v>
      </c>
      <c r="P119" s="848">
        <f t="shared" si="64"/>
        <v>0</v>
      </c>
      <c r="Q119" s="848">
        <f t="shared" si="64"/>
        <v>0</v>
      </c>
      <c r="R119" s="848">
        <f t="shared" si="64"/>
        <v>0</v>
      </c>
      <c r="S119" s="848">
        <f t="shared" si="64"/>
        <v>0</v>
      </c>
      <c r="T119" s="848">
        <f t="shared" si="64"/>
        <v>0</v>
      </c>
      <c r="U119" s="848">
        <f t="shared" si="64"/>
        <v>0</v>
      </c>
      <c r="V119" s="848">
        <f t="shared" si="64"/>
        <v>0</v>
      </c>
      <c r="W119" s="848">
        <f t="shared" si="64"/>
        <v>0</v>
      </c>
      <c r="X119" s="848">
        <f t="shared" si="64"/>
        <v>0</v>
      </c>
      <c r="Y119" s="848">
        <f t="shared" si="64"/>
        <v>0</v>
      </c>
      <c r="Z119" s="848">
        <f t="shared" si="64"/>
        <v>0</v>
      </c>
      <c r="AA119" s="848">
        <f t="shared" si="64"/>
        <v>0</v>
      </c>
      <c r="AB119" s="848">
        <f t="shared" si="64"/>
        <v>0</v>
      </c>
      <c r="AC119" s="848">
        <f t="shared" si="64"/>
        <v>0</v>
      </c>
      <c r="AD119" s="848">
        <f t="shared" si="64"/>
        <v>0</v>
      </c>
      <c r="AE119" s="848">
        <f t="shared" si="64"/>
        <v>0</v>
      </c>
      <c r="AF119" s="848">
        <f t="shared" si="64"/>
        <v>0</v>
      </c>
      <c r="AG119" s="848">
        <f t="shared" si="64"/>
        <v>0</v>
      </c>
      <c r="AH119" s="848">
        <f t="shared" si="64"/>
        <v>0</v>
      </c>
      <c r="AI119" s="848">
        <f t="shared" si="64"/>
        <v>0</v>
      </c>
      <c r="AJ119" s="848">
        <f t="shared" si="64"/>
        <v>0</v>
      </c>
      <c r="AK119" s="848">
        <f t="shared" si="64"/>
        <v>0</v>
      </c>
      <c r="AL119" s="848">
        <f t="shared" si="64"/>
        <v>0</v>
      </c>
      <c r="AM119" s="848">
        <f t="shared" si="64"/>
        <v>0</v>
      </c>
      <c r="AN119" s="848">
        <f t="shared" si="64"/>
        <v>0</v>
      </c>
      <c r="AO119" s="848">
        <f t="shared" si="64"/>
        <v>0</v>
      </c>
      <c r="AP119" s="848">
        <f t="shared" si="64"/>
        <v>0</v>
      </c>
      <c r="AQ119" s="848">
        <f t="shared" si="64"/>
        <v>0</v>
      </c>
      <c r="AR119" s="848">
        <f t="shared" si="64"/>
        <v>0</v>
      </c>
      <c r="AS119" s="848">
        <f t="shared" si="64"/>
        <v>0</v>
      </c>
      <c r="AT119" s="848">
        <f t="shared" si="64"/>
        <v>0</v>
      </c>
      <c r="AU119" s="848">
        <f t="shared" si="64"/>
        <v>0</v>
      </c>
      <c r="AV119" s="848">
        <f t="shared" si="64"/>
        <v>0</v>
      </c>
      <c r="AW119" s="848">
        <f t="shared" si="64"/>
        <v>0</v>
      </c>
      <c r="AX119" s="848">
        <f t="shared" si="64"/>
        <v>0</v>
      </c>
      <c r="AY119" s="848">
        <f t="shared" si="64"/>
        <v>0</v>
      </c>
      <c r="AZ119" s="848">
        <f t="shared" si="64"/>
        <v>0</v>
      </c>
      <c r="BA119" s="848">
        <f t="shared" si="64"/>
        <v>0</v>
      </c>
      <c r="BB119" s="848">
        <f t="shared" si="64"/>
        <v>0</v>
      </c>
      <c r="BC119" s="848">
        <f t="shared" si="64"/>
        <v>0</v>
      </c>
      <c r="BD119" s="848">
        <f t="shared" si="64"/>
        <v>0</v>
      </c>
      <c r="BE119" s="848">
        <f t="shared" si="64"/>
        <v>0</v>
      </c>
      <c r="BF119" s="848">
        <f t="shared" si="64"/>
        <v>0</v>
      </c>
      <c r="BG119" s="848">
        <f t="shared" si="64"/>
        <v>0</v>
      </c>
      <c r="BH119" s="848">
        <f t="shared" si="64"/>
        <v>0</v>
      </c>
      <c r="BI119" s="848">
        <f t="shared" si="64"/>
        <v>0</v>
      </c>
      <c r="BJ119" s="848">
        <f t="shared" si="64"/>
        <v>0</v>
      </c>
      <c r="BK119" s="848">
        <f t="shared" si="64"/>
        <v>0</v>
      </c>
      <c r="BL119" s="848">
        <f t="shared" si="64"/>
        <v>0</v>
      </c>
      <c r="BM119" s="848">
        <f t="shared" si="64"/>
        <v>0</v>
      </c>
      <c r="BN119" s="848">
        <f t="shared" si="64"/>
        <v>0</v>
      </c>
      <c r="BO119" s="848">
        <f t="shared" si="64"/>
        <v>0</v>
      </c>
      <c r="BP119" s="848">
        <f t="shared" si="64"/>
        <v>0</v>
      </c>
      <c r="BQ119" s="848">
        <f t="shared" si="64"/>
        <v>0</v>
      </c>
      <c r="BR119" s="848">
        <f t="shared" si="64"/>
        <v>0</v>
      </c>
      <c r="BS119" s="848">
        <f t="shared" si="64"/>
        <v>0</v>
      </c>
      <c r="BT119" s="848">
        <f t="shared" si="64"/>
        <v>0</v>
      </c>
      <c r="BU119" s="848">
        <f t="shared" si="64"/>
        <v>0</v>
      </c>
      <c r="BV119" s="848">
        <f t="shared" si="64"/>
        <v>0</v>
      </c>
      <c r="BW119" s="848">
        <f t="shared" si="64"/>
        <v>0</v>
      </c>
      <c r="BX119" s="848">
        <f t="shared" ref="BX119:EI119" si="65">(BX117&gt;0)*1</f>
        <v>0</v>
      </c>
      <c r="BY119" s="848">
        <f t="shared" si="65"/>
        <v>0</v>
      </c>
      <c r="BZ119" s="848">
        <f t="shared" si="65"/>
        <v>0</v>
      </c>
      <c r="CA119" s="848">
        <f t="shared" si="65"/>
        <v>0</v>
      </c>
      <c r="CB119" s="848">
        <f t="shared" si="65"/>
        <v>0</v>
      </c>
      <c r="CC119" s="848">
        <f t="shared" si="65"/>
        <v>0</v>
      </c>
      <c r="CD119" s="848">
        <f t="shared" si="65"/>
        <v>0</v>
      </c>
      <c r="CE119" s="848">
        <f t="shared" si="65"/>
        <v>0</v>
      </c>
      <c r="CF119" s="848">
        <f t="shared" si="65"/>
        <v>0</v>
      </c>
      <c r="CG119" s="848">
        <f t="shared" si="65"/>
        <v>0</v>
      </c>
      <c r="CH119" s="848">
        <f t="shared" si="65"/>
        <v>0</v>
      </c>
      <c r="CI119" s="848">
        <f t="shared" si="65"/>
        <v>0</v>
      </c>
      <c r="CJ119" s="848">
        <f t="shared" si="65"/>
        <v>0</v>
      </c>
      <c r="CK119" s="848">
        <f t="shared" si="65"/>
        <v>0</v>
      </c>
      <c r="CL119" s="848">
        <f t="shared" si="65"/>
        <v>0</v>
      </c>
      <c r="CM119" s="848">
        <f t="shared" si="65"/>
        <v>0</v>
      </c>
      <c r="CN119" s="848">
        <f t="shared" si="65"/>
        <v>0</v>
      </c>
      <c r="CO119" s="848">
        <f t="shared" si="65"/>
        <v>0</v>
      </c>
      <c r="CP119" s="848">
        <f t="shared" si="65"/>
        <v>0</v>
      </c>
      <c r="CQ119" s="848">
        <f t="shared" si="65"/>
        <v>0</v>
      </c>
      <c r="CR119" s="848">
        <f t="shared" si="65"/>
        <v>0</v>
      </c>
      <c r="CS119" s="848">
        <f t="shared" si="65"/>
        <v>0</v>
      </c>
      <c r="CT119" s="848">
        <f t="shared" si="65"/>
        <v>0</v>
      </c>
      <c r="CU119" s="848">
        <f t="shared" si="65"/>
        <v>0</v>
      </c>
      <c r="CV119" s="848">
        <f t="shared" si="65"/>
        <v>0</v>
      </c>
      <c r="CW119" s="848">
        <f t="shared" si="65"/>
        <v>0</v>
      </c>
      <c r="CX119" s="848">
        <f t="shared" si="65"/>
        <v>0</v>
      </c>
      <c r="CY119" s="848">
        <f t="shared" si="65"/>
        <v>0</v>
      </c>
      <c r="CZ119" s="848">
        <f t="shared" si="65"/>
        <v>0</v>
      </c>
      <c r="DA119" s="848">
        <f t="shared" si="65"/>
        <v>0</v>
      </c>
      <c r="DB119" s="848">
        <f t="shared" si="65"/>
        <v>0</v>
      </c>
      <c r="DC119" s="848">
        <f t="shared" si="65"/>
        <v>0</v>
      </c>
      <c r="DD119" s="848">
        <f t="shared" si="65"/>
        <v>0</v>
      </c>
      <c r="DE119" s="848">
        <f t="shared" si="65"/>
        <v>0</v>
      </c>
      <c r="DF119" s="848">
        <f t="shared" si="65"/>
        <v>0</v>
      </c>
      <c r="DG119" s="848">
        <f t="shared" si="65"/>
        <v>0</v>
      </c>
      <c r="DH119" s="848">
        <f t="shared" si="65"/>
        <v>0</v>
      </c>
      <c r="DI119" s="848">
        <f t="shared" si="65"/>
        <v>0</v>
      </c>
      <c r="DJ119" s="848">
        <f t="shared" si="65"/>
        <v>0</v>
      </c>
      <c r="DK119" s="848">
        <f t="shared" si="65"/>
        <v>0</v>
      </c>
      <c r="DL119" s="848">
        <f t="shared" si="65"/>
        <v>0</v>
      </c>
      <c r="DM119" s="848">
        <f t="shared" si="65"/>
        <v>0</v>
      </c>
      <c r="DN119" s="848">
        <f t="shared" si="65"/>
        <v>0</v>
      </c>
      <c r="DO119" s="848">
        <f t="shared" si="65"/>
        <v>0</v>
      </c>
      <c r="DP119" s="848">
        <f t="shared" si="65"/>
        <v>0</v>
      </c>
      <c r="DQ119" s="848">
        <f t="shared" si="65"/>
        <v>0</v>
      </c>
      <c r="DR119" s="848">
        <f t="shared" si="65"/>
        <v>0</v>
      </c>
      <c r="DS119" s="848">
        <f t="shared" si="65"/>
        <v>0</v>
      </c>
      <c r="DT119" s="848">
        <f t="shared" si="65"/>
        <v>0</v>
      </c>
      <c r="DU119" s="848">
        <f t="shared" si="65"/>
        <v>0</v>
      </c>
      <c r="DV119" s="848">
        <f t="shared" si="65"/>
        <v>0</v>
      </c>
      <c r="DW119" s="848">
        <f t="shared" si="65"/>
        <v>0</v>
      </c>
      <c r="DX119" s="848">
        <f t="shared" si="65"/>
        <v>0</v>
      </c>
      <c r="DY119" s="848">
        <f t="shared" si="65"/>
        <v>0</v>
      </c>
      <c r="DZ119" s="848">
        <f t="shared" si="65"/>
        <v>0</v>
      </c>
      <c r="EA119" s="848">
        <f t="shared" si="65"/>
        <v>0</v>
      </c>
      <c r="EB119" s="848">
        <f t="shared" si="65"/>
        <v>0</v>
      </c>
      <c r="EC119" s="848">
        <f t="shared" si="65"/>
        <v>0</v>
      </c>
      <c r="ED119" s="848">
        <f t="shared" si="65"/>
        <v>0</v>
      </c>
      <c r="EE119" s="848">
        <f t="shared" si="65"/>
        <v>0</v>
      </c>
      <c r="EF119" s="848">
        <f t="shared" si="65"/>
        <v>0</v>
      </c>
      <c r="EG119" s="848">
        <f t="shared" si="65"/>
        <v>0</v>
      </c>
      <c r="EH119" s="848">
        <f t="shared" si="65"/>
        <v>0</v>
      </c>
      <c r="EI119" s="848">
        <f t="shared" si="65"/>
        <v>0</v>
      </c>
      <c r="EJ119" s="848">
        <f>(EJ117&gt;0)*1</f>
        <v>0</v>
      </c>
      <c r="EK119" s="848">
        <f>(EK117&gt;0)*1</f>
        <v>0</v>
      </c>
      <c r="EL119" s="848">
        <f>(EL117&gt;0)*1</f>
        <v>0</v>
      </c>
    </row>
    <row r="120" spans="2:143" s="833" customFormat="1" ht="13.5">
      <c r="B120" s="1000"/>
      <c r="C120" s="1001"/>
      <c r="D120" s="1001"/>
      <c r="E120" s="1001" t="s">
        <v>961</v>
      </c>
      <c r="F120" s="1001"/>
      <c r="G120" s="1001"/>
      <c r="H120" s="848">
        <f>MAX(J117:EL117)</f>
        <v>0</v>
      </c>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14"/>
      <c r="AF120" s="214"/>
      <c r="AG120" s="214"/>
      <c r="AH120" s="214"/>
      <c r="AI120" s="214"/>
      <c r="AJ120" s="214"/>
      <c r="AK120" s="214"/>
      <c r="AL120" s="214"/>
      <c r="AM120" s="214"/>
      <c r="AN120" s="214"/>
      <c r="AO120" s="214"/>
      <c r="AP120" s="214"/>
      <c r="AQ120" s="214"/>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N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214"/>
      <c r="DN120" s="214"/>
      <c r="DO120" s="214"/>
      <c r="DP120" s="214"/>
      <c r="DQ120" s="214"/>
      <c r="DR120" s="214"/>
      <c r="DS120" s="214"/>
      <c r="DT120" s="214"/>
      <c r="DU120" s="214"/>
      <c r="DV120" s="214"/>
      <c r="DW120" s="214"/>
      <c r="DX120" s="214"/>
      <c r="DY120" s="214"/>
      <c r="DZ120" s="214"/>
      <c r="EA120" s="214"/>
      <c r="EB120" s="214"/>
      <c r="EC120" s="214"/>
      <c r="ED120" s="214"/>
      <c r="EE120" s="214"/>
      <c r="EF120" s="214"/>
      <c r="EG120" s="214"/>
      <c r="EH120" s="214"/>
      <c r="EI120" s="214"/>
      <c r="EJ120" s="214"/>
      <c r="EK120" s="214"/>
      <c r="EL120" s="214"/>
    </row>
    <row r="121" spans="2:143" s="833" customFormat="1" ht="13.5">
      <c r="B121" s="1000"/>
      <c r="C121" s="1001"/>
      <c r="D121" s="1001"/>
      <c r="E121" s="1001" t="s">
        <v>962</v>
      </c>
      <c r="F121" s="1001"/>
      <c r="G121" s="1001"/>
      <c r="H121" s="214" t="str">
        <f>IF(H119&gt;0,SUM(J121:EL121),"No Debt!!")</f>
        <v>No Debt!!</v>
      </c>
      <c r="J121" s="848">
        <f>($H120=J117)*J$7*($H117&gt;0)</f>
        <v>0</v>
      </c>
      <c r="K121" s="848">
        <f>($H120=K117)*K$7*($H117&gt;0)</f>
        <v>0</v>
      </c>
      <c r="L121" s="848">
        <f t="shared" ref="L121:BW121" si="66">($H120=L117)*L$7*($H117&gt;0)</f>
        <v>0</v>
      </c>
      <c r="M121" s="848">
        <f t="shared" si="66"/>
        <v>0</v>
      </c>
      <c r="N121" s="848">
        <f t="shared" si="66"/>
        <v>0</v>
      </c>
      <c r="O121" s="848">
        <f t="shared" si="66"/>
        <v>0</v>
      </c>
      <c r="P121" s="848">
        <f t="shared" si="66"/>
        <v>0</v>
      </c>
      <c r="Q121" s="848">
        <f t="shared" si="66"/>
        <v>0</v>
      </c>
      <c r="R121" s="848">
        <f t="shared" si="66"/>
        <v>0</v>
      </c>
      <c r="S121" s="848">
        <f t="shared" si="66"/>
        <v>0</v>
      </c>
      <c r="T121" s="848">
        <f t="shared" si="66"/>
        <v>0</v>
      </c>
      <c r="U121" s="848">
        <f t="shared" si="66"/>
        <v>0</v>
      </c>
      <c r="V121" s="848">
        <f t="shared" si="66"/>
        <v>0</v>
      </c>
      <c r="W121" s="848">
        <f t="shared" si="66"/>
        <v>0</v>
      </c>
      <c r="X121" s="848">
        <f t="shared" si="66"/>
        <v>0</v>
      </c>
      <c r="Y121" s="848">
        <f t="shared" si="66"/>
        <v>0</v>
      </c>
      <c r="Z121" s="848">
        <f t="shared" si="66"/>
        <v>0</v>
      </c>
      <c r="AA121" s="848">
        <f t="shared" si="66"/>
        <v>0</v>
      </c>
      <c r="AB121" s="848">
        <f t="shared" si="66"/>
        <v>0</v>
      </c>
      <c r="AC121" s="848">
        <f t="shared" si="66"/>
        <v>0</v>
      </c>
      <c r="AD121" s="848">
        <f t="shared" si="66"/>
        <v>0</v>
      </c>
      <c r="AE121" s="848">
        <f t="shared" si="66"/>
        <v>0</v>
      </c>
      <c r="AF121" s="848">
        <f t="shared" si="66"/>
        <v>0</v>
      </c>
      <c r="AG121" s="848">
        <f t="shared" si="66"/>
        <v>0</v>
      </c>
      <c r="AH121" s="848">
        <f t="shared" si="66"/>
        <v>0</v>
      </c>
      <c r="AI121" s="848">
        <f t="shared" si="66"/>
        <v>0</v>
      </c>
      <c r="AJ121" s="848">
        <f t="shared" si="66"/>
        <v>0</v>
      </c>
      <c r="AK121" s="848">
        <f t="shared" si="66"/>
        <v>0</v>
      </c>
      <c r="AL121" s="848">
        <f t="shared" si="66"/>
        <v>0</v>
      </c>
      <c r="AM121" s="848">
        <f t="shared" si="66"/>
        <v>0</v>
      </c>
      <c r="AN121" s="848">
        <f t="shared" si="66"/>
        <v>0</v>
      </c>
      <c r="AO121" s="848">
        <f t="shared" si="66"/>
        <v>0</v>
      </c>
      <c r="AP121" s="848">
        <f t="shared" si="66"/>
        <v>0</v>
      </c>
      <c r="AQ121" s="848">
        <f t="shared" si="66"/>
        <v>0</v>
      </c>
      <c r="AR121" s="848">
        <f t="shared" si="66"/>
        <v>0</v>
      </c>
      <c r="AS121" s="848">
        <f t="shared" si="66"/>
        <v>0</v>
      </c>
      <c r="AT121" s="848">
        <f t="shared" si="66"/>
        <v>0</v>
      </c>
      <c r="AU121" s="848">
        <f t="shared" si="66"/>
        <v>0</v>
      </c>
      <c r="AV121" s="848">
        <f t="shared" si="66"/>
        <v>0</v>
      </c>
      <c r="AW121" s="848">
        <f t="shared" si="66"/>
        <v>0</v>
      </c>
      <c r="AX121" s="848">
        <f t="shared" si="66"/>
        <v>0</v>
      </c>
      <c r="AY121" s="848">
        <f t="shared" si="66"/>
        <v>0</v>
      </c>
      <c r="AZ121" s="848">
        <f t="shared" si="66"/>
        <v>0</v>
      </c>
      <c r="BA121" s="848">
        <f t="shared" si="66"/>
        <v>0</v>
      </c>
      <c r="BB121" s="848">
        <f t="shared" si="66"/>
        <v>0</v>
      </c>
      <c r="BC121" s="848">
        <f t="shared" si="66"/>
        <v>0</v>
      </c>
      <c r="BD121" s="848">
        <f t="shared" si="66"/>
        <v>0</v>
      </c>
      <c r="BE121" s="848">
        <f t="shared" si="66"/>
        <v>0</v>
      </c>
      <c r="BF121" s="848">
        <f t="shared" si="66"/>
        <v>0</v>
      </c>
      <c r="BG121" s="848">
        <f t="shared" si="66"/>
        <v>0</v>
      </c>
      <c r="BH121" s="848">
        <f t="shared" si="66"/>
        <v>0</v>
      </c>
      <c r="BI121" s="848">
        <f t="shared" si="66"/>
        <v>0</v>
      </c>
      <c r="BJ121" s="848">
        <f t="shared" si="66"/>
        <v>0</v>
      </c>
      <c r="BK121" s="848">
        <f t="shared" si="66"/>
        <v>0</v>
      </c>
      <c r="BL121" s="848">
        <f t="shared" si="66"/>
        <v>0</v>
      </c>
      <c r="BM121" s="848">
        <f t="shared" si="66"/>
        <v>0</v>
      </c>
      <c r="BN121" s="848">
        <f t="shared" si="66"/>
        <v>0</v>
      </c>
      <c r="BO121" s="848">
        <f t="shared" si="66"/>
        <v>0</v>
      </c>
      <c r="BP121" s="848">
        <f t="shared" si="66"/>
        <v>0</v>
      </c>
      <c r="BQ121" s="848">
        <f t="shared" si="66"/>
        <v>0</v>
      </c>
      <c r="BR121" s="848">
        <f t="shared" si="66"/>
        <v>0</v>
      </c>
      <c r="BS121" s="848">
        <f t="shared" si="66"/>
        <v>0</v>
      </c>
      <c r="BT121" s="848">
        <f t="shared" si="66"/>
        <v>0</v>
      </c>
      <c r="BU121" s="848">
        <f t="shared" si="66"/>
        <v>0</v>
      </c>
      <c r="BV121" s="848">
        <f t="shared" si="66"/>
        <v>0</v>
      </c>
      <c r="BW121" s="848">
        <f t="shared" si="66"/>
        <v>0</v>
      </c>
      <c r="BX121" s="848">
        <f t="shared" ref="BX121:EI121" si="67">($H120=BX117)*BX$7*($H117&gt;0)</f>
        <v>0</v>
      </c>
      <c r="BY121" s="848">
        <f t="shared" si="67"/>
        <v>0</v>
      </c>
      <c r="BZ121" s="848">
        <f t="shared" si="67"/>
        <v>0</v>
      </c>
      <c r="CA121" s="848">
        <f t="shared" si="67"/>
        <v>0</v>
      </c>
      <c r="CB121" s="848">
        <f t="shared" si="67"/>
        <v>0</v>
      </c>
      <c r="CC121" s="848">
        <f t="shared" si="67"/>
        <v>0</v>
      </c>
      <c r="CD121" s="848">
        <f t="shared" si="67"/>
        <v>0</v>
      </c>
      <c r="CE121" s="848">
        <f t="shared" si="67"/>
        <v>0</v>
      </c>
      <c r="CF121" s="848">
        <f t="shared" si="67"/>
        <v>0</v>
      </c>
      <c r="CG121" s="848">
        <f t="shared" si="67"/>
        <v>0</v>
      </c>
      <c r="CH121" s="848">
        <f t="shared" si="67"/>
        <v>0</v>
      </c>
      <c r="CI121" s="848">
        <f t="shared" si="67"/>
        <v>0</v>
      </c>
      <c r="CJ121" s="848">
        <f t="shared" si="67"/>
        <v>0</v>
      </c>
      <c r="CK121" s="848">
        <f t="shared" si="67"/>
        <v>0</v>
      </c>
      <c r="CL121" s="848">
        <f t="shared" si="67"/>
        <v>0</v>
      </c>
      <c r="CM121" s="848">
        <f t="shared" si="67"/>
        <v>0</v>
      </c>
      <c r="CN121" s="848">
        <f t="shared" si="67"/>
        <v>0</v>
      </c>
      <c r="CO121" s="848">
        <f t="shared" si="67"/>
        <v>0</v>
      </c>
      <c r="CP121" s="848">
        <f t="shared" si="67"/>
        <v>0</v>
      </c>
      <c r="CQ121" s="848">
        <f t="shared" si="67"/>
        <v>0</v>
      </c>
      <c r="CR121" s="848">
        <f t="shared" si="67"/>
        <v>0</v>
      </c>
      <c r="CS121" s="848">
        <f t="shared" si="67"/>
        <v>0</v>
      </c>
      <c r="CT121" s="848">
        <f t="shared" si="67"/>
        <v>0</v>
      </c>
      <c r="CU121" s="848">
        <f t="shared" si="67"/>
        <v>0</v>
      </c>
      <c r="CV121" s="848">
        <f t="shared" si="67"/>
        <v>0</v>
      </c>
      <c r="CW121" s="848">
        <f t="shared" si="67"/>
        <v>0</v>
      </c>
      <c r="CX121" s="848">
        <f t="shared" si="67"/>
        <v>0</v>
      </c>
      <c r="CY121" s="848">
        <f t="shared" si="67"/>
        <v>0</v>
      </c>
      <c r="CZ121" s="848">
        <f t="shared" si="67"/>
        <v>0</v>
      </c>
      <c r="DA121" s="848">
        <f t="shared" si="67"/>
        <v>0</v>
      </c>
      <c r="DB121" s="848">
        <f t="shared" si="67"/>
        <v>0</v>
      </c>
      <c r="DC121" s="848">
        <f t="shared" si="67"/>
        <v>0</v>
      </c>
      <c r="DD121" s="848">
        <f t="shared" si="67"/>
        <v>0</v>
      </c>
      <c r="DE121" s="848">
        <f t="shared" si="67"/>
        <v>0</v>
      </c>
      <c r="DF121" s="848">
        <f t="shared" si="67"/>
        <v>0</v>
      </c>
      <c r="DG121" s="848">
        <f t="shared" si="67"/>
        <v>0</v>
      </c>
      <c r="DH121" s="848">
        <f t="shared" si="67"/>
        <v>0</v>
      </c>
      <c r="DI121" s="848">
        <f t="shared" si="67"/>
        <v>0</v>
      </c>
      <c r="DJ121" s="848">
        <f t="shared" si="67"/>
        <v>0</v>
      </c>
      <c r="DK121" s="848">
        <f t="shared" si="67"/>
        <v>0</v>
      </c>
      <c r="DL121" s="848">
        <f t="shared" si="67"/>
        <v>0</v>
      </c>
      <c r="DM121" s="848">
        <f t="shared" si="67"/>
        <v>0</v>
      </c>
      <c r="DN121" s="848">
        <f t="shared" si="67"/>
        <v>0</v>
      </c>
      <c r="DO121" s="848">
        <f t="shared" si="67"/>
        <v>0</v>
      </c>
      <c r="DP121" s="848">
        <f t="shared" si="67"/>
        <v>0</v>
      </c>
      <c r="DQ121" s="848">
        <f t="shared" si="67"/>
        <v>0</v>
      </c>
      <c r="DR121" s="848">
        <f t="shared" si="67"/>
        <v>0</v>
      </c>
      <c r="DS121" s="848">
        <f t="shared" si="67"/>
        <v>0</v>
      </c>
      <c r="DT121" s="848">
        <f t="shared" si="67"/>
        <v>0</v>
      </c>
      <c r="DU121" s="848">
        <f t="shared" si="67"/>
        <v>0</v>
      </c>
      <c r="DV121" s="848">
        <f t="shared" si="67"/>
        <v>0</v>
      </c>
      <c r="DW121" s="848">
        <f t="shared" si="67"/>
        <v>0</v>
      </c>
      <c r="DX121" s="848">
        <f t="shared" si="67"/>
        <v>0</v>
      </c>
      <c r="DY121" s="848">
        <f t="shared" si="67"/>
        <v>0</v>
      </c>
      <c r="DZ121" s="848">
        <f t="shared" si="67"/>
        <v>0</v>
      </c>
      <c r="EA121" s="848">
        <f t="shared" si="67"/>
        <v>0</v>
      </c>
      <c r="EB121" s="848">
        <f t="shared" si="67"/>
        <v>0</v>
      </c>
      <c r="EC121" s="848">
        <f t="shared" si="67"/>
        <v>0</v>
      </c>
      <c r="ED121" s="848">
        <f t="shared" si="67"/>
        <v>0</v>
      </c>
      <c r="EE121" s="848">
        <f t="shared" si="67"/>
        <v>0</v>
      </c>
      <c r="EF121" s="848">
        <f t="shared" si="67"/>
        <v>0</v>
      </c>
      <c r="EG121" s="848">
        <f t="shared" si="67"/>
        <v>0</v>
      </c>
      <c r="EH121" s="848">
        <f t="shared" si="67"/>
        <v>0</v>
      </c>
      <c r="EI121" s="848">
        <f t="shared" si="67"/>
        <v>0</v>
      </c>
      <c r="EJ121" s="848">
        <f>($H120=EJ117)*EJ$7*($H117&gt;0)</f>
        <v>0</v>
      </c>
      <c r="EK121" s="848">
        <f>($H120=EK117)*EK$7*($H117&gt;0)</f>
        <v>0</v>
      </c>
      <c r="EL121" s="848">
        <f>($H120=EL117)*EL$7*($H117&gt;0)</f>
        <v>0</v>
      </c>
    </row>
    <row r="122" spans="2:143" s="833" customFormat="1">
      <c r="B122" s="1069"/>
      <c r="C122" s="1070"/>
      <c r="D122" s="1070"/>
      <c r="E122" s="1070"/>
      <c r="F122" s="1070"/>
      <c r="G122" s="1070"/>
      <c r="H122" s="523"/>
      <c r="J122" s="523"/>
      <c r="K122" s="52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row>
    <row r="123" spans="2:143" s="833" customFormat="1">
      <c r="B123" s="1000"/>
      <c r="C123" s="1001"/>
      <c r="D123" s="1001"/>
      <c r="E123" s="1001"/>
      <c r="F123" s="1008"/>
      <c r="G123" s="1001"/>
      <c r="H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14"/>
      <c r="AF123" s="214"/>
      <c r="AG123" s="214"/>
      <c r="AH123" s="214"/>
      <c r="AI123" s="214"/>
      <c r="AJ123" s="214"/>
      <c r="AK123" s="214"/>
      <c r="AL123" s="214"/>
      <c r="AM123" s="214"/>
      <c r="AN123" s="214"/>
      <c r="AO123" s="214"/>
      <c r="AP123" s="214"/>
      <c r="AQ123" s="214"/>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N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214"/>
      <c r="DN123" s="214"/>
      <c r="DO123" s="214"/>
      <c r="DP123" s="214"/>
      <c r="DQ123" s="214"/>
      <c r="DR123" s="214"/>
      <c r="DS123" s="214"/>
      <c r="DT123" s="214"/>
      <c r="DU123" s="214"/>
      <c r="DV123" s="214"/>
      <c r="DW123" s="214"/>
      <c r="DX123" s="214"/>
      <c r="DY123" s="214"/>
      <c r="DZ123" s="214"/>
      <c r="EA123" s="214"/>
      <c r="EB123" s="214"/>
      <c r="EC123" s="214"/>
      <c r="ED123" s="214"/>
      <c r="EE123" s="214"/>
      <c r="EF123" s="214"/>
      <c r="EG123" s="214"/>
      <c r="EH123" s="214"/>
      <c r="EI123" s="214"/>
      <c r="EJ123" s="214"/>
      <c r="EK123" s="214"/>
      <c r="EL123" s="214"/>
    </row>
    <row r="124" spans="2:143" s="833" customFormat="1" ht="13.5">
      <c r="B124" s="1000"/>
      <c r="C124" s="1001" t="s">
        <v>2188</v>
      </c>
      <c r="E124" s="1001"/>
      <c r="F124" s="1001"/>
      <c r="G124" s="1001"/>
      <c r="H124" s="214"/>
      <c r="J124" s="214"/>
      <c r="K124" s="214"/>
      <c r="L124" s="214"/>
      <c r="M124" s="214"/>
      <c r="N124" s="214"/>
      <c r="O124" s="214"/>
      <c r="P124" s="214"/>
      <c r="Q124" s="214"/>
      <c r="R124" s="214"/>
      <c r="S124" s="214"/>
      <c r="T124" s="214"/>
      <c r="U124" s="214"/>
      <c r="V124" s="214"/>
      <c r="W124" s="214"/>
      <c r="X124" s="214"/>
      <c r="Y124" s="214"/>
      <c r="Z124" s="214"/>
      <c r="AA124" s="214"/>
      <c r="AB124" s="214"/>
      <c r="AC124" s="214"/>
      <c r="AD124" s="214"/>
      <c r="AE124" s="214"/>
      <c r="AF124" s="214"/>
      <c r="AG124" s="214"/>
      <c r="AH124" s="214"/>
      <c r="AI124" s="214"/>
      <c r="AJ124" s="214"/>
      <c r="AK124" s="214"/>
      <c r="AL124" s="214"/>
      <c r="AM124" s="214"/>
      <c r="AN124" s="214"/>
      <c r="AO124" s="214"/>
      <c r="AP124" s="214"/>
      <c r="AQ124" s="214"/>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N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214"/>
      <c r="DN124" s="214"/>
      <c r="DO124" s="214"/>
      <c r="DP124" s="214"/>
      <c r="DQ124" s="214"/>
      <c r="DR124" s="214"/>
      <c r="DS124" s="214"/>
      <c r="DT124" s="214"/>
      <c r="DU124" s="214"/>
      <c r="DV124" s="214"/>
      <c r="DW124" s="214"/>
      <c r="DX124" s="214"/>
      <c r="DY124" s="214"/>
      <c r="DZ124" s="214"/>
      <c r="EA124" s="214"/>
      <c r="EB124" s="214"/>
      <c r="EC124" s="214"/>
      <c r="ED124" s="214"/>
      <c r="EE124" s="214"/>
      <c r="EF124" s="214"/>
      <c r="EG124" s="214"/>
      <c r="EH124" s="214"/>
      <c r="EI124" s="214"/>
      <c r="EJ124" s="214"/>
      <c r="EK124" s="214"/>
      <c r="EL124" s="214"/>
    </row>
    <row r="125" spans="2:143" s="833" customFormat="1">
      <c r="B125" s="1000"/>
      <c r="C125" s="1001"/>
      <c r="D125" s="1001"/>
      <c r="E125" s="1001"/>
      <c r="F125" s="1001"/>
      <c r="G125" s="1001"/>
      <c r="H125" s="214"/>
      <c r="J125" s="214"/>
      <c r="K125" s="214"/>
      <c r="L125" s="214"/>
      <c r="M125" s="214"/>
      <c r="N125" s="214"/>
      <c r="O125" s="214"/>
      <c r="P125" s="214"/>
      <c r="Q125" s="214"/>
      <c r="R125" s="214"/>
      <c r="S125" s="214"/>
      <c r="T125" s="214"/>
      <c r="U125" s="214"/>
      <c r="V125" s="214"/>
      <c r="W125" s="214"/>
      <c r="X125" s="214"/>
      <c r="Y125" s="214"/>
      <c r="Z125" s="214"/>
      <c r="AA125" s="214"/>
      <c r="AB125" s="214"/>
      <c r="AC125" s="214"/>
      <c r="AD125" s="214"/>
      <c r="AE125" s="214"/>
      <c r="AF125" s="214"/>
      <c r="AG125" s="214"/>
      <c r="AH125" s="214"/>
      <c r="AI125" s="214"/>
      <c r="AJ125" s="214"/>
      <c r="AK125" s="214"/>
      <c r="AL125" s="214"/>
      <c r="AM125" s="214"/>
      <c r="AN125" s="214"/>
      <c r="AO125" s="214"/>
      <c r="AP125" s="214"/>
      <c r="AQ125" s="214"/>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N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214"/>
      <c r="DN125" s="214"/>
      <c r="DO125" s="214"/>
      <c r="DP125" s="214"/>
      <c r="DQ125" s="214"/>
      <c r="DR125" s="214"/>
      <c r="DS125" s="214"/>
      <c r="DT125" s="214"/>
      <c r="DU125" s="214"/>
      <c r="DV125" s="214"/>
      <c r="DW125" s="214"/>
      <c r="DX125" s="214"/>
      <c r="DY125" s="214"/>
      <c r="DZ125" s="214"/>
      <c r="EA125" s="214"/>
      <c r="EB125" s="214"/>
      <c r="EC125" s="214"/>
      <c r="ED125" s="214"/>
      <c r="EE125" s="214"/>
      <c r="EF125" s="214"/>
      <c r="EG125" s="214"/>
      <c r="EH125" s="214"/>
      <c r="EI125" s="214"/>
      <c r="EJ125" s="214"/>
      <c r="EK125" s="214"/>
      <c r="EL125" s="214"/>
    </row>
    <row r="126" spans="2:143" s="833" customFormat="1" ht="13.5">
      <c r="B126" s="1000"/>
      <c r="C126" s="1001"/>
      <c r="D126" s="1001" t="s">
        <v>2069</v>
      </c>
      <c r="E126" s="1001"/>
      <c r="F126" s="1001"/>
      <c r="G126" s="1001"/>
      <c r="H126" s="848">
        <f>SUM(J126:EL126)</f>
        <v>0</v>
      </c>
      <c r="J126" s="848">
        <f t="shared" ref="J126:BU126" si="68">I129</f>
        <v>0</v>
      </c>
      <c r="K126" s="848">
        <f t="shared" si="68"/>
        <v>0</v>
      </c>
      <c r="L126" s="848">
        <f t="shared" si="68"/>
        <v>0</v>
      </c>
      <c r="M126" s="848">
        <f t="shared" si="68"/>
        <v>0</v>
      </c>
      <c r="N126" s="848">
        <f t="shared" si="68"/>
        <v>0</v>
      </c>
      <c r="O126" s="848">
        <f t="shared" si="68"/>
        <v>0</v>
      </c>
      <c r="P126" s="848">
        <f t="shared" si="68"/>
        <v>0</v>
      </c>
      <c r="Q126" s="848">
        <f t="shared" si="68"/>
        <v>0</v>
      </c>
      <c r="R126" s="848">
        <f t="shared" si="68"/>
        <v>0</v>
      </c>
      <c r="S126" s="848">
        <f t="shared" si="68"/>
        <v>0</v>
      </c>
      <c r="T126" s="848">
        <f t="shared" si="68"/>
        <v>0</v>
      </c>
      <c r="U126" s="848">
        <f t="shared" si="68"/>
        <v>0</v>
      </c>
      <c r="V126" s="848">
        <f t="shared" si="68"/>
        <v>0</v>
      </c>
      <c r="W126" s="848">
        <f t="shared" si="68"/>
        <v>0</v>
      </c>
      <c r="X126" s="848">
        <f t="shared" si="68"/>
        <v>0</v>
      </c>
      <c r="Y126" s="848">
        <f t="shared" si="68"/>
        <v>0</v>
      </c>
      <c r="Z126" s="848">
        <f t="shared" si="68"/>
        <v>0</v>
      </c>
      <c r="AA126" s="848">
        <f t="shared" si="68"/>
        <v>0</v>
      </c>
      <c r="AB126" s="848">
        <f t="shared" si="68"/>
        <v>0</v>
      </c>
      <c r="AC126" s="848">
        <f t="shared" si="68"/>
        <v>0</v>
      </c>
      <c r="AD126" s="848">
        <f t="shared" si="68"/>
        <v>0</v>
      </c>
      <c r="AE126" s="848">
        <f t="shared" si="68"/>
        <v>0</v>
      </c>
      <c r="AF126" s="848">
        <f t="shared" si="68"/>
        <v>0</v>
      </c>
      <c r="AG126" s="848">
        <f t="shared" si="68"/>
        <v>0</v>
      </c>
      <c r="AH126" s="848">
        <f t="shared" si="68"/>
        <v>0</v>
      </c>
      <c r="AI126" s="848">
        <f t="shared" si="68"/>
        <v>0</v>
      </c>
      <c r="AJ126" s="848">
        <f t="shared" si="68"/>
        <v>0</v>
      </c>
      <c r="AK126" s="848">
        <f t="shared" si="68"/>
        <v>0</v>
      </c>
      <c r="AL126" s="848">
        <f t="shared" si="68"/>
        <v>0</v>
      </c>
      <c r="AM126" s="848">
        <f t="shared" si="68"/>
        <v>0</v>
      </c>
      <c r="AN126" s="848">
        <f t="shared" si="68"/>
        <v>0</v>
      </c>
      <c r="AO126" s="848">
        <f t="shared" si="68"/>
        <v>0</v>
      </c>
      <c r="AP126" s="848">
        <f t="shared" si="68"/>
        <v>0</v>
      </c>
      <c r="AQ126" s="848">
        <f t="shared" si="68"/>
        <v>0</v>
      </c>
      <c r="AR126" s="848">
        <f t="shared" si="68"/>
        <v>0</v>
      </c>
      <c r="AS126" s="848">
        <f t="shared" si="68"/>
        <v>0</v>
      </c>
      <c r="AT126" s="848">
        <f t="shared" si="68"/>
        <v>0</v>
      </c>
      <c r="AU126" s="848">
        <f t="shared" si="68"/>
        <v>0</v>
      </c>
      <c r="AV126" s="848">
        <f t="shared" si="68"/>
        <v>0</v>
      </c>
      <c r="AW126" s="848">
        <f t="shared" si="68"/>
        <v>0</v>
      </c>
      <c r="AX126" s="848">
        <f t="shared" si="68"/>
        <v>0</v>
      </c>
      <c r="AY126" s="848">
        <f t="shared" si="68"/>
        <v>0</v>
      </c>
      <c r="AZ126" s="848">
        <f t="shared" si="68"/>
        <v>0</v>
      </c>
      <c r="BA126" s="848">
        <f t="shared" si="68"/>
        <v>0</v>
      </c>
      <c r="BB126" s="848">
        <f t="shared" si="68"/>
        <v>0</v>
      </c>
      <c r="BC126" s="848">
        <f t="shared" si="68"/>
        <v>0</v>
      </c>
      <c r="BD126" s="848">
        <f t="shared" si="68"/>
        <v>0</v>
      </c>
      <c r="BE126" s="848">
        <f t="shared" si="68"/>
        <v>0</v>
      </c>
      <c r="BF126" s="848">
        <f t="shared" si="68"/>
        <v>0</v>
      </c>
      <c r="BG126" s="848">
        <f t="shared" si="68"/>
        <v>0</v>
      </c>
      <c r="BH126" s="848">
        <f t="shared" si="68"/>
        <v>0</v>
      </c>
      <c r="BI126" s="848">
        <f t="shared" si="68"/>
        <v>0</v>
      </c>
      <c r="BJ126" s="848">
        <f t="shared" si="68"/>
        <v>0</v>
      </c>
      <c r="BK126" s="848">
        <f t="shared" si="68"/>
        <v>0</v>
      </c>
      <c r="BL126" s="848">
        <f t="shared" si="68"/>
        <v>0</v>
      </c>
      <c r="BM126" s="848">
        <f t="shared" si="68"/>
        <v>0</v>
      </c>
      <c r="BN126" s="848">
        <f t="shared" si="68"/>
        <v>0</v>
      </c>
      <c r="BO126" s="848">
        <f t="shared" si="68"/>
        <v>0</v>
      </c>
      <c r="BP126" s="848">
        <f t="shared" si="68"/>
        <v>0</v>
      </c>
      <c r="BQ126" s="848">
        <f t="shared" si="68"/>
        <v>0</v>
      </c>
      <c r="BR126" s="848">
        <f t="shared" si="68"/>
        <v>0</v>
      </c>
      <c r="BS126" s="848">
        <f t="shared" si="68"/>
        <v>0</v>
      </c>
      <c r="BT126" s="848">
        <f t="shared" si="68"/>
        <v>0</v>
      </c>
      <c r="BU126" s="848">
        <f t="shared" si="68"/>
        <v>0</v>
      </c>
      <c r="BV126" s="848">
        <f t="shared" ref="BV126:EG126" si="69">BU129</f>
        <v>0</v>
      </c>
      <c r="BW126" s="848">
        <f t="shared" si="69"/>
        <v>0</v>
      </c>
      <c r="BX126" s="848">
        <f t="shared" si="69"/>
        <v>0</v>
      </c>
      <c r="BY126" s="848">
        <f t="shared" si="69"/>
        <v>0</v>
      </c>
      <c r="BZ126" s="848">
        <f t="shared" si="69"/>
        <v>0</v>
      </c>
      <c r="CA126" s="848">
        <f t="shared" si="69"/>
        <v>0</v>
      </c>
      <c r="CB126" s="848">
        <f t="shared" si="69"/>
        <v>0</v>
      </c>
      <c r="CC126" s="848">
        <f t="shared" si="69"/>
        <v>0</v>
      </c>
      <c r="CD126" s="848">
        <f t="shared" si="69"/>
        <v>0</v>
      </c>
      <c r="CE126" s="848">
        <f t="shared" si="69"/>
        <v>0</v>
      </c>
      <c r="CF126" s="848">
        <f t="shared" si="69"/>
        <v>0</v>
      </c>
      <c r="CG126" s="848">
        <f t="shared" si="69"/>
        <v>0</v>
      </c>
      <c r="CH126" s="848">
        <f t="shared" si="69"/>
        <v>0</v>
      </c>
      <c r="CI126" s="848">
        <f t="shared" si="69"/>
        <v>0</v>
      </c>
      <c r="CJ126" s="848">
        <f t="shared" si="69"/>
        <v>0</v>
      </c>
      <c r="CK126" s="848">
        <f t="shared" si="69"/>
        <v>0</v>
      </c>
      <c r="CL126" s="848">
        <f t="shared" si="69"/>
        <v>0</v>
      </c>
      <c r="CM126" s="848">
        <f t="shared" si="69"/>
        <v>0</v>
      </c>
      <c r="CN126" s="848">
        <f t="shared" si="69"/>
        <v>0</v>
      </c>
      <c r="CO126" s="848">
        <f t="shared" si="69"/>
        <v>0</v>
      </c>
      <c r="CP126" s="848">
        <f t="shared" si="69"/>
        <v>0</v>
      </c>
      <c r="CQ126" s="848">
        <f t="shared" si="69"/>
        <v>0</v>
      </c>
      <c r="CR126" s="848">
        <f t="shared" si="69"/>
        <v>0</v>
      </c>
      <c r="CS126" s="848">
        <f t="shared" si="69"/>
        <v>0</v>
      </c>
      <c r="CT126" s="848">
        <f t="shared" si="69"/>
        <v>0</v>
      </c>
      <c r="CU126" s="848">
        <f t="shared" si="69"/>
        <v>0</v>
      </c>
      <c r="CV126" s="848">
        <f t="shared" si="69"/>
        <v>0</v>
      </c>
      <c r="CW126" s="848">
        <f t="shared" si="69"/>
        <v>0</v>
      </c>
      <c r="CX126" s="848">
        <f t="shared" si="69"/>
        <v>0</v>
      </c>
      <c r="CY126" s="848">
        <f t="shared" si="69"/>
        <v>0</v>
      </c>
      <c r="CZ126" s="848">
        <f t="shared" si="69"/>
        <v>0</v>
      </c>
      <c r="DA126" s="848">
        <f t="shared" si="69"/>
        <v>0</v>
      </c>
      <c r="DB126" s="848">
        <f t="shared" si="69"/>
        <v>0</v>
      </c>
      <c r="DC126" s="848">
        <f t="shared" si="69"/>
        <v>0</v>
      </c>
      <c r="DD126" s="848">
        <f t="shared" si="69"/>
        <v>0</v>
      </c>
      <c r="DE126" s="848">
        <f t="shared" si="69"/>
        <v>0</v>
      </c>
      <c r="DF126" s="848">
        <f t="shared" si="69"/>
        <v>0</v>
      </c>
      <c r="DG126" s="848">
        <f t="shared" si="69"/>
        <v>0</v>
      </c>
      <c r="DH126" s="848">
        <f t="shared" si="69"/>
        <v>0</v>
      </c>
      <c r="DI126" s="848">
        <f t="shared" si="69"/>
        <v>0</v>
      </c>
      <c r="DJ126" s="848">
        <f t="shared" si="69"/>
        <v>0</v>
      </c>
      <c r="DK126" s="848">
        <f t="shared" si="69"/>
        <v>0</v>
      </c>
      <c r="DL126" s="848">
        <f t="shared" si="69"/>
        <v>0</v>
      </c>
      <c r="DM126" s="848">
        <f t="shared" si="69"/>
        <v>0</v>
      </c>
      <c r="DN126" s="848">
        <f t="shared" si="69"/>
        <v>0</v>
      </c>
      <c r="DO126" s="848">
        <f t="shared" si="69"/>
        <v>0</v>
      </c>
      <c r="DP126" s="848">
        <f t="shared" si="69"/>
        <v>0</v>
      </c>
      <c r="DQ126" s="848">
        <f t="shared" si="69"/>
        <v>0</v>
      </c>
      <c r="DR126" s="848">
        <f t="shared" si="69"/>
        <v>0</v>
      </c>
      <c r="DS126" s="848">
        <f t="shared" si="69"/>
        <v>0</v>
      </c>
      <c r="DT126" s="848">
        <f t="shared" si="69"/>
        <v>0</v>
      </c>
      <c r="DU126" s="848">
        <f t="shared" si="69"/>
        <v>0</v>
      </c>
      <c r="DV126" s="848">
        <f t="shared" si="69"/>
        <v>0</v>
      </c>
      <c r="DW126" s="848">
        <f t="shared" si="69"/>
        <v>0</v>
      </c>
      <c r="DX126" s="848">
        <f t="shared" si="69"/>
        <v>0</v>
      </c>
      <c r="DY126" s="848">
        <f t="shared" si="69"/>
        <v>0</v>
      </c>
      <c r="DZ126" s="848">
        <f t="shared" si="69"/>
        <v>0</v>
      </c>
      <c r="EA126" s="848">
        <f t="shared" si="69"/>
        <v>0</v>
      </c>
      <c r="EB126" s="848">
        <f t="shared" si="69"/>
        <v>0</v>
      </c>
      <c r="EC126" s="848">
        <f t="shared" si="69"/>
        <v>0</v>
      </c>
      <c r="ED126" s="848">
        <f t="shared" si="69"/>
        <v>0</v>
      </c>
      <c r="EE126" s="848">
        <f t="shared" si="69"/>
        <v>0</v>
      </c>
      <c r="EF126" s="848">
        <f t="shared" si="69"/>
        <v>0</v>
      </c>
      <c r="EG126" s="848">
        <f t="shared" si="69"/>
        <v>0</v>
      </c>
      <c r="EH126" s="848">
        <f>EG129</f>
        <v>0</v>
      </c>
      <c r="EI126" s="848">
        <f>EH129</f>
        <v>0</v>
      </c>
      <c r="EJ126" s="848">
        <f>EI129</f>
        <v>0</v>
      </c>
      <c r="EK126" s="848">
        <f>EJ129</f>
        <v>0</v>
      </c>
      <c r="EL126" s="848">
        <f>EK129</f>
        <v>0</v>
      </c>
    </row>
    <row r="127" spans="2:143" s="833" customFormat="1" ht="13.5">
      <c r="B127" s="1000"/>
      <c r="C127" s="1001"/>
      <c r="D127" s="1001" t="s">
        <v>963</v>
      </c>
      <c r="E127" s="1001"/>
      <c r="F127" s="1001"/>
      <c r="G127" s="1001"/>
      <c r="H127" s="848">
        <f>SUM(J127:EL127)</f>
        <v>0</v>
      </c>
      <c r="J127" s="848">
        <f>J117</f>
        <v>0</v>
      </c>
      <c r="K127" s="848">
        <f>K117</f>
        <v>0</v>
      </c>
      <c r="L127" s="848">
        <f t="shared" ref="L127:BW127" si="70">L117</f>
        <v>0</v>
      </c>
      <c r="M127" s="848">
        <f t="shared" si="70"/>
        <v>0</v>
      </c>
      <c r="N127" s="848">
        <f t="shared" si="70"/>
        <v>0</v>
      </c>
      <c r="O127" s="848">
        <f t="shared" si="70"/>
        <v>0</v>
      </c>
      <c r="P127" s="848">
        <f t="shared" si="70"/>
        <v>0</v>
      </c>
      <c r="Q127" s="848">
        <f t="shared" si="70"/>
        <v>0</v>
      </c>
      <c r="R127" s="848">
        <f t="shared" si="70"/>
        <v>0</v>
      </c>
      <c r="S127" s="848">
        <f t="shared" si="70"/>
        <v>0</v>
      </c>
      <c r="T127" s="848">
        <f t="shared" si="70"/>
        <v>0</v>
      </c>
      <c r="U127" s="848">
        <f t="shared" si="70"/>
        <v>0</v>
      </c>
      <c r="V127" s="848">
        <f t="shared" si="70"/>
        <v>0</v>
      </c>
      <c r="W127" s="848">
        <f t="shared" si="70"/>
        <v>0</v>
      </c>
      <c r="X127" s="848">
        <f t="shared" si="70"/>
        <v>0</v>
      </c>
      <c r="Y127" s="848">
        <f t="shared" si="70"/>
        <v>0</v>
      </c>
      <c r="Z127" s="848">
        <f t="shared" si="70"/>
        <v>0</v>
      </c>
      <c r="AA127" s="848">
        <f t="shared" si="70"/>
        <v>0</v>
      </c>
      <c r="AB127" s="848">
        <f t="shared" si="70"/>
        <v>0</v>
      </c>
      <c r="AC127" s="848">
        <f t="shared" si="70"/>
        <v>0</v>
      </c>
      <c r="AD127" s="848">
        <f t="shared" si="70"/>
        <v>0</v>
      </c>
      <c r="AE127" s="848">
        <f t="shared" si="70"/>
        <v>0</v>
      </c>
      <c r="AF127" s="848">
        <f t="shared" si="70"/>
        <v>0</v>
      </c>
      <c r="AG127" s="848">
        <f t="shared" si="70"/>
        <v>0</v>
      </c>
      <c r="AH127" s="848">
        <f t="shared" si="70"/>
        <v>0</v>
      </c>
      <c r="AI127" s="848">
        <f t="shared" si="70"/>
        <v>0</v>
      </c>
      <c r="AJ127" s="848">
        <f t="shared" si="70"/>
        <v>0</v>
      </c>
      <c r="AK127" s="848">
        <f t="shared" si="70"/>
        <v>0</v>
      </c>
      <c r="AL127" s="848">
        <f t="shared" si="70"/>
        <v>0</v>
      </c>
      <c r="AM127" s="848">
        <f t="shared" si="70"/>
        <v>0</v>
      </c>
      <c r="AN127" s="848">
        <f t="shared" si="70"/>
        <v>0</v>
      </c>
      <c r="AO127" s="848">
        <f t="shared" si="70"/>
        <v>0</v>
      </c>
      <c r="AP127" s="848">
        <f t="shared" si="70"/>
        <v>0</v>
      </c>
      <c r="AQ127" s="848">
        <f t="shared" si="70"/>
        <v>0</v>
      </c>
      <c r="AR127" s="848">
        <f t="shared" si="70"/>
        <v>0</v>
      </c>
      <c r="AS127" s="848">
        <f t="shared" si="70"/>
        <v>0</v>
      </c>
      <c r="AT127" s="848">
        <f t="shared" si="70"/>
        <v>0</v>
      </c>
      <c r="AU127" s="848">
        <f t="shared" si="70"/>
        <v>0</v>
      </c>
      <c r="AV127" s="848">
        <f t="shared" si="70"/>
        <v>0</v>
      </c>
      <c r="AW127" s="848">
        <f t="shared" si="70"/>
        <v>0</v>
      </c>
      <c r="AX127" s="848">
        <f t="shared" si="70"/>
        <v>0</v>
      </c>
      <c r="AY127" s="848">
        <f t="shared" si="70"/>
        <v>0</v>
      </c>
      <c r="AZ127" s="848">
        <f t="shared" si="70"/>
        <v>0</v>
      </c>
      <c r="BA127" s="848">
        <f t="shared" si="70"/>
        <v>0</v>
      </c>
      <c r="BB127" s="848">
        <f t="shared" si="70"/>
        <v>0</v>
      </c>
      <c r="BC127" s="848">
        <f t="shared" si="70"/>
        <v>0</v>
      </c>
      <c r="BD127" s="848">
        <f t="shared" si="70"/>
        <v>0</v>
      </c>
      <c r="BE127" s="848">
        <f t="shared" si="70"/>
        <v>0</v>
      </c>
      <c r="BF127" s="848">
        <f t="shared" si="70"/>
        <v>0</v>
      </c>
      <c r="BG127" s="848">
        <f t="shared" si="70"/>
        <v>0</v>
      </c>
      <c r="BH127" s="848">
        <f t="shared" si="70"/>
        <v>0</v>
      </c>
      <c r="BI127" s="848">
        <f t="shared" si="70"/>
        <v>0</v>
      </c>
      <c r="BJ127" s="848">
        <f t="shared" si="70"/>
        <v>0</v>
      </c>
      <c r="BK127" s="848">
        <f t="shared" si="70"/>
        <v>0</v>
      </c>
      <c r="BL127" s="848">
        <f t="shared" si="70"/>
        <v>0</v>
      </c>
      <c r="BM127" s="848">
        <f t="shared" si="70"/>
        <v>0</v>
      </c>
      <c r="BN127" s="848">
        <f t="shared" si="70"/>
        <v>0</v>
      </c>
      <c r="BO127" s="848">
        <f t="shared" si="70"/>
        <v>0</v>
      </c>
      <c r="BP127" s="848">
        <f t="shared" si="70"/>
        <v>0</v>
      </c>
      <c r="BQ127" s="848">
        <f t="shared" si="70"/>
        <v>0</v>
      </c>
      <c r="BR127" s="848">
        <f t="shared" si="70"/>
        <v>0</v>
      </c>
      <c r="BS127" s="848">
        <f t="shared" si="70"/>
        <v>0</v>
      </c>
      <c r="BT127" s="848">
        <f t="shared" si="70"/>
        <v>0</v>
      </c>
      <c r="BU127" s="848">
        <f t="shared" si="70"/>
        <v>0</v>
      </c>
      <c r="BV127" s="848">
        <f t="shared" si="70"/>
        <v>0</v>
      </c>
      <c r="BW127" s="848">
        <f t="shared" si="70"/>
        <v>0</v>
      </c>
      <c r="BX127" s="848">
        <f t="shared" ref="BX127:EI127" si="71">BX117</f>
        <v>0</v>
      </c>
      <c r="BY127" s="848">
        <f t="shared" si="71"/>
        <v>0</v>
      </c>
      <c r="BZ127" s="848">
        <f t="shared" si="71"/>
        <v>0</v>
      </c>
      <c r="CA127" s="848">
        <f t="shared" si="71"/>
        <v>0</v>
      </c>
      <c r="CB127" s="848">
        <f t="shared" si="71"/>
        <v>0</v>
      </c>
      <c r="CC127" s="848">
        <f t="shared" si="71"/>
        <v>0</v>
      </c>
      <c r="CD127" s="848">
        <f t="shared" si="71"/>
        <v>0</v>
      </c>
      <c r="CE127" s="848">
        <f t="shared" si="71"/>
        <v>0</v>
      </c>
      <c r="CF127" s="848">
        <f t="shared" si="71"/>
        <v>0</v>
      </c>
      <c r="CG127" s="848">
        <f t="shared" si="71"/>
        <v>0</v>
      </c>
      <c r="CH127" s="848">
        <f t="shared" si="71"/>
        <v>0</v>
      </c>
      <c r="CI127" s="848">
        <f t="shared" si="71"/>
        <v>0</v>
      </c>
      <c r="CJ127" s="848">
        <f t="shared" si="71"/>
        <v>0</v>
      </c>
      <c r="CK127" s="848">
        <f t="shared" si="71"/>
        <v>0</v>
      </c>
      <c r="CL127" s="848">
        <f t="shared" si="71"/>
        <v>0</v>
      </c>
      <c r="CM127" s="848">
        <f t="shared" si="71"/>
        <v>0</v>
      </c>
      <c r="CN127" s="848">
        <f t="shared" si="71"/>
        <v>0</v>
      </c>
      <c r="CO127" s="848">
        <f t="shared" si="71"/>
        <v>0</v>
      </c>
      <c r="CP127" s="848">
        <f t="shared" si="71"/>
        <v>0</v>
      </c>
      <c r="CQ127" s="848">
        <f t="shared" si="71"/>
        <v>0</v>
      </c>
      <c r="CR127" s="848">
        <f t="shared" si="71"/>
        <v>0</v>
      </c>
      <c r="CS127" s="848">
        <f t="shared" si="71"/>
        <v>0</v>
      </c>
      <c r="CT127" s="848">
        <f t="shared" si="71"/>
        <v>0</v>
      </c>
      <c r="CU127" s="848">
        <f t="shared" si="71"/>
        <v>0</v>
      </c>
      <c r="CV127" s="848">
        <f t="shared" si="71"/>
        <v>0</v>
      </c>
      <c r="CW127" s="848">
        <f t="shared" si="71"/>
        <v>0</v>
      </c>
      <c r="CX127" s="848">
        <f t="shared" si="71"/>
        <v>0</v>
      </c>
      <c r="CY127" s="848">
        <f t="shared" si="71"/>
        <v>0</v>
      </c>
      <c r="CZ127" s="848">
        <f t="shared" si="71"/>
        <v>0</v>
      </c>
      <c r="DA127" s="848">
        <f t="shared" si="71"/>
        <v>0</v>
      </c>
      <c r="DB127" s="848">
        <f t="shared" si="71"/>
        <v>0</v>
      </c>
      <c r="DC127" s="848">
        <f t="shared" si="71"/>
        <v>0</v>
      </c>
      <c r="DD127" s="848">
        <f t="shared" si="71"/>
        <v>0</v>
      </c>
      <c r="DE127" s="848">
        <f t="shared" si="71"/>
        <v>0</v>
      </c>
      <c r="DF127" s="848">
        <f t="shared" si="71"/>
        <v>0</v>
      </c>
      <c r="DG127" s="848">
        <f t="shared" si="71"/>
        <v>0</v>
      </c>
      <c r="DH127" s="848">
        <f t="shared" si="71"/>
        <v>0</v>
      </c>
      <c r="DI127" s="848">
        <f t="shared" si="71"/>
        <v>0</v>
      </c>
      <c r="DJ127" s="848">
        <f t="shared" si="71"/>
        <v>0</v>
      </c>
      <c r="DK127" s="848">
        <f t="shared" si="71"/>
        <v>0</v>
      </c>
      <c r="DL127" s="848">
        <f t="shared" si="71"/>
        <v>0</v>
      </c>
      <c r="DM127" s="848">
        <f t="shared" si="71"/>
        <v>0</v>
      </c>
      <c r="DN127" s="848">
        <f t="shared" si="71"/>
        <v>0</v>
      </c>
      <c r="DO127" s="848">
        <f t="shared" si="71"/>
        <v>0</v>
      </c>
      <c r="DP127" s="848">
        <f t="shared" si="71"/>
        <v>0</v>
      </c>
      <c r="DQ127" s="848">
        <f t="shared" si="71"/>
        <v>0</v>
      </c>
      <c r="DR127" s="848">
        <f t="shared" si="71"/>
        <v>0</v>
      </c>
      <c r="DS127" s="848">
        <f t="shared" si="71"/>
        <v>0</v>
      </c>
      <c r="DT127" s="848">
        <f t="shared" si="71"/>
        <v>0</v>
      </c>
      <c r="DU127" s="848">
        <f t="shared" si="71"/>
        <v>0</v>
      </c>
      <c r="DV127" s="848">
        <f t="shared" si="71"/>
        <v>0</v>
      </c>
      <c r="DW127" s="848">
        <f t="shared" si="71"/>
        <v>0</v>
      </c>
      <c r="DX127" s="848">
        <f t="shared" si="71"/>
        <v>0</v>
      </c>
      <c r="DY127" s="848">
        <f t="shared" si="71"/>
        <v>0</v>
      </c>
      <c r="DZ127" s="848">
        <f t="shared" si="71"/>
        <v>0</v>
      </c>
      <c r="EA127" s="848">
        <f t="shared" si="71"/>
        <v>0</v>
      </c>
      <c r="EB127" s="848">
        <f t="shared" si="71"/>
        <v>0</v>
      </c>
      <c r="EC127" s="848">
        <f t="shared" si="71"/>
        <v>0</v>
      </c>
      <c r="ED127" s="848">
        <f t="shared" si="71"/>
        <v>0</v>
      </c>
      <c r="EE127" s="848">
        <f t="shared" si="71"/>
        <v>0</v>
      </c>
      <c r="EF127" s="848">
        <f t="shared" si="71"/>
        <v>0</v>
      </c>
      <c r="EG127" s="848">
        <f t="shared" si="71"/>
        <v>0</v>
      </c>
      <c r="EH127" s="848">
        <f t="shared" si="71"/>
        <v>0</v>
      </c>
      <c r="EI127" s="848">
        <f t="shared" si="71"/>
        <v>0</v>
      </c>
      <c r="EJ127" s="848">
        <f>EJ117</f>
        <v>0</v>
      </c>
      <c r="EK127" s="848">
        <f>EK117</f>
        <v>0</v>
      </c>
      <c r="EL127" s="848">
        <f>EL117</f>
        <v>0</v>
      </c>
    </row>
    <row r="128" spans="2:143" s="833" customFormat="1" ht="13.5">
      <c r="B128" s="1000"/>
      <c r="C128" s="1001"/>
      <c r="D128" s="1001" t="s">
        <v>2070</v>
      </c>
      <c r="E128" s="1001"/>
      <c r="F128" s="1001"/>
      <c r="G128" s="1001"/>
      <c r="H128" s="848">
        <f>SUM(J128:EL128)</f>
        <v>0</v>
      </c>
      <c r="J128" s="848">
        <f t="shared" ref="J128:BU128" si="72">I127</f>
        <v>0</v>
      </c>
      <c r="K128" s="848">
        <f t="shared" si="72"/>
        <v>0</v>
      </c>
      <c r="L128" s="848">
        <f t="shared" si="72"/>
        <v>0</v>
      </c>
      <c r="M128" s="848">
        <f t="shared" si="72"/>
        <v>0</v>
      </c>
      <c r="N128" s="848">
        <f t="shared" si="72"/>
        <v>0</v>
      </c>
      <c r="O128" s="848">
        <f t="shared" si="72"/>
        <v>0</v>
      </c>
      <c r="P128" s="848">
        <f t="shared" si="72"/>
        <v>0</v>
      </c>
      <c r="Q128" s="848">
        <f t="shared" si="72"/>
        <v>0</v>
      </c>
      <c r="R128" s="848">
        <f t="shared" si="72"/>
        <v>0</v>
      </c>
      <c r="S128" s="848">
        <f t="shared" si="72"/>
        <v>0</v>
      </c>
      <c r="T128" s="848">
        <f t="shared" si="72"/>
        <v>0</v>
      </c>
      <c r="U128" s="848">
        <f t="shared" si="72"/>
        <v>0</v>
      </c>
      <c r="V128" s="848">
        <f t="shared" si="72"/>
        <v>0</v>
      </c>
      <c r="W128" s="848">
        <f t="shared" si="72"/>
        <v>0</v>
      </c>
      <c r="X128" s="848">
        <f t="shared" si="72"/>
        <v>0</v>
      </c>
      <c r="Y128" s="848">
        <f t="shared" si="72"/>
        <v>0</v>
      </c>
      <c r="Z128" s="848">
        <f t="shared" si="72"/>
        <v>0</v>
      </c>
      <c r="AA128" s="848">
        <f t="shared" si="72"/>
        <v>0</v>
      </c>
      <c r="AB128" s="848">
        <f t="shared" si="72"/>
        <v>0</v>
      </c>
      <c r="AC128" s="848">
        <f t="shared" si="72"/>
        <v>0</v>
      </c>
      <c r="AD128" s="848">
        <f t="shared" si="72"/>
        <v>0</v>
      </c>
      <c r="AE128" s="848">
        <f t="shared" si="72"/>
        <v>0</v>
      </c>
      <c r="AF128" s="848">
        <f t="shared" si="72"/>
        <v>0</v>
      </c>
      <c r="AG128" s="848">
        <f t="shared" si="72"/>
        <v>0</v>
      </c>
      <c r="AH128" s="848">
        <f t="shared" si="72"/>
        <v>0</v>
      </c>
      <c r="AI128" s="848">
        <f t="shared" si="72"/>
        <v>0</v>
      </c>
      <c r="AJ128" s="848">
        <f t="shared" si="72"/>
        <v>0</v>
      </c>
      <c r="AK128" s="848">
        <f t="shared" si="72"/>
        <v>0</v>
      </c>
      <c r="AL128" s="848">
        <f t="shared" si="72"/>
        <v>0</v>
      </c>
      <c r="AM128" s="848">
        <f t="shared" si="72"/>
        <v>0</v>
      </c>
      <c r="AN128" s="848">
        <f t="shared" si="72"/>
        <v>0</v>
      </c>
      <c r="AO128" s="848">
        <f t="shared" si="72"/>
        <v>0</v>
      </c>
      <c r="AP128" s="848">
        <f t="shared" si="72"/>
        <v>0</v>
      </c>
      <c r="AQ128" s="848">
        <f t="shared" si="72"/>
        <v>0</v>
      </c>
      <c r="AR128" s="848">
        <f t="shared" si="72"/>
        <v>0</v>
      </c>
      <c r="AS128" s="848">
        <f t="shared" si="72"/>
        <v>0</v>
      </c>
      <c r="AT128" s="848">
        <f t="shared" si="72"/>
        <v>0</v>
      </c>
      <c r="AU128" s="848">
        <f t="shared" si="72"/>
        <v>0</v>
      </c>
      <c r="AV128" s="848">
        <f t="shared" si="72"/>
        <v>0</v>
      </c>
      <c r="AW128" s="848">
        <f t="shared" si="72"/>
        <v>0</v>
      </c>
      <c r="AX128" s="848">
        <f t="shared" si="72"/>
        <v>0</v>
      </c>
      <c r="AY128" s="848">
        <f t="shared" si="72"/>
        <v>0</v>
      </c>
      <c r="AZ128" s="848">
        <f t="shared" si="72"/>
        <v>0</v>
      </c>
      <c r="BA128" s="848">
        <f t="shared" si="72"/>
        <v>0</v>
      </c>
      <c r="BB128" s="848">
        <f t="shared" si="72"/>
        <v>0</v>
      </c>
      <c r="BC128" s="848">
        <f t="shared" si="72"/>
        <v>0</v>
      </c>
      <c r="BD128" s="848">
        <f t="shared" si="72"/>
        <v>0</v>
      </c>
      <c r="BE128" s="848">
        <f t="shared" si="72"/>
        <v>0</v>
      </c>
      <c r="BF128" s="848">
        <f t="shared" si="72"/>
        <v>0</v>
      </c>
      <c r="BG128" s="848">
        <f t="shared" si="72"/>
        <v>0</v>
      </c>
      <c r="BH128" s="848">
        <f t="shared" si="72"/>
        <v>0</v>
      </c>
      <c r="BI128" s="848">
        <f t="shared" si="72"/>
        <v>0</v>
      </c>
      <c r="BJ128" s="848">
        <f t="shared" si="72"/>
        <v>0</v>
      </c>
      <c r="BK128" s="848">
        <f t="shared" si="72"/>
        <v>0</v>
      </c>
      <c r="BL128" s="848">
        <f t="shared" si="72"/>
        <v>0</v>
      </c>
      <c r="BM128" s="848">
        <f t="shared" si="72"/>
        <v>0</v>
      </c>
      <c r="BN128" s="848">
        <f t="shared" si="72"/>
        <v>0</v>
      </c>
      <c r="BO128" s="848">
        <f t="shared" si="72"/>
        <v>0</v>
      </c>
      <c r="BP128" s="848">
        <f t="shared" si="72"/>
        <v>0</v>
      </c>
      <c r="BQ128" s="848">
        <f t="shared" si="72"/>
        <v>0</v>
      </c>
      <c r="BR128" s="848">
        <f t="shared" si="72"/>
        <v>0</v>
      </c>
      <c r="BS128" s="848">
        <f t="shared" si="72"/>
        <v>0</v>
      </c>
      <c r="BT128" s="848">
        <f t="shared" si="72"/>
        <v>0</v>
      </c>
      <c r="BU128" s="848">
        <f t="shared" si="72"/>
        <v>0</v>
      </c>
      <c r="BV128" s="848">
        <f t="shared" ref="BV128:EG128" si="73">BU127</f>
        <v>0</v>
      </c>
      <c r="BW128" s="848">
        <f t="shared" si="73"/>
        <v>0</v>
      </c>
      <c r="BX128" s="848">
        <f t="shared" si="73"/>
        <v>0</v>
      </c>
      <c r="BY128" s="848">
        <f t="shared" si="73"/>
        <v>0</v>
      </c>
      <c r="BZ128" s="848">
        <f t="shared" si="73"/>
        <v>0</v>
      </c>
      <c r="CA128" s="848">
        <f t="shared" si="73"/>
        <v>0</v>
      </c>
      <c r="CB128" s="848">
        <f t="shared" si="73"/>
        <v>0</v>
      </c>
      <c r="CC128" s="848">
        <f t="shared" si="73"/>
        <v>0</v>
      </c>
      <c r="CD128" s="848">
        <f t="shared" si="73"/>
        <v>0</v>
      </c>
      <c r="CE128" s="848">
        <f t="shared" si="73"/>
        <v>0</v>
      </c>
      <c r="CF128" s="848">
        <f t="shared" si="73"/>
        <v>0</v>
      </c>
      <c r="CG128" s="848">
        <f t="shared" si="73"/>
        <v>0</v>
      </c>
      <c r="CH128" s="848">
        <f t="shared" si="73"/>
        <v>0</v>
      </c>
      <c r="CI128" s="848">
        <f t="shared" si="73"/>
        <v>0</v>
      </c>
      <c r="CJ128" s="848">
        <f t="shared" si="73"/>
        <v>0</v>
      </c>
      <c r="CK128" s="848">
        <f t="shared" si="73"/>
        <v>0</v>
      </c>
      <c r="CL128" s="848">
        <f t="shared" si="73"/>
        <v>0</v>
      </c>
      <c r="CM128" s="848">
        <f t="shared" si="73"/>
        <v>0</v>
      </c>
      <c r="CN128" s="848">
        <f t="shared" si="73"/>
        <v>0</v>
      </c>
      <c r="CO128" s="848">
        <f t="shared" si="73"/>
        <v>0</v>
      </c>
      <c r="CP128" s="848">
        <f t="shared" si="73"/>
        <v>0</v>
      </c>
      <c r="CQ128" s="848">
        <f t="shared" si="73"/>
        <v>0</v>
      </c>
      <c r="CR128" s="848">
        <f t="shared" si="73"/>
        <v>0</v>
      </c>
      <c r="CS128" s="848">
        <f t="shared" si="73"/>
        <v>0</v>
      </c>
      <c r="CT128" s="848">
        <f t="shared" si="73"/>
        <v>0</v>
      </c>
      <c r="CU128" s="848">
        <f t="shared" si="73"/>
        <v>0</v>
      </c>
      <c r="CV128" s="848">
        <f t="shared" si="73"/>
        <v>0</v>
      </c>
      <c r="CW128" s="848">
        <f t="shared" si="73"/>
        <v>0</v>
      </c>
      <c r="CX128" s="848">
        <f t="shared" si="73"/>
        <v>0</v>
      </c>
      <c r="CY128" s="848">
        <f t="shared" si="73"/>
        <v>0</v>
      </c>
      <c r="CZ128" s="848">
        <f t="shared" si="73"/>
        <v>0</v>
      </c>
      <c r="DA128" s="848">
        <f t="shared" si="73"/>
        <v>0</v>
      </c>
      <c r="DB128" s="848">
        <f t="shared" si="73"/>
        <v>0</v>
      </c>
      <c r="DC128" s="848">
        <f t="shared" si="73"/>
        <v>0</v>
      </c>
      <c r="DD128" s="848">
        <f t="shared" si="73"/>
        <v>0</v>
      </c>
      <c r="DE128" s="848">
        <f t="shared" si="73"/>
        <v>0</v>
      </c>
      <c r="DF128" s="848">
        <f t="shared" si="73"/>
        <v>0</v>
      </c>
      <c r="DG128" s="848">
        <f t="shared" si="73"/>
        <v>0</v>
      </c>
      <c r="DH128" s="848">
        <f t="shared" si="73"/>
        <v>0</v>
      </c>
      <c r="DI128" s="848">
        <f t="shared" si="73"/>
        <v>0</v>
      </c>
      <c r="DJ128" s="848">
        <f t="shared" si="73"/>
        <v>0</v>
      </c>
      <c r="DK128" s="848">
        <f t="shared" si="73"/>
        <v>0</v>
      </c>
      <c r="DL128" s="848">
        <f t="shared" si="73"/>
        <v>0</v>
      </c>
      <c r="DM128" s="848">
        <f t="shared" si="73"/>
        <v>0</v>
      </c>
      <c r="DN128" s="848">
        <f t="shared" si="73"/>
        <v>0</v>
      </c>
      <c r="DO128" s="848">
        <f t="shared" si="73"/>
        <v>0</v>
      </c>
      <c r="DP128" s="848">
        <f t="shared" si="73"/>
        <v>0</v>
      </c>
      <c r="DQ128" s="848">
        <f t="shared" si="73"/>
        <v>0</v>
      </c>
      <c r="DR128" s="848">
        <f t="shared" si="73"/>
        <v>0</v>
      </c>
      <c r="DS128" s="848">
        <f t="shared" si="73"/>
        <v>0</v>
      </c>
      <c r="DT128" s="848">
        <f t="shared" si="73"/>
        <v>0</v>
      </c>
      <c r="DU128" s="848">
        <f t="shared" si="73"/>
        <v>0</v>
      </c>
      <c r="DV128" s="848">
        <f t="shared" si="73"/>
        <v>0</v>
      </c>
      <c r="DW128" s="848">
        <f t="shared" si="73"/>
        <v>0</v>
      </c>
      <c r="DX128" s="848">
        <f t="shared" si="73"/>
        <v>0</v>
      </c>
      <c r="DY128" s="848">
        <f t="shared" si="73"/>
        <v>0</v>
      </c>
      <c r="DZ128" s="848">
        <f t="shared" si="73"/>
        <v>0</v>
      </c>
      <c r="EA128" s="848">
        <f t="shared" si="73"/>
        <v>0</v>
      </c>
      <c r="EB128" s="848">
        <f t="shared" si="73"/>
        <v>0</v>
      </c>
      <c r="EC128" s="848">
        <f t="shared" si="73"/>
        <v>0</v>
      </c>
      <c r="ED128" s="848">
        <f t="shared" si="73"/>
        <v>0</v>
      </c>
      <c r="EE128" s="848">
        <f t="shared" si="73"/>
        <v>0</v>
      </c>
      <c r="EF128" s="848">
        <f t="shared" si="73"/>
        <v>0</v>
      </c>
      <c r="EG128" s="848">
        <f t="shared" si="73"/>
        <v>0</v>
      </c>
      <c r="EH128" s="848">
        <f>EG127</f>
        <v>0</v>
      </c>
      <c r="EI128" s="848">
        <f>EH127</f>
        <v>0</v>
      </c>
      <c r="EJ128" s="848">
        <f>EI127</f>
        <v>0</v>
      </c>
      <c r="EK128" s="848">
        <f>EJ127</f>
        <v>0</v>
      </c>
      <c r="EL128" s="848">
        <f>EK127</f>
        <v>0</v>
      </c>
    </row>
    <row r="129" spans="2:142" s="833" customFormat="1" ht="13.5">
      <c r="B129" s="1000"/>
      <c r="C129" s="1001"/>
      <c r="D129" s="1001" t="s">
        <v>964</v>
      </c>
      <c r="E129" s="1001"/>
      <c r="F129" s="1001"/>
      <c r="G129" s="1001"/>
      <c r="H129" s="848">
        <f>SUM(J129:EL129)</f>
        <v>0</v>
      </c>
      <c r="J129" s="848">
        <f>IF(ABS(J126+J127-J128)&lt;0.0001,0,J126+J127-J128)</f>
        <v>0</v>
      </c>
      <c r="K129" s="848">
        <f>IF(ABS(K126+K127-K128)&lt;0.0001,0,K126+K127-K128)</f>
        <v>0</v>
      </c>
      <c r="L129" s="848">
        <f t="shared" ref="L129:BW129" si="74">IF(ABS(L126+L127-L128)&lt;0.0001,0,L126+L127-L128)</f>
        <v>0</v>
      </c>
      <c r="M129" s="848">
        <f t="shared" si="74"/>
        <v>0</v>
      </c>
      <c r="N129" s="848">
        <f t="shared" si="74"/>
        <v>0</v>
      </c>
      <c r="O129" s="848">
        <f t="shared" si="74"/>
        <v>0</v>
      </c>
      <c r="P129" s="848">
        <f t="shared" si="74"/>
        <v>0</v>
      </c>
      <c r="Q129" s="848">
        <f t="shared" si="74"/>
        <v>0</v>
      </c>
      <c r="R129" s="848">
        <f t="shared" si="74"/>
        <v>0</v>
      </c>
      <c r="S129" s="848">
        <f t="shared" si="74"/>
        <v>0</v>
      </c>
      <c r="T129" s="848">
        <f t="shared" si="74"/>
        <v>0</v>
      </c>
      <c r="U129" s="848">
        <f t="shared" si="74"/>
        <v>0</v>
      </c>
      <c r="V129" s="848">
        <f t="shared" si="74"/>
        <v>0</v>
      </c>
      <c r="W129" s="848">
        <f t="shared" si="74"/>
        <v>0</v>
      </c>
      <c r="X129" s="848">
        <f t="shared" si="74"/>
        <v>0</v>
      </c>
      <c r="Y129" s="848">
        <f t="shared" si="74"/>
        <v>0</v>
      </c>
      <c r="Z129" s="848">
        <f t="shared" si="74"/>
        <v>0</v>
      </c>
      <c r="AA129" s="848">
        <f t="shared" si="74"/>
        <v>0</v>
      </c>
      <c r="AB129" s="848">
        <f t="shared" si="74"/>
        <v>0</v>
      </c>
      <c r="AC129" s="848">
        <f t="shared" si="74"/>
        <v>0</v>
      </c>
      <c r="AD129" s="848">
        <f t="shared" si="74"/>
        <v>0</v>
      </c>
      <c r="AE129" s="848">
        <f t="shared" si="74"/>
        <v>0</v>
      </c>
      <c r="AF129" s="848">
        <f t="shared" si="74"/>
        <v>0</v>
      </c>
      <c r="AG129" s="848">
        <f t="shared" si="74"/>
        <v>0</v>
      </c>
      <c r="AH129" s="848">
        <f t="shared" si="74"/>
        <v>0</v>
      </c>
      <c r="AI129" s="848">
        <f t="shared" si="74"/>
        <v>0</v>
      </c>
      <c r="AJ129" s="848">
        <f t="shared" si="74"/>
        <v>0</v>
      </c>
      <c r="AK129" s="848">
        <f t="shared" si="74"/>
        <v>0</v>
      </c>
      <c r="AL129" s="848">
        <f t="shared" si="74"/>
        <v>0</v>
      </c>
      <c r="AM129" s="848">
        <f t="shared" si="74"/>
        <v>0</v>
      </c>
      <c r="AN129" s="848">
        <f t="shared" si="74"/>
        <v>0</v>
      </c>
      <c r="AO129" s="848">
        <f t="shared" si="74"/>
        <v>0</v>
      </c>
      <c r="AP129" s="848">
        <f t="shared" si="74"/>
        <v>0</v>
      </c>
      <c r="AQ129" s="848">
        <f t="shared" si="74"/>
        <v>0</v>
      </c>
      <c r="AR129" s="848">
        <f t="shared" si="74"/>
        <v>0</v>
      </c>
      <c r="AS129" s="848">
        <f t="shared" si="74"/>
        <v>0</v>
      </c>
      <c r="AT129" s="848">
        <f t="shared" si="74"/>
        <v>0</v>
      </c>
      <c r="AU129" s="848">
        <f t="shared" si="74"/>
        <v>0</v>
      </c>
      <c r="AV129" s="848">
        <f t="shared" si="74"/>
        <v>0</v>
      </c>
      <c r="AW129" s="848">
        <f t="shared" si="74"/>
        <v>0</v>
      </c>
      <c r="AX129" s="848">
        <f t="shared" si="74"/>
        <v>0</v>
      </c>
      <c r="AY129" s="848">
        <f t="shared" si="74"/>
        <v>0</v>
      </c>
      <c r="AZ129" s="848">
        <f t="shared" si="74"/>
        <v>0</v>
      </c>
      <c r="BA129" s="848">
        <f t="shared" si="74"/>
        <v>0</v>
      </c>
      <c r="BB129" s="848">
        <f t="shared" si="74"/>
        <v>0</v>
      </c>
      <c r="BC129" s="848">
        <f t="shared" si="74"/>
        <v>0</v>
      </c>
      <c r="BD129" s="848">
        <f t="shared" si="74"/>
        <v>0</v>
      </c>
      <c r="BE129" s="848">
        <f t="shared" si="74"/>
        <v>0</v>
      </c>
      <c r="BF129" s="848">
        <f t="shared" si="74"/>
        <v>0</v>
      </c>
      <c r="BG129" s="848">
        <f t="shared" si="74"/>
        <v>0</v>
      </c>
      <c r="BH129" s="848">
        <f t="shared" si="74"/>
        <v>0</v>
      </c>
      <c r="BI129" s="848">
        <f t="shared" si="74"/>
        <v>0</v>
      </c>
      <c r="BJ129" s="848">
        <f t="shared" si="74"/>
        <v>0</v>
      </c>
      <c r="BK129" s="848">
        <f t="shared" si="74"/>
        <v>0</v>
      </c>
      <c r="BL129" s="848">
        <f t="shared" si="74"/>
        <v>0</v>
      </c>
      <c r="BM129" s="848">
        <f t="shared" si="74"/>
        <v>0</v>
      </c>
      <c r="BN129" s="848">
        <f t="shared" si="74"/>
        <v>0</v>
      </c>
      <c r="BO129" s="848">
        <f t="shared" si="74"/>
        <v>0</v>
      </c>
      <c r="BP129" s="848">
        <f t="shared" si="74"/>
        <v>0</v>
      </c>
      <c r="BQ129" s="848">
        <f t="shared" si="74"/>
        <v>0</v>
      </c>
      <c r="BR129" s="848">
        <f t="shared" si="74"/>
        <v>0</v>
      </c>
      <c r="BS129" s="848">
        <f t="shared" si="74"/>
        <v>0</v>
      </c>
      <c r="BT129" s="848">
        <f t="shared" si="74"/>
        <v>0</v>
      </c>
      <c r="BU129" s="848">
        <f t="shared" si="74"/>
        <v>0</v>
      </c>
      <c r="BV129" s="848">
        <f t="shared" si="74"/>
        <v>0</v>
      </c>
      <c r="BW129" s="848">
        <f t="shared" si="74"/>
        <v>0</v>
      </c>
      <c r="BX129" s="848">
        <f t="shared" ref="BX129:EI129" si="75">IF(ABS(BX126+BX127-BX128)&lt;0.0001,0,BX126+BX127-BX128)</f>
        <v>0</v>
      </c>
      <c r="BY129" s="848">
        <f t="shared" si="75"/>
        <v>0</v>
      </c>
      <c r="BZ129" s="848">
        <f t="shared" si="75"/>
        <v>0</v>
      </c>
      <c r="CA129" s="848">
        <f t="shared" si="75"/>
        <v>0</v>
      </c>
      <c r="CB129" s="848">
        <f t="shared" si="75"/>
        <v>0</v>
      </c>
      <c r="CC129" s="848">
        <f t="shared" si="75"/>
        <v>0</v>
      </c>
      <c r="CD129" s="848">
        <f t="shared" si="75"/>
        <v>0</v>
      </c>
      <c r="CE129" s="848">
        <f t="shared" si="75"/>
        <v>0</v>
      </c>
      <c r="CF129" s="848">
        <f t="shared" si="75"/>
        <v>0</v>
      </c>
      <c r="CG129" s="848">
        <f t="shared" si="75"/>
        <v>0</v>
      </c>
      <c r="CH129" s="848">
        <f t="shared" si="75"/>
        <v>0</v>
      </c>
      <c r="CI129" s="848">
        <f t="shared" si="75"/>
        <v>0</v>
      </c>
      <c r="CJ129" s="848">
        <f t="shared" si="75"/>
        <v>0</v>
      </c>
      <c r="CK129" s="848">
        <f t="shared" si="75"/>
        <v>0</v>
      </c>
      <c r="CL129" s="848">
        <f t="shared" si="75"/>
        <v>0</v>
      </c>
      <c r="CM129" s="848">
        <f t="shared" si="75"/>
        <v>0</v>
      </c>
      <c r="CN129" s="848">
        <f t="shared" si="75"/>
        <v>0</v>
      </c>
      <c r="CO129" s="848">
        <f t="shared" si="75"/>
        <v>0</v>
      </c>
      <c r="CP129" s="848">
        <f t="shared" si="75"/>
        <v>0</v>
      </c>
      <c r="CQ129" s="848">
        <f t="shared" si="75"/>
        <v>0</v>
      </c>
      <c r="CR129" s="848">
        <f t="shared" si="75"/>
        <v>0</v>
      </c>
      <c r="CS129" s="848">
        <f t="shared" si="75"/>
        <v>0</v>
      </c>
      <c r="CT129" s="848">
        <f t="shared" si="75"/>
        <v>0</v>
      </c>
      <c r="CU129" s="848">
        <f t="shared" si="75"/>
        <v>0</v>
      </c>
      <c r="CV129" s="848">
        <f t="shared" si="75"/>
        <v>0</v>
      </c>
      <c r="CW129" s="848">
        <f t="shared" si="75"/>
        <v>0</v>
      </c>
      <c r="CX129" s="848">
        <f t="shared" si="75"/>
        <v>0</v>
      </c>
      <c r="CY129" s="848">
        <f t="shared" si="75"/>
        <v>0</v>
      </c>
      <c r="CZ129" s="848">
        <f t="shared" si="75"/>
        <v>0</v>
      </c>
      <c r="DA129" s="848">
        <f t="shared" si="75"/>
        <v>0</v>
      </c>
      <c r="DB129" s="848">
        <f t="shared" si="75"/>
        <v>0</v>
      </c>
      <c r="DC129" s="848">
        <f t="shared" si="75"/>
        <v>0</v>
      </c>
      <c r="DD129" s="848">
        <f t="shared" si="75"/>
        <v>0</v>
      </c>
      <c r="DE129" s="848">
        <f t="shared" si="75"/>
        <v>0</v>
      </c>
      <c r="DF129" s="848">
        <f t="shared" si="75"/>
        <v>0</v>
      </c>
      <c r="DG129" s="848">
        <f t="shared" si="75"/>
        <v>0</v>
      </c>
      <c r="DH129" s="848">
        <f t="shared" si="75"/>
        <v>0</v>
      </c>
      <c r="DI129" s="848">
        <f t="shared" si="75"/>
        <v>0</v>
      </c>
      <c r="DJ129" s="848">
        <f t="shared" si="75"/>
        <v>0</v>
      </c>
      <c r="DK129" s="848">
        <f t="shared" si="75"/>
        <v>0</v>
      </c>
      <c r="DL129" s="848">
        <f t="shared" si="75"/>
        <v>0</v>
      </c>
      <c r="DM129" s="848">
        <f t="shared" si="75"/>
        <v>0</v>
      </c>
      <c r="DN129" s="848">
        <f t="shared" si="75"/>
        <v>0</v>
      </c>
      <c r="DO129" s="848">
        <f t="shared" si="75"/>
        <v>0</v>
      </c>
      <c r="DP129" s="848">
        <f t="shared" si="75"/>
        <v>0</v>
      </c>
      <c r="DQ129" s="848">
        <f t="shared" si="75"/>
        <v>0</v>
      </c>
      <c r="DR129" s="848">
        <f t="shared" si="75"/>
        <v>0</v>
      </c>
      <c r="DS129" s="848">
        <f t="shared" si="75"/>
        <v>0</v>
      </c>
      <c r="DT129" s="848">
        <f t="shared" si="75"/>
        <v>0</v>
      </c>
      <c r="DU129" s="848">
        <f t="shared" si="75"/>
        <v>0</v>
      </c>
      <c r="DV129" s="848">
        <f t="shared" si="75"/>
        <v>0</v>
      </c>
      <c r="DW129" s="848">
        <f t="shared" si="75"/>
        <v>0</v>
      </c>
      <c r="DX129" s="848">
        <f t="shared" si="75"/>
        <v>0</v>
      </c>
      <c r="DY129" s="848">
        <f t="shared" si="75"/>
        <v>0</v>
      </c>
      <c r="DZ129" s="848">
        <f t="shared" si="75"/>
        <v>0</v>
      </c>
      <c r="EA129" s="848">
        <f t="shared" si="75"/>
        <v>0</v>
      </c>
      <c r="EB129" s="848">
        <f t="shared" si="75"/>
        <v>0</v>
      </c>
      <c r="EC129" s="848">
        <f t="shared" si="75"/>
        <v>0</v>
      </c>
      <c r="ED129" s="848">
        <f t="shared" si="75"/>
        <v>0</v>
      </c>
      <c r="EE129" s="848">
        <f t="shared" si="75"/>
        <v>0</v>
      </c>
      <c r="EF129" s="848">
        <f t="shared" si="75"/>
        <v>0</v>
      </c>
      <c r="EG129" s="848">
        <f t="shared" si="75"/>
        <v>0</v>
      </c>
      <c r="EH129" s="848">
        <f t="shared" si="75"/>
        <v>0</v>
      </c>
      <c r="EI129" s="848">
        <f t="shared" si="75"/>
        <v>0</v>
      </c>
      <c r="EJ129" s="848">
        <f>IF(ABS(EJ126+EJ127-EJ128)&lt;0.0001,0,EJ126+EJ127-EJ128)</f>
        <v>0</v>
      </c>
      <c r="EK129" s="848">
        <f>IF(ABS(EK126+EK127-EK128)&lt;0.0001,0,EK126+EK127-EK128)</f>
        <v>0</v>
      </c>
      <c r="EL129" s="848">
        <f>IF(ABS(EL126+EL127-EL128)&lt;0.0001,0,EL126+EL127-EL128)</f>
        <v>0</v>
      </c>
    </row>
    <row r="130" spans="2:142" s="833" customFormat="1">
      <c r="B130" s="1013"/>
      <c r="C130" s="1014"/>
      <c r="D130" s="1014"/>
      <c r="E130" s="1014"/>
      <c r="F130" s="1014"/>
      <c r="G130" s="1014"/>
      <c r="H130" s="217"/>
      <c r="J130" s="217"/>
      <c r="K130" s="217"/>
      <c r="L130" s="217"/>
      <c r="M130" s="217"/>
      <c r="N130" s="217"/>
      <c r="O130" s="217"/>
      <c r="P130" s="217"/>
      <c r="Q130" s="217"/>
      <c r="R130" s="217"/>
      <c r="S130" s="217"/>
      <c r="T130" s="217"/>
      <c r="U130" s="217"/>
      <c r="V130" s="217"/>
      <c r="W130" s="217"/>
      <c r="X130" s="217"/>
      <c r="Y130" s="217"/>
      <c r="Z130" s="217"/>
      <c r="AA130" s="217"/>
      <c r="AB130" s="217"/>
      <c r="AC130" s="217"/>
      <c r="AD130" s="217"/>
      <c r="AE130" s="217"/>
      <c r="AF130" s="217"/>
      <c r="AG130" s="217"/>
      <c r="AH130" s="217"/>
      <c r="AI130" s="217"/>
      <c r="AJ130" s="217"/>
      <c r="AK130" s="217"/>
      <c r="AL130" s="217"/>
      <c r="AM130" s="217"/>
      <c r="AN130" s="217"/>
      <c r="AO130" s="217"/>
      <c r="AP130" s="217"/>
      <c r="AQ130" s="217"/>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7"/>
      <c r="CE130" s="217"/>
      <c r="CF130" s="217"/>
      <c r="CG130" s="217"/>
      <c r="CH130" s="217"/>
      <c r="CI130" s="217"/>
      <c r="CJ130" s="217"/>
      <c r="CK130" s="217"/>
      <c r="CL130" s="217"/>
      <c r="CM130" s="217"/>
      <c r="CN130" s="217"/>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c r="DJ130" s="217"/>
      <c r="DK130" s="217"/>
      <c r="DL130" s="217"/>
      <c r="DM130" s="217"/>
      <c r="DN130" s="217"/>
      <c r="DO130" s="217"/>
      <c r="DP130" s="217"/>
      <c r="DQ130" s="217"/>
      <c r="DR130" s="217"/>
      <c r="DS130" s="217"/>
      <c r="DT130" s="217"/>
      <c r="DU130" s="217"/>
      <c r="DV130" s="217"/>
      <c r="DW130" s="217"/>
      <c r="DX130" s="217"/>
      <c r="DY130" s="217"/>
      <c r="DZ130" s="217"/>
      <c r="EA130" s="217"/>
      <c r="EB130" s="217"/>
      <c r="EC130" s="217"/>
      <c r="ED130" s="217"/>
      <c r="EE130" s="217"/>
      <c r="EF130" s="217"/>
      <c r="EG130" s="217"/>
      <c r="EH130" s="217"/>
      <c r="EI130" s="217"/>
      <c r="EJ130" s="217"/>
      <c r="EK130" s="217"/>
      <c r="EL130" s="217"/>
    </row>
    <row r="131" spans="2:142" s="833" customFormat="1">
      <c r="B131" s="1000"/>
      <c r="C131" s="1001"/>
      <c r="D131" s="1001"/>
      <c r="E131" s="1001"/>
      <c r="F131" s="1008"/>
      <c r="G131" s="1001"/>
      <c r="H131" s="214"/>
      <c r="J131" s="214"/>
      <c r="K131" s="214"/>
      <c r="L131" s="214"/>
      <c r="M131" s="214"/>
      <c r="N131" s="214"/>
      <c r="O131" s="214"/>
      <c r="P131" s="214"/>
      <c r="Q131" s="214"/>
      <c r="R131" s="214"/>
      <c r="S131" s="214"/>
      <c r="T131" s="214"/>
      <c r="U131" s="214"/>
      <c r="V131" s="214"/>
      <c r="W131" s="214"/>
      <c r="X131" s="214"/>
      <c r="Y131" s="214"/>
      <c r="Z131" s="214"/>
      <c r="AA131" s="214"/>
      <c r="AB131" s="214"/>
      <c r="AC131" s="214"/>
      <c r="AD131" s="214"/>
      <c r="AE131" s="214"/>
      <c r="AF131" s="214"/>
      <c r="AG131" s="214"/>
      <c r="AH131" s="214"/>
      <c r="AI131" s="214"/>
      <c r="AJ131" s="214"/>
      <c r="AK131" s="214"/>
      <c r="AL131" s="214"/>
      <c r="AM131" s="214"/>
      <c r="AN131" s="214"/>
      <c r="AO131" s="214"/>
      <c r="AP131" s="214"/>
      <c r="AQ131" s="214"/>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N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c r="CM131" s="214"/>
      <c r="CN131" s="214"/>
      <c r="CO131" s="214"/>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214"/>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row>
    <row r="132" spans="2:142" s="833" customFormat="1" ht="13.5">
      <c r="B132" s="1000"/>
      <c r="C132" s="1001" t="s">
        <v>2071</v>
      </c>
      <c r="E132" s="1001"/>
      <c r="F132" s="1001"/>
      <c r="G132" s="1001"/>
      <c r="H132" s="214"/>
      <c r="J132" s="214"/>
      <c r="K132" s="214"/>
      <c r="L132" s="214"/>
      <c r="M132" s="214"/>
      <c r="N132" s="214"/>
      <c r="O132" s="214"/>
      <c r="P132" s="214"/>
      <c r="Q132" s="214"/>
      <c r="R132" s="214"/>
      <c r="S132" s="214"/>
      <c r="T132" s="214"/>
      <c r="U132" s="214"/>
      <c r="V132" s="214"/>
      <c r="W132" s="214"/>
      <c r="X132" s="214"/>
      <c r="Y132" s="214"/>
      <c r="Z132" s="214"/>
      <c r="AA132" s="214"/>
      <c r="AB132" s="214"/>
      <c r="AC132" s="214"/>
      <c r="AD132" s="214"/>
      <c r="AE132" s="214"/>
      <c r="AF132" s="214"/>
      <c r="AG132" s="214"/>
      <c r="AH132" s="214"/>
      <c r="AI132" s="214"/>
      <c r="AJ132" s="214"/>
      <c r="AK132" s="214"/>
      <c r="AL132" s="214"/>
      <c r="AM132" s="214"/>
      <c r="AN132" s="214"/>
      <c r="AO132" s="214"/>
      <c r="AP132" s="214"/>
      <c r="AQ132" s="214"/>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c r="CM132" s="214"/>
      <c r="CN132" s="214"/>
      <c r="CO132" s="214"/>
      <c r="CP132" s="214"/>
      <c r="CQ132" s="214"/>
      <c r="CR132" s="214"/>
      <c r="CS132" s="214"/>
      <c r="CT132" s="214"/>
      <c r="CU132" s="214"/>
      <c r="CV132" s="214"/>
      <c r="CW132" s="214"/>
      <c r="CX132" s="214"/>
      <c r="CY132" s="214"/>
      <c r="CZ132" s="214"/>
      <c r="DA132" s="214"/>
      <c r="DB132" s="214"/>
      <c r="DC132" s="214"/>
      <c r="DD132" s="214"/>
      <c r="DE132" s="214"/>
      <c r="DF132" s="214"/>
      <c r="DG132" s="214"/>
      <c r="DH132" s="214"/>
      <c r="DI132" s="214"/>
      <c r="DJ132" s="214"/>
      <c r="DK132" s="214"/>
      <c r="DL132" s="214"/>
      <c r="DM132" s="214"/>
      <c r="DN132" s="214"/>
      <c r="DO132" s="214"/>
      <c r="DP132" s="214"/>
      <c r="DQ132" s="214"/>
      <c r="DR132" s="214"/>
      <c r="DS132" s="214"/>
      <c r="DT132" s="214"/>
      <c r="DU132" s="214"/>
      <c r="DV132" s="214"/>
      <c r="DW132" s="214"/>
      <c r="DX132" s="214"/>
      <c r="DY132" s="214"/>
      <c r="DZ132" s="214"/>
      <c r="EA132" s="214"/>
      <c r="EB132" s="214"/>
      <c r="EC132" s="214"/>
      <c r="ED132" s="214"/>
      <c r="EE132" s="214"/>
      <c r="EF132" s="214"/>
      <c r="EG132" s="214"/>
      <c r="EH132" s="214"/>
      <c r="EI132" s="214"/>
      <c r="EJ132" s="214"/>
      <c r="EK132" s="214"/>
      <c r="EL132" s="214"/>
    </row>
    <row r="133" spans="2:142" s="833" customFormat="1">
      <c r="B133" s="1000"/>
      <c r="C133" s="1001"/>
      <c r="D133" s="1001"/>
      <c r="E133" s="1001"/>
      <c r="G133" s="855"/>
      <c r="H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14"/>
      <c r="DI133" s="21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row>
    <row r="134" spans="2:142" s="833" customFormat="1" ht="13.5">
      <c r="B134" s="1000"/>
      <c r="C134" s="1001"/>
      <c r="D134" s="1001"/>
      <c r="E134" s="1001"/>
      <c r="F134" s="1080" t="s">
        <v>965</v>
      </c>
      <c r="G134" s="1076">
        <v>3.5000000000000003E-2</v>
      </c>
      <c r="H134" s="848">
        <f>SUM(J134:EL134)</f>
        <v>0</v>
      </c>
      <c r="J134" s="848">
        <f t="shared" ref="J134:BU134" si="76">$G134*I129*J$3/12</f>
        <v>0</v>
      </c>
      <c r="K134" s="848">
        <f t="shared" si="76"/>
        <v>0</v>
      </c>
      <c r="L134" s="848">
        <f t="shared" si="76"/>
        <v>0</v>
      </c>
      <c r="M134" s="848">
        <f t="shared" si="76"/>
        <v>0</v>
      </c>
      <c r="N134" s="848">
        <f t="shared" si="76"/>
        <v>0</v>
      </c>
      <c r="O134" s="848">
        <f t="shared" si="76"/>
        <v>0</v>
      </c>
      <c r="P134" s="848">
        <f t="shared" si="76"/>
        <v>0</v>
      </c>
      <c r="Q134" s="848">
        <f t="shared" si="76"/>
        <v>0</v>
      </c>
      <c r="R134" s="848">
        <f t="shared" si="76"/>
        <v>0</v>
      </c>
      <c r="S134" s="848">
        <f t="shared" si="76"/>
        <v>0</v>
      </c>
      <c r="T134" s="848">
        <f t="shared" si="76"/>
        <v>0</v>
      </c>
      <c r="U134" s="848">
        <f t="shared" si="76"/>
        <v>0</v>
      </c>
      <c r="V134" s="848">
        <f t="shared" si="76"/>
        <v>0</v>
      </c>
      <c r="W134" s="848">
        <f t="shared" si="76"/>
        <v>0</v>
      </c>
      <c r="X134" s="848">
        <f t="shared" si="76"/>
        <v>0</v>
      </c>
      <c r="Y134" s="848">
        <f t="shared" si="76"/>
        <v>0</v>
      </c>
      <c r="Z134" s="848">
        <f t="shared" si="76"/>
        <v>0</v>
      </c>
      <c r="AA134" s="848">
        <f t="shared" si="76"/>
        <v>0</v>
      </c>
      <c r="AB134" s="848">
        <f t="shared" si="76"/>
        <v>0</v>
      </c>
      <c r="AC134" s="848">
        <f t="shared" si="76"/>
        <v>0</v>
      </c>
      <c r="AD134" s="848">
        <f t="shared" si="76"/>
        <v>0</v>
      </c>
      <c r="AE134" s="848">
        <f t="shared" si="76"/>
        <v>0</v>
      </c>
      <c r="AF134" s="848">
        <f t="shared" si="76"/>
        <v>0</v>
      </c>
      <c r="AG134" s="848">
        <f t="shared" si="76"/>
        <v>0</v>
      </c>
      <c r="AH134" s="848">
        <f t="shared" si="76"/>
        <v>0</v>
      </c>
      <c r="AI134" s="848">
        <f t="shared" si="76"/>
        <v>0</v>
      </c>
      <c r="AJ134" s="848">
        <f t="shared" si="76"/>
        <v>0</v>
      </c>
      <c r="AK134" s="848">
        <f t="shared" si="76"/>
        <v>0</v>
      </c>
      <c r="AL134" s="848">
        <f t="shared" si="76"/>
        <v>0</v>
      </c>
      <c r="AM134" s="848">
        <f t="shared" si="76"/>
        <v>0</v>
      </c>
      <c r="AN134" s="848">
        <f t="shared" si="76"/>
        <v>0</v>
      </c>
      <c r="AO134" s="848">
        <f t="shared" si="76"/>
        <v>0</v>
      </c>
      <c r="AP134" s="848">
        <f t="shared" si="76"/>
        <v>0</v>
      </c>
      <c r="AQ134" s="848">
        <f t="shared" si="76"/>
        <v>0</v>
      </c>
      <c r="AR134" s="848">
        <f t="shared" si="76"/>
        <v>0</v>
      </c>
      <c r="AS134" s="848">
        <f t="shared" si="76"/>
        <v>0</v>
      </c>
      <c r="AT134" s="848">
        <f t="shared" si="76"/>
        <v>0</v>
      </c>
      <c r="AU134" s="848">
        <f t="shared" si="76"/>
        <v>0</v>
      </c>
      <c r="AV134" s="848">
        <f t="shared" si="76"/>
        <v>0</v>
      </c>
      <c r="AW134" s="848">
        <f t="shared" si="76"/>
        <v>0</v>
      </c>
      <c r="AX134" s="848">
        <f t="shared" si="76"/>
        <v>0</v>
      </c>
      <c r="AY134" s="848">
        <f t="shared" si="76"/>
        <v>0</v>
      </c>
      <c r="AZ134" s="848">
        <f t="shared" si="76"/>
        <v>0</v>
      </c>
      <c r="BA134" s="848">
        <f t="shared" si="76"/>
        <v>0</v>
      </c>
      <c r="BB134" s="848">
        <f t="shared" si="76"/>
        <v>0</v>
      </c>
      <c r="BC134" s="848">
        <f t="shared" si="76"/>
        <v>0</v>
      </c>
      <c r="BD134" s="848">
        <f t="shared" si="76"/>
        <v>0</v>
      </c>
      <c r="BE134" s="848">
        <f t="shared" si="76"/>
        <v>0</v>
      </c>
      <c r="BF134" s="848">
        <f t="shared" si="76"/>
        <v>0</v>
      </c>
      <c r="BG134" s="848">
        <f t="shared" si="76"/>
        <v>0</v>
      </c>
      <c r="BH134" s="848">
        <f t="shared" si="76"/>
        <v>0</v>
      </c>
      <c r="BI134" s="848">
        <f t="shared" si="76"/>
        <v>0</v>
      </c>
      <c r="BJ134" s="848">
        <f t="shared" si="76"/>
        <v>0</v>
      </c>
      <c r="BK134" s="848">
        <f t="shared" si="76"/>
        <v>0</v>
      </c>
      <c r="BL134" s="848">
        <f t="shared" si="76"/>
        <v>0</v>
      </c>
      <c r="BM134" s="848">
        <f t="shared" si="76"/>
        <v>0</v>
      </c>
      <c r="BN134" s="848">
        <f t="shared" si="76"/>
        <v>0</v>
      </c>
      <c r="BO134" s="848">
        <f t="shared" si="76"/>
        <v>0</v>
      </c>
      <c r="BP134" s="848">
        <f t="shared" si="76"/>
        <v>0</v>
      </c>
      <c r="BQ134" s="848">
        <f t="shared" si="76"/>
        <v>0</v>
      </c>
      <c r="BR134" s="848">
        <f t="shared" si="76"/>
        <v>0</v>
      </c>
      <c r="BS134" s="848">
        <f t="shared" si="76"/>
        <v>0</v>
      </c>
      <c r="BT134" s="848">
        <f t="shared" si="76"/>
        <v>0</v>
      </c>
      <c r="BU134" s="848">
        <f t="shared" si="76"/>
        <v>0</v>
      </c>
      <c r="BV134" s="848">
        <f t="shared" ref="BV134:EG134" si="77">$G134*BU129*BV$3/12</f>
        <v>0</v>
      </c>
      <c r="BW134" s="848">
        <f t="shared" si="77"/>
        <v>0</v>
      </c>
      <c r="BX134" s="848">
        <f t="shared" si="77"/>
        <v>0</v>
      </c>
      <c r="BY134" s="848">
        <f t="shared" si="77"/>
        <v>0</v>
      </c>
      <c r="BZ134" s="848">
        <f t="shared" si="77"/>
        <v>0</v>
      </c>
      <c r="CA134" s="848">
        <f t="shared" si="77"/>
        <v>0</v>
      </c>
      <c r="CB134" s="848">
        <f t="shared" si="77"/>
        <v>0</v>
      </c>
      <c r="CC134" s="848">
        <f t="shared" si="77"/>
        <v>0</v>
      </c>
      <c r="CD134" s="848">
        <f t="shared" si="77"/>
        <v>0</v>
      </c>
      <c r="CE134" s="848">
        <f t="shared" si="77"/>
        <v>0</v>
      </c>
      <c r="CF134" s="848">
        <f t="shared" si="77"/>
        <v>0</v>
      </c>
      <c r="CG134" s="848">
        <f t="shared" si="77"/>
        <v>0</v>
      </c>
      <c r="CH134" s="848">
        <f t="shared" si="77"/>
        <v>0</v>
      </c>
      <c r="CI134" s="848">
        <f t="shared" si="77"/>
        <v>0</v>
      </c>
      <c r="CJ134" s="848">
        <f t="shared" si="77"/>
        <v>0</v>
      </c>
      <c r="CK134" s="848">
        <f t="shared" si="77"/>
        <v>0</v>
      </c>
      <c r="CL134" s="848">
        <f t="shared" si="77"/>
        <v>0</v>
      </c>
      <c r="CM134" s="848">
        <f t="shared" si="77"/>
        <v>0</v>
      </c>
      <c r="CN134" s="848">
        <f t="shared" si="77"/>
        <v>0</v>
      </c>
      <c r="CO134" s="848">
        <f t="shared" si="77"/>
        <v>0</v>
      </c>
      <c r="CP134" s="848">
        <f t="shared" si="77"/>
        <v>0</v>
      </c>
      <c r="CQ134" s="848">
        <f t="shared" si="77"/>
        <v>0</v>
      </c>
      <c r="CR134" s="848">
        <f t="shared" si="77"/>
        <v>0</v>
      </c>
      <c r="CS134" s="848">
        <f t="shared" si="77"/>
        <v>0</v>
      </c>
      <c r="CT134" s="848">
        <f t="shared" si="77"/>
        <v>0</v>
      </c>
      <c r="CU134" s="848">
        <f t="shared" si="77"/>
        <v>0</v>
      </c>
      <c r="CV134" s="848">
        <f t="shared" si="77"/>
        <v>0</v>
      </c>
      <c r="CW134" s="848">
        <f t="shared" si="77"/>
        <v>0</v>
      </c>
      <c r="CX134" s="848">
        <f t="shared" si="77"/>
        <v>0</v>
      </c>
      <c r="CY134" s="848">
        <f t="shared" si="77"/>
        <v>0</v>
      </c>
      <c r="CZ134" s="848">
        <f t="shared" si="77"/>
        <v>0</v>
      </c>
      <c r="DA134" s="848">
        <f t="shared" si="77"/>
        <v>0</v>
      </c>
      <c r="DB134" s="848">
        <f t="shared" si="77"/>
        <v>0</v>
      </c>
      <c r="DC134" s="848">
        <f t="shared" si="77"/>
        <v>0</v>
      </c>
      <c r="DD134" s="848">
        <f t="shared" si="77"/>
        <v>0</v>
      </c>
      <c r="DE134" s="848">
        <f t="shared" si="77"/>
        <v>0</v>
      </c>
      <c r="DF134" s="848">
        <f t="shared" si="77"/>
        <v>0</v>
      </c>
      <c r="DG134" s="848">
        <f t="shared" si="77"/>
        <v>0</v>
      </c>
      <c r="DH134" s="848">
        <f t="shared" si="77"/>
        <v>0</v>
      </c>
      <c r="DI134" s="848">
        <f t="shared" si="77"/>
        <v>0</v>
      </c>
      <c r="DJ134" s="848">
        <f t="shared" si="77"/>
        <v>0</v>
      </c>
      <c r="DK134" s="848">
        <f t="shared" si="77"/>
        <v>0</v>
      </c>
      <c r="DL134" s="848">
        <f t="shared" si="77"/>
        <v>0</v>
      </c>
      <c r="DM134" s="848">
        <f t="shared" si="77"/>
        <v>0</v>
      </c>
      <c r="DN134" s="848">
        <f t="shared" si="77"/>
        <v>0</v>
      </c>
      <c r="DO134" s="848">
        <f t="shared" si="77"/>
        <v>0</v>
      </c>
      <c r="DP134" s="848">
        <f t="shared" si="77"/>
        <v>0</v>
      </c>
      <c r="DQ134" s="848">
        <f t="shared" si="77"/>
        <v>0</v>
      </c>
      <c r="DR134" s="848">
        <f t="shared" si="77"/>
        <v>0</v>
      </c>
      <c r="DS134" s="848">
        <f t="shared" si="77"/>
        <v>0</v>
      </c>
      <c r="DT134" s="848">
        <f t="shared" si="77"/>
        <v>0</v>
      </c>
      <c r="DU134" s="848">
        <f t="shared" si="77"/>
        <v>0</v>
      </c>
      <c r="DV134" s="848">
        <f t="shared" si="77"/>
        <v>0</v>
      </c>
      <c r="DW134" s="848">
        <f t="shared" si="77"/>
        <v>0</v>
      </c>
      <c r="DX134" s="848">
        <f t="shared" si="77"/>
        <v>0</v>
      </c>
      <c r="DY134" s="848">
        <f t="shared" si="77"/>
        <v>0</v>
      </c>
      <c r="DZ134" s="848">
        <f t="shared" si="77"/>
        <v>0</v>
      </c>
      <c r="EA134" s="848">
        <f t="shared" si="77"/>
        <v>0</v>
      </c>
      <c r="EB134" s="848">
        <f t="shared" si="77"/>
        <v>0</v>
      </c>
      <c r="EC134" s="848">
        <f t="shared" si="77"/>
        <v>0</v>
      </c>
      <c r="ED134" s="848">
        <f t="shared" si="77"/>
        <v>0</v>
      </c>
      <c r="EE134" s="848">
        <f t="shared" si="77"/>
        <v>0</v>
      </c>
      <c r="EF134" s="848">
        <f t="shared" si="77"/>
        <v>0</v>
      </c>
      <c r="EG134" s="848">
        <f t="shared" si="77"/>
        <v>0</v>
      </c>
      <c r="EH134" s="848">
        <f>$G134*EG129*EH$3/12</f>
        <v>0</v>
      </c>
      <c r="EI134" s="848">
        <f>$G134*EH129*EI$3/12</f>
        <v>0</v>
      </c>
      <c r="EJ134" s="848">
        <f>$G134*EI129*EJ$3/12</f>
        <v>0</v>
      </c>
      <c r="EK134" s="848">
        <f>$G134*EJ129*EK$3/12</f>
        <v>0</v>
      </c>
      <c r="EL134" s="848">
        <f>$G134*EK129*EL$3/12</f>
        <v>0</v>
      </c>
    </row>
    <row r="135" spans="2:142" s="833" customFormat="1">
      <c r="B135" s="1013"/>
      <c r="C135" s="1014"/>
      <c r="D135" s="1014"/>
      <c r="E135" s="1014"/>
      <c r="F135" s="1014"/>
      <c r="G135" s="1014"/>
      <c r="H135" s="217"/>
      <c r="J135" s="217"/>
      <c r="K135" s="217"/>
      <c r="L135" s="217"/>
      <c r="M135" s="217"/>
      <c r="N135" s="217"/>
      <c r="O135" s="217"/>
      <c r="P135" s="217"/>
      <c r="Q135" s="217"/>
      <c r="R135" s="217"/>
      <c r="S135" s="217"/>
      <c r="T135" s="217"/>
      <c r="U135" s="217"/>
      <c r="V135" s="217"/>
      <c r="W135" s="217"/>
      <c r="X135" s="217"/>
      <c r="Y135" s="217"/>
      <c r="Z135" s="217"/>
      <c r="AA135" s="217"/>
      <c r="AB135" s="217"/>
      <c r="AC135" s="217"/>
      <c r="AD135" s="217"/>
      <c r="AE135" s="217"/>
      <c r="AF135" s="217"/>
      <c r="AG135" s="217"/>
      <c r="AH135" s="217"/>
      <c r="AI135" s="217"/>
      <c r="AJ135" s="217"/>
      <c r="AK135" s="217"/>
      <c r="AL135" s="217"/>
      <c r="AM135" s="217"/>
      <c r="AN135" s="217"/>
      <c r="AO135" s="217"/>
      <c r="AP135" s="217"/>
      <c r="AQ135" s="217"/>
      <c r="AR135" s="217"/>
      <c r="AS135" s="217"/>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217"/>
      <c r="BS135" s="217"/>
      <c r="BT135" s="217"/>
      <c r="BU135" s="217"/>
      <c r="BV135" s="217"/>
      <c r="BW135" s="217"/>
      <c r="BX135" s="217"/>
      <c r="BY135" s="217"/>
      <c r="BZ135" s="217"/>
      <c r="CA135" s="217"/>
      <c r="CB135" s="217"/>
      <c r="CC135" s="217"/>
      <c r="CD135" s="217"/>
      <c r="CE135" s="217"/>
      <c r="CF135" s="217"/>
      <c r="CG135" s="217"/>
      <c r="CH135" s="217"/>
      <c r="CI135" s="217"/>
      <c r="CJ135" s="217"/>
      <c r="CK135" s="217"/>
      <c r="CL135" s="217"/>
      <c r="CM135" s="217"/>
      <c r="CN135" s="217"/>
      <c r="CO135" s="217"/>
      <c r="CP135" s="217"/>
      <c r="CQ135" s="217"/>
      <c r="CR135" s="217"/>
      <c r="CS135" s="217"/>
      <c r="CT135" s="217"/>
      <c r="CU135" s="217"/>
      <c r="CV135" s="217"/>
      <c r="CW135" s="217"/>
      <c r="CX135" s="217"/>
      <c r="CY135" s="217"/>
      <c r="CZ135" s="217"/>
      <c r="DA135" s="217"/>
      <c r="DB135" s="217"/>
      <c r="DC135" s="217"/>
      <c r="DD135" s="217"/>
      <c r="DE135" s="217"/>
      <c r="DF135" s="217"/>
      <c r="DG135" s="217"/>
      <c r="DH135" s="217"/>
      <c r="DI135" s="217"/>
      <c r="DJ135" s="217"/>
      <c r="DK135" s="217"/>
      <c r="DL135" s="217"/>
      <c r="DM135" s="217"/>
      <c r="DN135" s="217"/>
      <c r="DO135" s="217"/>
      <c r="DP135" s="217"/>
      <c r="DQ135" s="217"/>
      <c r="DR135" s="217"/>
      <c r="DS135" s="217"/>
      <c r="DT135" s="217"/>
      <c r="DU135" s="217"/>
      <c r="DV135" s="217"/>
      <c r="DW135" s="217"/>
      <c r="DX135" s="217"/>
      <c r="DY135" s="217"/>
      <c r="DZ135" s="217"/>
      <c r="EA135" s="217"/>
      <c r="EB135" s="217"/>
      <c r="EC135" s="217"/>
      <c r="ED135" s="217"/>
      <c r="EE135" s="217"/>
      <c r="EF135" s="217"/>
      <c r="EG135" s="217"/>
      <c r="EH135" s="217"/>
      <c r="EI135" s="217"/>
      <c r="EJ135" s="217"/>
      <c r="EK135" s="217"/>
      <c r="EL135" s="217"/>
    </row>
    <row r="136" spans="2:142" s="833" customFormat="1">
      <c r="B136" s="1000"/>
      <c r="C136" s="1001"/>
      <c r="D136" s="1001"/>
      <c r="E136" s="1001"/>
      <c r="F136" s="1008"/>
      <c r="G136" s="1001"/>
      <c r="H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14"/>
      <c r="DI136" s="21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row>
    <row r="137" spans="2:142" s="833" customFormat="1" ht="13.5">
      <c r="B137" s="1000"/>
      <c r="C137" s="1001" t="s">
        <v>966</v>
      </c>
      <c r="E137" s="1001"/>
      <c r="F137" s="1072" t="s">
        <v>2072</v>
      </c>
      <c r="G137" s="1001"/>
      <c r="H137" s="848">
        <f>SUM(J137:EL137)</f>
        <v>1329414.0018548041</v>
      </c>
      <c r="J137" s="848">
        <f>J104</f>
        <v>0</v>
      </c>
      <c r="K137" s="848">
        <f t="shared" ref="K137:BV137" si="78">K104</f>
        <v>0</v>
      </c>
      <c r="L137" s="848">
        <f t="shared" si="78"/>
        <v>0</v>
      </c>
      <c r="M137" s="848">
        <f t="shared" si="78"/>
        <v>0</v>
      </c>
      <c r="N137" s="848">
        <f t="shared" si="78"/>
        <v>0</v>
      </c>
      <c r="O137" s="848">
        <f t="shared" si="78"/>
        <v>0</v>
      </c>
      <c r="P137" s="848">
        <f t="shared" si="78"/>
        <v>0</v>
      </c>
      <c r="Q137" s="848">
        <f t="shared" si="78"/>
        <v>0</v>
      </c>
      <c r="R137" s="848">
        <f t="shared" si="78"/>
        <v>0</v>
      </c>
      <c r="S137" s="848">
        <f t="shared" si="78"/>
        <v>0</v>
      </c>
      <c r="T137" s="848">
        <f t="shared" si="78"/>
        <v>0</v>
      </c>
      <c r="U137" s="848">
        <f t="shared" si="78"/>
        <v>0</v>
      </c>
      <c r="V137" s="848">
        <f t="shared" si="78"/>
        <v>0</v>
      </c>
      <c r="W137" s="848">
        <f t="shared" si="78"/>
        <v>0</v>
      </c>
      <c r="X137" s="848">
        <f t="shared" si="78"/>
        <v>0</v>
      </c>
      <c r="Y137" s="848">
        <f t="shared" si="78"/>
        <v>0</v>
      </c>
      <c r="Z137" s="848">
        <f t="shared" si="78"/>
        <v>0</v>
      </c>
      <c r="AA137" s="848">
        <f t="shared" si="78"/>
        <v>0</v>
      </c>
      <c r="AB137" s="848">
        <f t="shared" si="78"/>
        <v>0</v>
      </c>
      <c r="AC137" s="848">
        <f t="shared" si="78"/>
        <v>0</v>
      </c>
      <c r="AD137" s="848">
        <f t="shared" si="78"/>
        <v>0</v>
      </c>
      <c r="AE137" s="848">
        <f t="shared" si="78"/>
        <v>0</v>
      </c>
      <c r="AF137" s="848">
        <f t="shared" si="78"/>
        <v>0</v>
      </c>
      <c r="AG137" s="848">
        <f t="shared" si="78"/>
        <v>0</v>
      </c>
      <c r="AH137" s="848">
        <f t="shared" si="78"/>
        <v>0</v>
      </c>
      <c r="AI137" s="848">
        <f t="shared" si="78"/>
        <v>0</v>
      </c>
      <c r="AJ137" s="848">
        <f t="shared" si="78"/>
        <v>0</v>
      </c>
      <c r="AK137" s="848">
        <f t="shared" si="78"/>
        <v>0</v>
      </c>
      <c r="AL137" s="848">
        <f t="shared" si="78"/>
        <v>0</v>
      </c>
      <c r="AM137" s="848">
        <f t="shared" si="78"/>
        <v>18906.621137999929</v>
      </c>
      <c r="AN137" s="848">
        <f t="shared" si="78"/>
        <v>21230.374709130247</v>
      </c>
      <c r="AO137" s="848">
        <f t="shared" si="78"/>
        <v>20129.544000086316</v>
      </c>
      <c r="AP137" s="848">
        <f t="shared" si="78"/>
        <v>14828.781546538568</v>
      </c>
      <c r="AQ137" s="848">
        <f t="shared" si="78"/>
        <v>17357.020127905405</v>
      </c>
      <c r="AR137" s="848">
        <f t="shared" si="78"/>
        <v>15742.433203117422</v>
      </c>
      <c r="AS137" s="848">
        <f t="shared" si="78"/>
        <v>17562.959482670019</v>
      </c>
      <c r="AT137" s="848">
        <f t="shared" si="78"/>
        <v>20096.894268070464</v>
      </c>
      <c r="AU137" s="848">
        <f t="shared" si="78"/>
        <v>33218.656801341829</v>
      </c>
      <c r="AV137" s="848">
        <f t="shared" si="78"/>
        <v>30252.992647544852</v>
      </c>
      <c r="AW137" s="848">
        <f t="shared" si="78"/>
        <v>32813.365002038787</v>
      </c>
      <c r="AX137" s="848">
        <f t="shared" si="78"/>
        <v>29437.40834905938</v>
      </c>
      <c r="AY137" s="848">
        <f t="shared" si="78"/>
        <v>31469.867473737468</v>
      </c>
      <c r="AZ137" s="848">
        <f t="shared" si="78"/>
        <v>33976.634261959909</v>
      </c>
      <c r="BA137" s="848">
        <f t="shared" si="78"/>
        <v>29473.829433733656</v>
      </c>
      <c r="BB137" s="848">
        <f t="shared" si="78"/>
        <v>26870.382330984132</v>
      </c>
      <c r="BC137" s="848">
        <f t="shared" si="78"/>
        <v>29496.235314679674</v>
      </c>
      <c r="BD137" s="848">
        <f t="shared" si="78"/>
        <v>25642.156134757533</v>
      </c>
      <c r="BE137" s="848">
        <f t="shared" si="78"/>
        <v>27785.907746307385</v>
      </c>
      <c r="BF137" s="848">
        <f t="shared" si="78"/>
        <v>30413.668074618185</v>
      </c>
      <c r="BG137" s="848">
        <f t="shared" si="78"/>
        <v>25946.592484758869</v>
      </c>
      <c r="BH137" s="848">
        <f t="shared" si="78"/>
        <v>23040.22448696482</v>
      </c>
      <c r="BI137" s="848">
        <f t="shared" si="78"/>
        <v>25658.097975151988</v>
      </c>
      <c r="BJ137" s="848">
        <f t="shared" si="78"/>
        <v>22336.328987563444</v>
      </c>
      <c r="BK137" s="848">
        <f t="shared" si="78"/>
        <v>24425.616647765859</v>
      </c>
      <c r="BL137" s="848">
        <f t="shared" si="78"/>
        <v>26989.605208985668</v>
      </c>
      <c r="BM137" s="848">
        <f t="shared" si="78"/>
        <v>22508.400052218509</v>
      </c>
      <c r="BN137" s="848">
        <f t="shared" si="78"/>
        <v>19964.353589874845</v>
      </c>
      <c r="BO137" s="848">
        <f t="shared" si="78"/>
        <v>22650.472836565448</v>
      </c>
      <c r="BP137" s="848">
        <f t="shared" si="78"/>
        <v>18833.136380364987</v>
      </c>
      <c r="BQ137" s="848">
        <f t="shared" si="78"/>
        <v>21037.35635696556</v>
      </c>
      <c r="BR137" s="848">
        <f t="shared" si="78"/>
        <v>23725.711026087603</v>
      </c>
      <c r="BS137" s="848">
        <f t="shared" si="78"/>
        <v>10972.107323521641</v>
      </c>
      <c r="BT137" s="848">
        <f t="shared" si="78"/>
        <v>8111.4473773832651</v>
      </c>
      <c r="BU137" s="848">
        <f t="shared" si="78"/>
        <v>10772.873069464513</v>
      </c>
      <c r="BV137" s="848">
        <f t="shared" si="78"/>
        <v>8662.4950919506355</v>
      </c>
      <c r="BW137" s="848">
        <f t="shared" ref="BW137:EH137" si="79">BW104</f>
        <v>10797.02678885762</v>
      </c>
      <c r="BX137" s="848">
        <f t="shared" si="79"/>
        <v>13406.638184615536</v>
      </c>
      <c r="BY137" s="848">
        <f t="shared" si="79"/>
        <v>10105.649968810838</v>
      </c>
      <c r="BZ137" s="848">
        <f t="shared" si="79"/>
        <v>6528.8423695042093</v>
      </c>
      <c r="CA137" s="848">
        <f t="shared" si="79"/>
        <v>9263.8127639037011</v>
      </c>
      <c r="CB137" s="848">
        <f t="shared" si="79"/>
        <v>7344.9315609911246</v>
      </c>
      <c r="CC137" s="848">
        <f t="shared" si="79"/>
        <v>9602.0595736359955</v>
      </c>
      <c r="CD137" s="848">
        <f t="shared" si="79"/>
        <v>12343.43250387743</v>
      </c>
      <c r="CE137" s="848">
        <f t="shared" si="79"/>
        <v>10491.766627723533</v>
      </c>
      <c r="CF137" s="848">
        <f t="shared" si="79"/>
        <v>6618.906709434299</v>
      </c>
      <c r="CG137" s="848">
        <f t="shared" si="79"/>
        <v>9354.0647378753129</v>
      </c>
      <c r="CH137" s="848">
        <f t="shared" si="79"/>
        <v>7314.0007396262126</v>
      </c>
      <c r="CI137" s="848">
        <f t="shared" si="79"/>
        <v>9621.6245638309465</v>
      </c>
      <c r="CJ137" s="848">
        <f t="shared" si="79"/>
        <v>12304.983154097094</v>
      </c>
      <c r="CK137" s="848">
        <f t="shared" si="79"/>
        <v>9040.1068457790025</v>
      </c>
      <c r="CL137" s="848">
        <f t="shared" si="79"/>
        <v>5381.4990745261166</v>
      </c>
      <c r="CM137" s="848">
        <f t="shared" si="79"/>
        <v>12260.549891864104</v>
      </c>
      <c r="CN137" s="848">
        <f t="shared" si="79"/>
        <v>10454.798751941384</v>
      </c>
      <c r="CO137" s="848">
        <f t="shared" si="79"/>
        <v>12930.100284763132</v>
      </c>
      <c r="CP137" s="848">
        <f t="shared" si="79"/>
        <v>15791.373439022724</v>
      </c>
      <c r="CQ137" s="848">
        <f t="shared" si="79"/>
        <v>5489.8575790203558</v>
      </c>
      <c r="CR137" s="848">
        <f t="shared" si="79"/>
        <v>1719.0618503526175</v>
      </c>
      <c r="CS137" s="848">
        <f t="shared" si="79"/>
        <v>4556.9786745405208</v>
      </c>
      <c r="CT137" s="848">
        <f t="shared" si="79"/>
        <v>3852.4941474111297</v>
      </c>
      <c r="CU137" s="848">
        <f t="shared" si="79"/>
        <v>6661.1554862264747</v>
      </c>
      <c r="CV137" s="848">
        <f t="shared" si="79"/>
        <v>9447.8204025934156</v>
      </c>
      <c r="CW137" s="848">
        <f t="shared" si="79"/>
        <v>7483.859575816814</v>
      </c>
      <c r="CX137" s="848">
        <f t="shared" si="79"/>
        <v>4087.7380061924937</v>
      </c>
      <c r="CY137" s="848">
        <f t="shared" si="79"/>
        <v>7010.5433866229505</v>
      </c>
      <c r="CZ137" s="848">
        <f t="shared" si="79"/>
        <v>6503.3706076458202</v>
      </c>
      <c r="DA137" s="848">
        <f t="shared" si="79"/>
        <v>9047.8375372288865</v>
      </c>
      <c r="DB137" s="848">
        <f t="shared" si="79"/>
        <v>11980.976458349003</v>
      </c>
      <c r="DC137" s="848">
        <f t="shared" si="79"/>
        <v>11557.726085554787</v>
      </c>
      <c r="DD137" s="848">
        <f t="shared" si="79"/>
        <v>5766.1245926936708</v>
      </c>
      <c r="DE137" s="848">
        <f t="shared" si="79"/>
        <v>8692.4266118460055</v>
      </c>
      <c r="DF137" s="848">
        <f t="shared" si="79"/>
        <v>8072.7951419432011</v>
      </c>
      <c r="DG137" s="848">
        <f t="shared" si="79"/>
        <v>10568.986748682435</v>
      </c>
      <c r="DH137" s="848">
        <f t="shared" si="79"/>
        <v>13445.839094169627</v>
      </c>
      <c r="DI137" s="848">
        <f t="shared" si="79"/>
        <v>11532.300411471973</v>
      </c>
      <c r="DJ137" s="848">
        <f t="shared" si="79"/>
        <v>4426.9415022109688</v>
      </c>
      <c r="DK137" s="848">
        <f t="shared" si="79"/>
        <v>7435.5976592293646</v>
      </c>
      <c r="DL137" s="848">
        <f t="shared" si="79"/>
        <v>7007.0977788963828</v>
      </c>
      <c r="DM137" s="848">
        <f t="shared" si="79"/>
        <v>9637.7582427241214</v>
      </c>
      <c r="DN137" s="848">
        <f t="shared" si="79"/>
        <v>12657.270267951919</v>
      </c>
      <c r="DO137" s="848">
        <f t="shared" si="79"/>
        <v>12320.572943232275</v>
      </c>
      <c r="DP137" s="848">
        <f t="shared" si="79"/>
        <v>6132.0496841948234</v>
      </c>
      <c r="DQ137" s="848">
        <f t="shared" si="79"/>
        <v>9144.2581499256848</v>
      </c>
      <c r="DR137" s="848">
        <f t="shared" si="79"/>
        <v>8606.9214993332116</v>
      </c>
      <c r="DS137" s="848">
        <f t="shared" si="79"/>
        <v>11188.372086956111</v>
      </c>
      <c r="DT137" s="848">
        <f t="shared" si="79"/>
        <v>14150.986644643537</v>
      </c>
      <c r="DU137" s="848">
        <f t="shared" si="79"/>
        <v>12282.307749995802</v>
      </c>
      <c r="DV137" s="848">
        <f t="shared" si="79"/>
        <v>4751.7053458489281</v>
      </c>
      <c r="DW137" s="848">
        <f t="shared" si="79"/>
        <v>7848.6871927911398</v>
      </c>
      <c r="DX137" s="848">
        <f t="shared" si="79"/>
        <v>7500.6046071347992</v>
      </c>
      <c r="DY137" s="848">
        <f t="shared" si="79"/>
        <v>10219.942308770938</v>
      </c>
      <c r="DZ137" s="848">
        <f t="shared" si="79"/>
        <v>13328.316316052571</v>
      </c>
      <c r="EA137" s="848">
        <f t="shared" si="79"/>
        <v>0</v>
      </c>
      <c r="EB137" s="848">
        <f t="shared" si="79"/>
        <v>0</v>
      </c>
      <c r="EC137" s="848">
        <f t="shared" si="79"/>
        <v>0</v>
      </c>
      <c r="ED137" s="848">
        <f t="shared" si="79"/>
        <v>0</v>
      </c>
      <c r="EE137" s="848">
        <f t="shared" si="79"/>
        <v>0</v>
      </c>
      <c r="EF137" s="848">
        <f t="shared" si="79"/>
        <v>0</v>
      </c>
      <c r="EG137" s="848">
        <f t="shared" si="79"/>
        <v>0</v>
      </c>
      <c r="EH137" s="848">
        <f t="shared" si="79"/>
        <v>0</v>
      </c>
      <c r="EI137" s="848">
        <f>EI104</f>
        <v>0</v>
      </c>
      <c r="EJ137" s="848">
        <f>EJ104</f>
        <v>0</v>
      </c>
      <c r="EK137" s="848">
        <f>EK104</f>
        <v>0</v>
      </c>
      <c r="EL137" s="848">
        <f>EL104</f>
        <v>0</v>
      </c>
    </row>
    <row r="138" spans="2:142" s="833" customFormat="1" ht="13.5">
      <c r="B138" s="1000"/>
      <c r="C138" s="1001"/>
      <c r="D138" s="1001"/>
      <c r="E138" s="1001"/>
      <c r="F138" s="1072" t="s">
        <v>2073</v>
      </c>
      <c r="G138" s="855"/>
      <c r="H138" s="848">
        <f>SUM(J138:EL138)</f>
        <v>611086.83393999946</v>
      </c>
      <c r="J138" s="848">
        <v>0</v>
      </c>
      <c r="K138" s="848">
        <v>0</v>
      </c>
      <c r="L138" s="848">
        <v>0</v>
      </c>
      <c r="M138" s="848">
        <v>0</v>
      </c>
      <c r="N138" s="848">
        <v>0</v>
      </c>
      <c r="O138" s="848">
        <v>0</v>
      </c>
      <c r="P138" s="848">
        <v>0</v>
      </c>
      <c r="Q138" s="848">
        <v>0</v>
      </c>
      <c r="R138" s="848">
        <v>0</v>
      </c>
      <c r="S138" s="848">
        <v>0</v>
      </c>
      <c r="T138" s="848">
        <v>0</v>
      </c>
      <c r="U138" s="848">
        <v>0</v>
      </c>
      <c r="V138" s="848">
        <v>0</v>
      </c>
      <c r="W138" s="848">
        <v>0</v>
      </c>
      <c r="X138" s="848">
        <v>0</v>
      </c>
      <c r="Y138" s="848">
        <v>0</v>
      </c>
      <c r="Z138" s="848">
        <v>0</v>
      </c>
      <c r="AA138" s="848">
        <v>0</v>
      </c>
      <c r="AB138" s="848">
        <v>0</v>
      </c>
      <c r="AC138" s="848">
        <v>0</v>
      </c>
      <c r="AD138" s="848">
        <v>0</v>
      </c>
      <c r="AE138" s="848">
        <v>0</v>
      </c>
      <c r="AF138" s="848">
        <v>0</v>
      </c>
      <c r="AG138" s="848">
        <v>0</v>
      </c>
      <c r="AH138" s="848">
        <v>0</v>
      </c>
      <c r="AI138" s="848">
        <v>0</v>
      </c>
      <c r="AJ138" s="848">
        <v>0</v>
      </c>
      <c r="AK138" s="848">
        <v>0</v>
      </c>
      <c r="AL138" s="848">
        <v>0</v>
      </c>
      <c r="AM138" s="848">
        <v>6642.2481950000001</v>
      </c>
      <c r="AN138" s="848">
        <v>6642.2481950000001</v>
      </c>
      <c r="AO138" s="848">
        <v>6642.2481950000001</v>
      </c>
      <c r="AP138" s="848">
        <v>6642.2481950000001</v>
      </c>
      <c r="AQ138" s="848">
        <v>6642.2481950000001</v>
      </c>
      <c r="AR138" s="848">
        <v>6642.2481950000001</v>
      </c>
      <c r="AS138" s="848">
        <v>6642.2481950000001</v>
      </c>
      <c r="AT138" s="848">
        <v>6642.2481950000001</v>
      </c>
      <c r="AU138" s="848">
        <v>6642.2481950000001</v>
      </c>
      <c r="AV138" s="848">
        <v>6642.2481950000001</v>
      </c>
      <c r="AW138" s="848">
        <v>6642.2481950000001</v>
      </c>
      <c r="AX138" s="848">
        <v>6642.2481950000001</v>
      </c>
      <c r="AY138" s="848">
        <v>6642.2481950000001</v>
      </c>
      <c r="AZ138" s="848">
        <v>6642.2481950000001</v>
      </c>
      <c r="BA138" s="848">
        <v>6642.2481950000001</v>
      </c>
      <c r="BB138" s="848">
        <v>6642.2481950000001</v>
      </c>
      <c r="BC138" s="848">
        <v>6642.2481950000001</v>
      </c>
      <c r="BD138" s="848">
        <v>6642.2481950000001</v>
      </c>
      <c r="BE138" s="848">
        <v>6642.2481950000001</v>
      </c>
      <c r="BF138" s="848">
        <v>6642.2481950000001</v>
      </c>
      <c r="BG138" s="848">
        <v>6642.2481950000001</v>
      </c>
      <c r="BH138" s="848">
        <v>6642.2481950000001</v>
      </c>
      <c r="BI138" s="848">
        <v>6642.2481950000001</v>
      </c>
      <c r="BJ138" s="848">
        <v>6642.2481950000001</v>
      </c>
      <c r="BK138" s="848">
        <v>6642.2481950000001</v>
      </c>
      <c r="BL138" s="848">
        <v>6642.2481950000001</v>
      </c>
      <c r="BM138" s="848">
        <v>6642.2481950000001</v>
      </c>
      <c r="BN138" s="848">
        <v>6642.2481950000001</v>
      </c>
      <c r="BO138" s="848">
        <v>6642.2481950000001</v>
      </c>
      <c r="BP138" s="848">
        <v>6642.2481950000001</v>
      </c>
      <c r="BQ138" s="848">
        <v>6642.2481950000001</v>
      </c>
      <c r="BR138" s="848">
        <v>6642.2481950000001</v>
      </c>
      <c r="BS138" s="848">
        <v>6642.2481950000001</v>
      </c>
      <c r="BT138" s="848">
        <v>6642.2481950000001</v>
      </c>
      <c r="BU138" s="848">
        <v>6642.2481950000001</v>
      </c>
      <c r="BV138" s="848">
        <v>6642.2481950000001</v>
      </c>
      <c r="BW138" s="848">
        <v>6642.2481950000001</v>
      </c>
      <c r="BX138" s="848">
        <v>6642.2481950000001</v>
      </c>
      <c r="BY138" s="848">
        <v>6642.2481950000001</v>
      </c>
      <c r="BZ138" s="848">
        <v>6642.2481950000001</v>
      </c>
      <c r="CA138" s="848">
        <v>6642.2481950000001</v>
      </c>
      <c r="CB138" s="848">
        <v>6642.2481950000001</v>
      </c>
      <c r="CC138" s="848">
        <v>6642.2481950000001</v>
      </c>
      <c r="CD138" s="848">
        <v>6642.2481950000001</v>
      </c>
      <c r="CE138" s="848">
        <v>6642.2481950000001</v>
      </c>
      <c r="CF138" s="848">
        <v>6642.2481950000001</v>
      </c>
      <c r="CG138" s="848">
        <v>6642.2481950000001</v>
      </c>
      <c r="CH138" s="848">
        <v>6642.2481950000001</v>
      </c>
      <c r="CI138" s="848">
        <v>6642.2481950000001</v>
      </c>
      <c r="CJ138" s="848">
        <v>6642.2481950000001</v>
      </c>
      <c r="CK138" s="848">
        <v>6642.2481950000001</v>
      </c>
      <c r="CL138" s="848">
        <v>6642.2481950000001</v>
      </c>
      <c r="CM138" s="848">
        <v>6642.2481950000001</v>
      </c>
      <c r="CN138" s="848">
        <v>6642.2481950000001</v>
      </c>
      <c r="CO138" s="848">
        <v>6642.2481950000001</v>
      </c>
      <c r="CP138" s="848">
        <v>6642.2481950000001</v>
      </c>
      <c r="CQ138" s="848">
        <v>6642.2481950000001</v>
      </c>
      <c r="CR138" s="848">
        <v>6642.2481950000001</v>
      </c>
      <c r="CS138" s="848">
        <v>6642.2481950000001</v>
      </c>
      <c r="CT138" s="848">
        <v>6642.2481950000001</v>
      </c>
      <c r="CU138" s="848">
        <v>6642.2481950000001</v>
      </c>
      <c r="CV138" s="848">
        <v>6642.2481950000001</v>
      </c>
      <c r="CW138" s="848">
        <v>6642.2481950000001</v>
      </c>
      <c r="CX138" s="848">
        <v>6642.2481950000001</v>
      </c>
      <c r="CY138" s="848">
        <v>6642.2481950000001</v>
      </c>
      <c r="CZ138" s="848">
        <v>6642.2481950000001</v>
      </c>
      <c r="DA138" s="848">
        <v>6642.2481950000001</v>
      </c>
      <c r="DB138" s="848">
        <v>6642.2481950000001</v>
      </c>
      <c r="DC138" s="848">
        <v>6642.2481950000001</v>
      </c>
      <c r="DD138" s="848">
        <v>6642.2481950000001</v>
      </c>
      <c r="DE138" s="848">
        <v>6642.2481950000001</v>
      </c>
      <c r="DF138" s="848">
        <v>6642.2481950000001</v>
      </c>
      <c r="DG138" s="848">
        <v>6642.2481950000001</v>
      </c>
      <c r="DH138" s="848">
        <v>6642.2481950000001</v>
      </c>
      <c r="DI138" s="848">
        <v>6642.2481950000001</v>
      </c>
      <c r="DJ138" s="848">
        <v>6642.2481950000001</v>
      </c>
      <c r="DK138" s="848">
        <v>6642.2481950000001</v>
      </c>
      <c r="DL138" s="848">
        <v>6642.2481950000001</v>
      </c>
      <c r="DM138" s="848">
        <v>6642.2481950000001</v>
      </c>
      <c r="DN138" s="848">
        <v>6642.2481950000001</v>
      </c>
      <c r="DO138" s="848">
        <v>6642.2481950000001</v>
      </c>
      <c r="DP138" s="848">
        <v>6642.2481950000001</v>
      </c>
      <c r="DQ138" s="848">
        <v>6642.2481950000001</v>
      </c>
      <c r="DR138" s="848">
        <v>6642.2481950000001</v>
      </c>
      <c r="DS138" s="848">
        <v>6642.2481950000001</v>
      </c>
      <c r="DT138" s="848">
        <v>6642.2481950000001</v>
      </c>
      <c r="DU138" s="848">
        <v>6642.2481950000001</v>
      </c>
      <c r="DV138" s="848">
        <v>6642.2481950000001</v>
      </c>
      <c r="DW138" s="848">
        <v>6642.2481950000001</v>
      </c>
      <c r="DX138" s="848">
        <v>6642.2481950000001</v>
      </c>
      <c r="DY138" s="848">
        <v>6642.2481950000001</v>
      </c>
      <c r="DZ138" s="848">
        <v>6642.2481950000001</v>
      </c>
      <c r="EA138" s="848">
        <v>0</v>
      </c>
      <c r="EB138" s="848">
        <v>0</v>
      </c>
      <c r="EC138" s="848">
        <v>0</v>
      </c>
      <c r="ED138" s="848">
        <v>0</v>
      </c>
      <c r="EE138" s="848">
        <v>0</v>
      </c>
      <c r="EF138" s="848">
        <v>0</v>
      </c>
      <c r="EG138" s="848">
        <v>0</v>
      </c>
      <c r="EH138" s="848">
        <v>0</v>
      </c>
      <c r="EI138" s="848">
        <v>0</v>
      </c>
      <c r="EJ138" s="848">
        <v>0</v>
      </c>
      <c r="EK138" s="848">
        <v>0</v>
      </c>
      <c r="EL138" s="848">
        <v>0</v>
      </c>
    </row>
    <row r="139" spans="2:142" s="833" customFormat="1" ht="13.5">
      <c r="B139" s="1000"/>
      <c r="C139" s="1001"/>
      <c r="D139" s="1001"/>
      <c r="E139" s="1001"/>
      <c r="F139" s="1072" t="s">
        <v>2189</v>
      </c>
      <c r="G139" s="855"/>
      <c r="H139" s="848">
        <f>SUM(J139:EL139)</f>
        <v>1940500.8357948039</v>
      </c>
      <c r="J139" s="848">
        <f>SUM(J137:J138)</f>
        <v>0</v>
      </c>
      <c r="K139" s="848">
        <f t="shared" ref="K139:BV139" si="80">SUM(K137:K138)</f>
        <v>0</v>
      </c>
      <c r="L139" s="848">
        <f t="shared" si="80"/>
        <v>0</v>
      </c>
      <c r="M139" s="848">
        <f t="shared" si="80"/>
        <v>0</v>
      </c>
      <c r="N139" s="848">
        <f t="shared" si="80"/>
        <v>0</v>
      </c>
      <c r="O139" s="848">
        <f t="shared" si="80"/>
        <v>0</v>
      </c>
      <c r="P139" s="848">
        <f t="shared" si="80"/>
        <v>0</v>
      </c>
      <c r="Q139" s="848">
        <f t="shared" si="80"/>
        <v>0</v>
      </c>
      <c r="R139" s="848">
        <f t="shared" si="80"/>
        <v>0</v>
      </c>
      <c r="S139" s="848">
        <f t="shared" si="80"/>
        <v>0</v>
      </c>
      <c r="T139" s="848">
        <f t="shared" si="80"/>
        <v>0</v>
      </c>
      <c r="U139" s="848">
        <f t="shared" si="80"/>
        <v>0</v>
      </c>
      <c r="V139" s="848">
        <f t="shared" si="80"/>
        <v>0</v>
      </c>
      <c r="W139" s="848">
        <f t="shared" si="80"/>
        <v>0</v>
      </c>
      <c r="X139" s="848">
        <f t="shared" si="80"/>
        <v>0</v>
      </c>
      <c r="Y139" s="848">
        <f t="shared" si="80"/>
        <v>0</v>
      </c>
      <c r="Z139" s="848">
        <f t="shared" si="80"/>
        <v>0</v>
      </c>
      <c r="AA139" s="848">
        <f t="shared" si="80"/>
        <v>0</v>
      </c>
      <c r="AB139" s="848">
        <f t="shared" si="80"/>
        <v>0</v>
      </c>
      <c r="AC139" s="848">
        <f t="shared" si="80"/>
        <v>0</v>
      </c>
      <c r="AD139" s="848">
        <f t="shared" si="80"/>
        <v>0</v>
      </c>
      <c r="AE139" s="848">
        <f t="shared" si="80"/>
        <v>0</v>
      </c>
      <c r="AF139" s="848">
        <f t="shared" si="80"/>
        <v>0</v>
      </c>
      <c r="AG139" s="848">
        <f t="shared" si="80"/>
        <v>0</v>
      </c>
      <c r="AH139" s="848">
        <f t="shared" si="80"/>
        <v>0</v>
      </c>
      <c r="AI139" s="848">
        <f t="shared" si="80"/>
        <v>0</v>
      </c>
      <c r="AJ139" s="848">
        <f t="shared" si="80"/>
        <v>0</v>
      </c>
      <c r="AK139" s="848">
        <f t="shared" si="80"/>
        <v>0</v>
      </c>
      <c r="AL139" s="848">
        <f t="shared" si="80"/>
        <v>0</v>
      </c>
      <c r="AM139" s="848">
        <f t="shared" si="80"/>
        <v>25548.86933299993</v>
      </c>
      <c r="AN139" s="848">
        <f t="shared" si="80"/>
        <v>27872.622904130247</v>
      </c>
      <c r="AO139" s="848">
        <f t="shared" si="80"/>
        <v>26771.792195086316</v>
      </c>
      <c r="AP139" s="848">
        <f t="shared" si="80"/>
        <v>21471.029741538568</v>
      </c>
      <c r="AQ139" s="848">
        <f t="shared" si="80"/>
        <v>23999.268322905406</v>
      </c>
      <c r="AR139" s="848">
        <f t="shared" si="80"/>
        <v>22384.68139811742</v>
      </c>
      <c r="AS139" s="848">
        <f t="shared" si="80"/>
        <v>24205.20767767002</v>
      </c>
      <c r="AT139" s="848">
        <f t="shared" si="80"/>
        <v>26739.142463070464</v>
      </c>
      <c r="AU139" s="848">
        <f t="shared" si="80"/>
        <v>39860.904996341829</v>
      </c>
      <c r="AV139" s="848">
        <f t="shared" si="80"/>
        <v>36895.240842544852</v>
      </c>
      <c r="AW139" s="848">
        <f t="shared" si="80"/>
        <v>39455.613197038787</v>
      </c>
      <c r="AX139" s="848">
        <f t="shared" si="80"/>
        <v>36079.656544059384</v>
      </c>
      <c r="AY139" s="848">
        <f t="shared" si="80"/>
        <v>38112.115668737468</v>
      </c>
      <c r="AZ139" s="848">
        <f t="shared" si="80"/>
        <v>40618.882456959909</v>
      </c>
      <c r="BA139" s="848">
        <f t="shared" si="80"/>
        <v>36116.077628733656</v>
      </c>
      <c r="BB139" s="848">
        <f t="shared" si="80"/>
        <v>33512.630525984132</v>
      </c>
      <c r="BC139" s="848">
        <f t="shared" si="80"/>
        <v>36138.483509679674</v>
      </c>
      <c r="BD139" s="848">
        <f t="shared" si="80"/>
        <v>32284.404329757534</v>
      </c>
      <c r="BE139" s="848">
        <f t="shared" si="80"/>
        <v>34428.155941307385</v>
      </c>
      <c r="BF139" s="848">
        <f t="shared" si="80"/>
        <v>37055.916269618188</v>
      </c>
      <c r="BG139" s="848">
        <f t="shared" si="80"/>
        <v>32588.840679758869</v>
      </c>
      <c r="BH139" s="848">
        <f t="shared" si="80"/>
        <v>29682.47268196482</v>
      </c>
      <c r="BI139" s="848">
        <f t="shared" si="80"/>
        <v>32300.346170151988</v>
      </c>
      <c r="BJ139" s="848">
        <f t="shared" si="80"/>
        <v>28978.577182563444</v>
      </c>
      <c r="BK139" s="848">
        <f t="shared" si="80"/>
        <v>31067.864842765859</v>
      </c>
      <c r="BL139" s="848">
        <f t="shared" si="80"/>
        <v>33631.853403985668</v>
      </c>
      <c r="BM139" s="848">
        <f t="shared" si="80"/>
        <v>29150.648247218509</v>
      </c>
      <c r="BN139" s="848">
        <f t="shared" si="80"/>
        <v>26606.601784874845</v>
      </c>
      <c r="BO139" s="848">
        <f t="shared" si="80"/>
        <v>29292.721031565448</v>
      </c>
      <c r="BP139" s="848">
        <f t="shared" si="80"/>
        <v>25475.384575364988</v>
      </c>
      <c r="BQ139" s="848">
        <f t="shared" si="80"/>
        <v>27679.60455196556</v>
      </c>
      <c r="BR139" s="848">
        <f t="shared" si="80"/>
        <v>30367.959221087604</v>
      </c>
      <c r="BS139" s="848">
        <f t="shared" si="80"/>
        <v>17614.355518521639</v>
      </c>
      <c r="BT139" s="848">
        <f t="shared" si="80"/>
        <v>14753.695572383265</v>
      </c>
      <c r="BU139" s="848">
        <f t="shared" si="80"/>
        <v>17415.121264464513</v>
      </c>
      <c r="BV139" s="848">
        <f t="shared" si="80"/>
        <v>15304.743286950636</v>
      </c>
      <c r="BW139" s="848">
        <f t="shared" ref="BW139:EH139" si="81">SUM(BW137:BW138)</f>
        <v>17439.27498385762</v>
      </c>
      <c r="BX139" s="848">
        <f t="shared" si="81"/>
        <v>20048.886379615535</v>
      </c>
      <c r="BY139" s="848">
        <f t="shared" si="81"/>
        <v>16747.898163810838</v>
      </c>
      <c r="BZ139" s="848">
        <f t="shared" si="81"/>
        <v>13171.090564504209</v>
      </c>
      <c r="CA139" s="848">
        <f t="shared" si="81"/>
        <v>15906.060958903701</v>
      </c>
      <c r="CB139" s="848">
        <f t="shared" si="81"/>
        <v>13987.179755991125</v>
      </c>
      <c r="CC139" s="848">
        <f t="shared" si="81"/>
        <v>16244.307768635996</v>
      </c>
      <c r="CD139" s="848">
        <f t="shared" si="81"/>
        <v>18985.68069887743</v>
      </c>
      <c r="CE139" s="848">
        <f t="shared" si="81"/>
        <v>17134.014822723533</v>
      </c>
      <c r="CF139" s="848">
        <f t="shared" si="81"/>
        <v>13261.154904434299</v>
      </c>
      <c r="CG139" s="848">
        <f t="shared" si="81"/>
        <v>15996.312932875313</v>
      </c>
      <c r="CH139" s="848">
        <f t="shared" si="81"/>
        <v>13956.248934626212</v>
      </c>
      <c r="CI139" s="848">
        <f t="shared" si="81"/>
        <v>16263.872758830947</v>
      </c>
      <c r="CJ139" s="848">
        <f t="shared" si="81"/>
        <v>18947.231349097092</v>
      </c>
      <c r="CK139" s="848">
        <f t="shared" si="81"/>
        <v>15682.355040779003</v>
      </c>
      <c r="CL139" s="848">
        <f t="shared" si="81"/>
        <v>12023.747269526117</v>
      </c>
      <c r="CM139" s="848">
        <f t="shared" si="81"/>
        <v>18902.798086864103</v>
      </c>
      <c r="CN139" s="848">
        <f t="shared" si="81"/>
        <v>17097.046946941384</v>
      </c>
      <c r="CO139" s="848">
        <f t="shared" si="81"/>
        <v>19572.348479763132</v>
      </c>
      <c r="CP139" s="848">
        <f t="shared" si="81"/>
        <v>22433.621634022726</v>
      </c>
      <c r="CQ139" s="848">
        <f t="shared" si="81"/>
        <v>12132.105774020356</v>
      </c>
      <c r="CR139" s="848">
        <f t="shared" si="81"/>
        <v>8361.3100453526167</v>
      </c>
      <c r="CS139" s="848">
        <f t="shared" si="81"/>
        <v>11199.226869540522</v>
      </c>
      <c r="CT139" s="848">
        <f t="shared" si="81"/>
        <v>10494.742342411129</v>
      </c>
      <c r="CU139" s="848">
        <f t="shared" si="81"/>
        <v>13303.403681226475</v>
      </c>
      <c r="CV139" s="848">
        <f t="shared" si="81"/>
        <v>16090.068597593416</v>
      </c>
      <c r="CW139" s="848">
        <f t="shared" si="81"/>
        <v>14126.107770816814</v>
      </c>
      <c r="CX139" s="848">
        <f t="shared" si="81"/>
        <v>10729.986201192494</v>
      </c>
      <c r="CY139" s="848">
        <f t="shared" si="81"/>
        <v>13652.791581622951</v>
      </c>
      <c r="CZ139" s="848">
        <f t="shared" si="81"/>
        <v>13145.61880264582</v>
      </c>
      <c r="DA139" s="848">
        <f t="shared" si="81"/>
        <v>15690.085732228887</v>
      </c>
      <c r="DB139" s="848">
        <f t="shared" si="81"/>
        <v>18623.224653349003</v>
      </c>
      <c r="DC139" s="848">
        <f t="shared" si="81"/>
        <v>18199.974280554787</v>
      </c>
      <c r="DD139" s="848">
        <f t="shared" si="81"/>
        <v>12408.372787693672</v>
      </c>
      <c r="DE139" s="848">
        <f t="shared" si="81"/>
        <v>15334.674806846006</v>
      </c>
      <c r="DF139" s="848">
        <f t="shared" si="81"/>
        <v>14715.043336943201</v>
      </c>
      <c r="DG139" s="848">
        <f t="shared" si="81"/>
        <v>17211.234943682437</v>
      </c>
      <c r="DH139" s="848">
        <f t="shared" si="81"/>
        <v>20088.087289169627</v>
      </c>
      <c r="DI139" s="848">
        <f t="shared" si="81"/>
        <v>18174.548606471973</v>
      </c>
      <c r="DJ139" s="848">
        <f t="shared" si="81"/>
        <v>11069.189697210968</v>
      </c>
      <c r="DK139" s="848">
        <f t="shared" si="81"/>
        <v>14077.845854229365</v>
      </c>
      <c r="DL139" s="848">
        <f t="shared" si="81"/>
        <v>13649.345973896383</v>
      </c>
      <c r="DM139" s="848">
        <f t="shared" si="81"/>
        <v>16280.006437724121</v>
      </c>
      <c r="DN139" s="848">
        <f t="shared" si="81"/>
        <v>19299.518462951921</v>
      </c>
      <c r="DO139" s="848">
        <f t="shared" si="81"/>
        <v>18962.821138232277</v>
      </c>
      <c r="DP139" s="848">
        <f t="shared" si="81"/>
        <v>12774.297879194823</v>
      </c>
      <c r="DQ139" s="848">
        <f t="shared" si="81"/>
        <v>15786.506344925685</v>
      </c>
      <c r="DR139" s="848">
        <f t="shared" si="81"/>
        <v>15249.169694333212</v>
      </c>
      <c r="DS139" s="848">
        <f t="shared" si="81"/>
        <v>17830.620281956111</v>
      </c>
      <c r="DT139" s="848">
        <f t="shared" si="81"/>
        <v>20793.234839643537</v>
      </c>
      <c r="DU139" s="848">
        <f t="shared" si="81"/>
        <v>18924.555944995802</v>
      </c>
      <c r="DV139" s="848">
        <f t="shared" si="81"/>
        <v>11393.953540848928</v>
      </c>
      <c r="DW139" s="848">
        <f t="shared" si="81"/>
        <v>14490.93538779114</v>
      </c>
      <c r="DX139" s="848">
        <f t="shared" si="81"/>
        <v>14142.852802134799</v>
      </c>
      <c r="DY139" s="848">
        <f t="shared" si="81"/>
        <v>16862.190503770937</v>
      </c>
      <c r="DZ139" s="848">
        <f t="shared" si="81"/>
        <v>19970.564511052573</v>
      </c>
      <c r="EA139" s="848">
        <f t="shared" si="81"/>
        <v>0</v>
      </c>
      <c r="EB139" s="848">
        <f t="shared" si="81"/>
        <v>0</v>
      </c>
      <c r="EC139" s="848">
        <f t="shared" si="81"/>
        <v>0</v>
      </c>
      <c r="ED139" s="848">
        <f t="shared" si="81"/>
        <v>0</v>
      </c>
      <c r="EE139" s="848">
        <f t="shared" si="81"/>
        <v>0</v>
      </c>
      <c r="EF139" s="848">
        <f t="shared" si="81"/>
        <v>0</v>
      </c>
      <c r="EG139" s="848">
        <f t="shared" si="81"/>
        <v>0</v>
      </c>
      <c r="EH139" s="848">
        <f t="shared" si="81"/>
        <v>0</v>
      </c>
      <c r="EI139" s="848">
        <f>SUM(EI137:EI138)</f>
        <v>0</v>
      </c>
      <c r="EJ139" s="848">
        <f>SUM(EJ137:EJ138)</f>
        <v>0</v>
      </c>
      <c r="EK139" s="848">
        <f>SUM(EK137:EK138)</f>
        <v>0</v>
      </c>
      <c r="EL139" s="848">
        <f>SUM(EL137:EL138)</f>
        <v>0</v>
      </c>
    </row>
    <row r="140" spans="2:142" s="833" customFormat="1" ht="13.5">
      <c r="B140" s="1000"/>
      <c r="C140" s="1001"/>
      <c r="D140" s="1001"/>
      <c r="E140" s="1001"/>
      <c r="F140" s="1080" t="s">
        <v>2190</v>
      </c>
      <c r="G140" s="1076">
        <v>2.5000000000000001E-2</v>
      </c>
      <c r="H140" s="848">
        <f>SUM(J140:EL140)</f>
        <v>4042.7100745725088</v>
      </c>
      <c r="J140" s="848">
        <f>$G140*J139/12*J$3*(I105&gt;0)</f>
        <v>0</v>
      </c>
      <c r="K140" s="848">
        <f t="shared" ref="K140:BV140" si="82">$G140*K139/12*K$3*(J105&gt;0)</f>
        <v>0</v>
      </c>
      <c r="L140" s="848">
        <f t="shared" si="82"/>
        <v>0</v>
      </c>
      <c r="M140" s="848">
        <f t="shared" si="82"/>
        <v>0</v>
      </c>
      <c r="N140" s="848">
        <f t="shared" si="82"/>
        <v>0</v>
      </c>
      <c r="O140" s="848">
        <f t="shared" si="82"/>
        <v>0</v>
      </c>
      <c r="P140" s="848">
        <f t="shared" si="82"/>
        <v>0</v>
      </c>
      <c r="Q140" s="848">
        <f t="shared" si="82"/>
        <v>0</v>
      </c>
      <c r="R140" s="848">
        <f t="shared" si="82"/>
        <v>0</v>
      </c>
      <c r="S140" s="848">
        <f t="shared" si="82"/>
        <v>0</v>
      </c>
      <c r="T140" s="848">
        <f t="shared" si="82"/>
        <v>0</v>
      </c>
      <c r="U140" s="848">
        <f t="shared" si="82"/>
        <v>0</v>
      </c>
      <c r="V140" s="848">
        <f t="shared" si="82"/>
        <v>0</v>
      </c>
      <c r="W140" s="848">
        <f t="shared" si="82"/>
        <v>0</v>
      </c>
      <c r="X140" s="848">
        <f t="shared" si="82"/>
        <v>0</v>
      </c>
      <c r="Y140" s="848">
        <f t="shared" si="82"/>
        <v>0</v>
      </c>
      <c r="Z140" s="848">
        <f t="shared" si="82"/>
        <v>0</v>
      </c>
      <c r="AA140" s="848">
        <f t="shared" si="82"/>
        <v>0</v>
      </c>
      <c r="AB140" s="848">
        <f t="shared" si="82"/>
        <v>0</v>
      </c>
      <c r="AC140" s="848">
        <f t="shared" si="82"/>
        <v>0</v>
      </c>
      <c r="AD140" s="848">
        <f t="shared" si="82"/>
        <v>0</v>
      </c>
      <c r="AE140" s="848">
        <f t="shared" si="82"/>
        <v>0</v>
      </c>
      <c r="AF140" s="848">
        <f t="shared" si="82"/>
        <v>0</v>
      </c>
      <c r="AG140" s="848">
        <f t="shared" si="82"/>
        <v>0</v>
      </c>
      <c r="AH140" s="848">
        <f t="shared" si="82"/>
        <v>0</v>
      </c>
      <c r="AI140" s="848">
        <f t="shared" si="82"/>
        <v>0</v>
      </c>
      <c r="AJ140" s="848">
        <f t="shared" si="82"/>
        <v>0</v>
      </c>
      <c r="AK140" s="848">
        <f t="shared" si="82"/>
        <v>0</v>
      </c>
      <c r="AL140" s="848">
        <f t="shared" si="82"/>
        <v>0</v>
      </c>
      <c r="AM140" s="848">
        <f t="shared" si="82"/>
        <v>53.22681111041652</v>
      </c>
      <c r="AN140" s="848">
        <f t="shared" si="82"/>
        <v>58.067964383604682</v>
      </c>
      <c r="AO140" s="848">
        <f t="shared" si="82"/>
        <v>55.774567073096499</v>
      </c>
      <c r="AP140" s="848">
        <f t="shared" si="82"/>
        <v>44.731311961538687</v>
      </c>
      <c r="AQ140" s="848">
        <f t="shared" si="82"/>
        <v>49.998475672719593</v>
      </c>
      <c r="AR140" s="848">
        <f t="shared" si="82"/>
        <v>46.634752912744631</v>
      </c>
      <c r="AS140" s="848">
        <f t="shared" si="82"/>
        <v>50.427515995145875</v>
      </c>
      <c r="AT140" s="848">
        <f t="shared" si="82"/>
        <v>55.706546798063471</v>
      </c>
      <c r="AU140" s="848">
        <f t="shared" si="82"/>
        <v>83.043552075712157</v>
      </c>
      <c r="AV140" s="848">
        <f t="shared" si="82"/>
        <v>76.865085088635112</v>
      </c>
      <c r="AW140" s="848">
        <f t="shared" si="82"/>
        <v>82.19919416049747</v>
      </c>
      <c r="AX140" s="848">
        <f t="shared" si="82"/>
        <v>75.165951133457057</v>
      </c>
      <c r="AY140" s="848">
        <f t="shared" si="82"/>
        <v>79.400240976536395</v>
      </c>
      <c r="AZ140" s="848">
        <f t="shared" si="82"/>
        <v>84.622671785333139</v>
      </c>
      <c r="BA140" s="848">
        <f t="shared" si="82"/>
        <v>75.241828393195121</v>
      </c>
      <c r="BB140" s="848">
        <f t="shared" si="82"/>
        <v>69.817980262466946</v>
      </c>
      <c r="BC140" s="848">
        <f t="shared" si="82"/>
        <v>75.28850731183266</v>
      </c>
      <c r="BD140" s="848">
        <f t="shared" si="82"/>
        <v>67.259175686994865</v>
      </c>
      <c r="BE140" s="848">
        <f t="shared" si="82"/>
        <v>71.725324877723722</v>
      </c>
      <c r="BF140" s="848">
        <f t="shared" si="82"/>
        <v>77.199825561704571</v>
      </c>
      <c r="BG140" s="848">
        <f t="shared" si="82"/>
        <v>67.893418082830976</v>
      </c>
      <c r="BH140" s="848">
        <f t="shared" si="82"/>
        <v>61.838484754093379</v>
      </c>
      <c r="BI140" s="848">
        <f t="shared" si="82"/>
        <v>67.292387854483309</v>
      </c>
      <c r="BJ140" s="848">
        <f t="shared" si="82"/>
        <v>60.372035797007179</v>
      </c>
      <c r="BK140" s="848">
        <f t="shared" si="82"/>
        <v>64.724718422428879</v>
      </c>
      <c r="BL140" s="848">
        <f t="shared" si="82"/>
        <v>70.066361258303473</v>
      </c>
      <c r="BM140" s="848">
        <f t="shared" si="82"/>
        <v>60.730517181705231</v>
      </c>
      <c r="BN140" s="848">
        <f t="shared" si="82"/>
        <v>55.430420385155934</v>
      </c>
      <c r="BO140" s="848">
        <f t="shared" si="82"/>
        <v>61.026502149094689</v>
      </c>
      <c r="BP140" s="848">
        <f t="shared" si="82"/>
        <v>53.073717865343724</v>
      </c>
      <c r="BQ140" s="848">
        <f t="shared" si="82"/>
        <v>57.665842816594925</v>
      </c>
      <c r="BR140" s="848">
        <f t="shared" si="82"/>
        <v>63.266581710599176</v>
      </c>
      <c r="BS140" s="848">
        <f t="shared" si="82"/>
        <v>36.696573996920087</v>
      </c>
      <c r="BT140" s="848">
        <f t="shared" si="82"/>
        <v>30.736865775798474</v>
      </c>
      <c r="BU140" s="848">
        <f t="shared" si="82"/>
        <v>36.28150263430107</v>
      </c>
      <c r="BV140" s="848">
        <f t="shared" si="82"/>
        <v>31.884881847813826</v>
      </c>
      <c r="BW140" s="848">
        <f t="shared" ref="BW140:EH140" si="83">$G140*BW139/12*BW$3*(BV105&gt;0)</f>
        <v>36.331822883036715</v>
      </c>
      <c r="BX140" s="848">
        <f t="shared" si="83"/>
        <v>41.768513290865698</v>
      </c>
      <c r="BY140" s="848">
        <f t="shared" si="83"/>
        <v>34.891454507939251</v>
      </c>
      <c r="BZ140" s="848">
        <f t="shared" si="83"/>
        <v>27.439772009383773</v>
      </c>
      <c r="CA140" s="848">
        <f t="shared" si="83"/>
        <v>33.137626997716048</v>
      </c>
      <c r="CB140" s="848">
        <f t="shared" si="83"/>
        <v>29.139957824981511</v>
      </c>
      <c r="CC140" s="848">
        <f t="shared" si="83"/>
        <v>33.842307851324996</v>
      </c>
      <c r="CD140" s="848">
        <f t="shared" si="83"/>
        <v>39.553501455994649</v>
      </c>
      <c r="CE140" s="848">
        <f t="shared" si="83"/>
        <v>35.695864214007365</v>
      </c>
      <c r="CF140" s="848">
        <f t="shared" si="83"/>
        <v>27.627406050904792</v>
      </c>
      <c r="CG140" s="848">
        <f t="shared" si="83"/>
        <v>33.325651943490236</v>
      </c>
      <c r="CH140" s="848">
        <f t="shared" si="83"/>
        <v>29.075518613804608</v>
      </c>
      <c r="CI140" s="848">
        <f t="shared" si="83"/>
        <v>33.883068247564474</v>
      </c>
      <c r="CJ140" s="848">
        <f t="shared" si="83"/>
        <v>39.473398643952272</v>
      </c>
      <c r="CK140" s="848">
        <f t="shared" si="83"/>
        <v>32.671573001622924</v>
      </c>
      <c r="CL140" s="848">
        <f t="shared" si="83"/>
        <v>25.049473478179412</v>
      </c>
      <c r="CM140" s="848">
        <f t="shared" si="83"/>
        <v>39.380829347633551</v>
      </c>
      <c r="CN140" s="848">
        <f t="shared" si="83"/>
        <v>35.618847806127881</v>
      </c>
      <c r="CO140" s="848">
        <f t="shared" si="83"/>
        <v>40.775725999506527</v>
      </c>
      <c r="CP140" s="848">
        <f t="shared" si="83"/>
        <v>46.736711737547346</v>
      </c>
      <c r="CQ140" s="848">
        <f t="shared" si="83"/>
        <v>25.275220362542409</v>
      </c>
      <c r="CR140" s="848">
        <f t="shared" si="83"/>
        <v>17.419395927817952</v>
      </c>
      <c r="CS140" s="848">
        <f t="shared" si="83"/>
        <v>23.331722644876091</v>
      </c>
      <c r="CT140" s="848">
        <f t="shared" si="83"/>
        <v>21.864046546689853</v>
      </c>
      <c r="CU140" s="848">
        <f t="shared" si="83"/>
        <v>27.715424335888489</v>
      </c>
      <c r="CV140" s="848">
        <f t="shared" si="83"/>
        <v>33.520976244986286</v>
      </c>
      <c r="CW140" s="848">
        <f t="shared" si="83"/>
        <v>29.429391189201699</v>
      </c>
      <c r="CX140" s="848">
        <f t="shared" si="83"/>
        <v>22.354137919151029</v>
      </c>
      <c r="CY140" s="848">
        <f t="shared" si="83"/>
        <v>28.443315795047813</v>
      </c>
      <c r="CZ140" s="848">
        <f t="shared" si="83"/>
        <v>27.386705838845462</v>
      </c>
      <c r="DA140" s="848">
        <f t="shared" si="83"/>
        <v>32.687678608810181</v>
      </c>
      <c r="DB140" s="848">
        <f t="shared" si="83"/>
        <v>38.798384694477093</v>
      </c>
      <c r="DC140" s="848">
        <f t="shared" si="83"/>
        <v>37.916613084489143</v>
      </c>
      <c r="DD140" s="848">
        <f t="shared" si="83"/>
        <v>25.850776641028485</v>
      </c>
      <c r="DE140" s="848">
        <f t="shared" si="83"/>
        <v>31.947239180929177</v>
      </c>
      <c r="DF140" s="848">
        <f t="shared" si="83"/>
        <v>30.656340285298338</v>
      </c>
      <c r="DG140" s="848">
        <f t="shared" si="83"/>
        <v>35.856739466005081</v>
      </c>
      <c r="DH140" s="848">
        <f t="shared" si="83"/>
        <v>41.850181852436727</v>
      </c>
      <c r="DI140" s="848">
        <f t="shared" si="83"/>
        <v>37.863642930149943</v>
      </c>
      <c r="DJ140" s="848">
        <f t="shared" si="83"/>
        <v>23.060811869189518</v>
      </c>
      <c r="DK140" s="848">
        <f t="shared" si="83"/>
        <v>29.328845529644511</v>
      </c>
      <c r="DL140" s="848">
        <f t="shared" si="83"/>
        <v>28.436137445617465</v>
      </c>
      <c r="DM140" s="848">
        <f t="shared" si="83"/>
        <v>33.916680078591924</v>
      </c>
      <c r="DN140" s="848">
        <f t="shared" si="83"/>
        <v>40.207330131149838</v>
      </c>
      <c r="DO140" s="848">
        <f t="shared" si="83"/>
        <v>39.505877371317247</v>
      </c>
      <c r="DP140" s="848">
        <f t="shared" si="83"/>
        <v>26.613120581655881</v>
      </c>
      <c r="DQ140" s="848">
        <f t="shared" si="83"/>
        <v>32.888554885261847</v>
      </c>
      <c r="DR140" s="848">
        <f t="shared" si="83"/>
        <v>31.76910352986086</v>
      </c>
      <c r="DS140" s="848">
        <f t="shared" si="83"/>
        <v>37.147125587408567</v>
      </c>
      <c r="DT140" s="848">
        <f t="shared" si="83"/>
        <v>43.319239249257372</v>
      </c>
      <c r="DU140" s="848">
        <f t="shared" si="83"/>
        <v>39.426158218741257</v>
      </c>
      <c r="DV140" s="848">
        <f t="shared" si="83"/>
        <v>23.737403210101935</v>
      </c>
      <c r="DW140" s="848">
        <f t="shared" si="83"/>
        <v>30.18944872456488</v>
      </c>
      <c r="DX140" s="848">
        <f t="shared" si="83"/>
        <v>29.464276671114167</v>
      </c>
      <c r="DY140" s="848">
        <f t="shared" si="83"/>
        <v>35.129563549522786</v>
      </c>
      <c r="DZ140" s="848">
        <f t="shared" si="83"/>
        <v>41.605342731359528</v>
      </c>
      <c r="EA140" s="848">
        <f t="shared" si="83"/>
        <v>0</v>
      </c>
      <c r="EB140" s="848">
        <f t="shared" si="83"/>
        <v>0</v>
      </c>
      <c r="EC140" s="848">
        <f t="shared" si="83"/>
        <v>0</v>
      </c>
      <c r="ED140" s="848">
        <f t="shared" si="83"/>
        <v>0</v>
      </c>
      <c r="EE140" s="848">
        <f t="shared" si="83"/>
        <v>0</v>
      </c>
      <c r="EF140" s="848">
        <f t="shared" si="83"/>
        <v>0</v>
      </c>
      <c r="EG140" s="848">
        <f t="shared" si="83"/>
        <v>0</v>
      </c>
      <c r="EH140" s="848">
        <f t="shared" si="83"/>
        <v>0</v>
      </c>
      <c r="EI140" s="848">
        <f>$G140*EI139/12*EI$3*(EH105&gt;0)</f>
        <v>0</v>
      </c>
      <c r="EJ140" s="848">
        <f>$G140*EJ139/12*EJ$3*(EI105&gt;0)</f>
        <v>0</v>
      </c>
      <c r="EK140" s="848">
        <f>$G140*EK139/12*EK$3*(EJ105&gt;0)</f>
        <v>0</v>
      </c>
      <c r="EL140" s="848">
        <f>$G140*EL139/12*EL$3*(EK105&gt;0)</f>
        <v>0</v>
      </c>
    </row>
    <row r="141" spans="2:142" s="833" customFormat="1">
      <c r="B141" s="1013"/>
      <c r="C141" s="1014"/>
      <c r="D141" s="1014"/>
      <c r="E141" s="1014"/>
      <c r="F141" s="1014"/>
      <c r="G141" s="1014"/>
      <c r="H141" s="217"/>
      <c r="J141" s="217"/>
      <c r="K141" s="217"/>
      <c r="L141" s="217"/>
      <c r="M141" s="217"/>
      <c r="N141" s="217"/>
      <c r="O141" s="217"/>
      <c r="P141" s="217"/>
      <c r="Q141" s="217"/>
      <c r="R141" s="217"/>
      <c r="S141" s="217"/>
      <c r="T141" s="217"/>
      <c r="U141" s="217"/>
      <c r="V141" s="217"/>
      <c r="W141" s="217"/>
      <c r="X141" s="217"/>
      <c r="Y141" s="217"/>
      <c r="Z141" s="217"/>
      <c r="AA141" s="217"/>
      <c r="AB141" s="217"/>
      <c r="AC141" s="217"/>
      <c r="AD141" s="217"/>
      <c r="AE141" s="217"/>
      <c r="AF141" s="217"/>
      <c r="AG141" s="217"/>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c r="CL141" s="217"/>
      <c r="CM141" s="217"/>
      <c r="CN141" s="217"/>
      <c r="CO141" s="217"/>
      <c r="CP141" s="217"/>
      <c r="CQ141" s="217"/>
      <c r="CR141" s="217"/>
      <c r="CS141" s="217"/>
      <c r="CT141" s="217"/>
      <c r="CU141" s="217"/>
      <c r="CV141" s="217"/>
      <c r="CW141" s="217"/>
      <c r="CX141" s="217"/>
      <c r="CY141" s="217"/>
      <c r="CZ141" s="217"/>
      <c r="DA141" s="217"/>
      <c r="DB141" s="217"/>
      <c r="DC141" s="217"/>
      <c r="DD141" s="217"/>
      <c r="DE141" s="217"/>
      <c r="DF141" s="217"/>
      <c r="DG141" s="217"/>
      <c r="DH141" s="217"/>
      <c r="DI141" s="217"/>
      <c r="DJ141" s="217"/>
      <c r="DK141" s="217"/>
      <c r="DL141" s="217"/>
      <c r="DM141" s="217"/>
      <c r="DN141" s="217"/>
      <c r="DO141" s="217"/>
      <c r="DP141" s="217"/>
      <c r="DQ141" s="217"/>
      <c r="DR141" s="217"/>
      <c r="DS141" s="217"/>
      <c r="DT141" s="217"/>
      <c r="DU141" s="217"/>
      <c r="DV141" s="217"/>
      <c r="DW141" s="217"/>
      <c r="DX141" s="217"/>
      <c r="DY141" s="217"/>
      <c r="DZ141" s="217"/>
      <c r="EA141" s="217"/>
      <c r="EB141" s="217"/>
      <c r="EC141" s="217"/>
      <c r="ED141" s="217"/>
      <c r="EE141" s="217"/>
      <c r="EF141" s="217"/>
      <c r="EG141" s="217"/>
      <c r="EH141" s="217"/>
      <c r="EI141" s="217"/>
      <c r="EJ141" s="217"/>
      <c r="EK141" s="217"/>
      <c r="EL141" s="217"/>
    </row>
    <row r="142" spans="2:142" s="833" customFormat="1">
      <c r="B142" s="1001"/>
      <c r="C142" s="1001"/>
      <c r="D142" s="1001"/>
      <c r="E142" s="1001"/>
      <c r="F142" s="1001"/>
      <c r="G142" s="1001"/>
      <c r="H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row>
    <row r="143" spans="2:142" s="833" customFormat="1" ht="13.5" thickBot="1">
      <c r="B143" s="1081"/>
      <c r="C143" s="1081"/>
      <c r="D143" s="1081"/>
      <c r="E143" s="1081"/>
      <c r="F143" s="1081"/>
      <c r="G143" s="1081"/>
      <c r="H143" s="526"/>
      <c r="I143" s="914"/>
      <c r="J143" s="526"/>
      <c r="K143" s="526"/>
      <c r="L143" s="526"/>
      <c r="M143" s="526"/>
      <c r="N143" s="526"/>
      <c r="O143" s="526"/>
      <c r="P143" s="526"/>
      <c r="Q143" s="526"/>
      <c r="R143" s="526"/>
      <c r="S143" s="526"/>
      <c r="T143" s="526"/>
      <c r="U143" s="526"/>
      <c r="V143" s="526"/>
      <c r="W143" s="526"/>
      <c r="X143" s="526"/>
      <c r="Y143" s="526"/>
      <c r="Z143" s="526"/>
      <c r="AA143" s="526"/>
      <c r="AB143" s="526"/>
      <c r="AC143" s="526"/>
      <c r="AD143" s="526"/>
      <c r="AE143" s="526"/>
      <c r="AF143" s="526"/>
      <c r="AG143" s="526"/>
      <c r="AH143" s="526"/>
      <c r="AI143" s="526"/>
      <c r="AJ143" s="526"/>
      <c r="AK143" s="526"/>
      <c r="AL143" s="526"/>
      <c r="AM143" s="526"/>
      <c r="AN143" s="526"/>
      <c r="AO143" s="526"/>
      <c r="AP143" s="526"/>
      <c r="AQ143" s="526"/>
      <c r="AR143" s="526"/>
      <c r="AS143" s="526"/>
      <c r="AT143" s="526"/>
      <c r="AU143" s="526"/>
      <c r="AV143" s="526"/>
      <c r="AW143" s="526"/>
      <c r="AX143" s="526"/>
      <c r="AY143" s="526"/>
      <c r="AZ143" s="526"/>
      <c r="BA143" s="526"/>
      <c r="BB143" s="526"/>
      <c r="BC143" s="526"/>
      <c r="BD143" s="526"/>
      <c r="BE143" s="526"/>
      <c r="BF143" s="526"/>
      <c r="BG143" s="526"/>
      <c r="BH143" s="526"/>
      <c r="BI143" s="526"/>
      <c r="BJ143" s="526"/>
      <c r="BK143" s="526"/>
      <c r="BL143" s="526"/>
      <c r="BM143" s="526"/>
      <c r="BN143" s="526"/>
      <c r="BO143" s="526"/>
      <c r="BP143" s="526"/>
      <c r="BQ143" s="526"/>
      <c r="BR143" s="526"/>
      <c r="BS143" s="526"/>
      <c r="BT143" s="526"/>
      <c r="BU143" s="526"/>
      <c r="BV143" s="526"/>
      <c r="BW143" s="526"/>
      <c r="BX143" s="526"/>
      <c r="BY143" s="526"/>
      <c r="BZ143" s="526"/>
      <c r="CA143" s="526"/>
      <c r="CB143" s="526"/>
      <c r="CC143" s="526"/>
      <c r="CD143" s="526"/>
      <c r="CE143" s="526"/>
      <c r="CF143" s="526"/>
      <c r="CG143" s="526"/>
      <c r="CH143" s="526"/>
      <c r="CI143" s="526"/>
      <c r="CJ143" s="526"/>
      <c r="CK143" s="526"/>
      <c r="CL143" s="526"/>
      <c r="CM143" s="526"/>
      <c r="CN143" s="526"/>
      <c r="CO143" s="526"/>
      <c r="CP143" s="526"/>
      <c r="CQ143" s="526"/>
      <c r="CR143" s="526"/>
      <c r="CS143" s="526"/>
      <c r="CT143" s="526"/>
      <c r="CU143" s="526"/>
      <c r="CV143" s="526"/>
      <c r="CW143" s="526"/>
      <c r="CX143" s="526"/>
      <c r="CY143" s="526"/>
      <c r="CZ143" s="526"/>
      <c r="DA143" s="526"/>
      <c r="DB143" s="526"/>
      <c r="DC143" s="526"/>
      <c r="DD143" s="526"/>
      <c r="DE143" s="526"/>
      <c r="DF143" s="526"/>
      <c r="DG143" s="526"/>
      <c r="DH143" s="526"/>
      <c r="DI143" s="526"/>
      <c r="DJ143" s="526"/>
      <c r="DK143" s="526"/>
      <c r="DL143" s="526"/>
      <c r="DM143" s="526"/>
      <c r="DN143" s="526"/>
      <c r="DO143" s="526"/>
      <c r="DP143" s="526"/>
      <c r="DQ143" s="526"/>
      <c r="DR143" s="526"/>
      <c r="DS143" s="526"/>
      <c r="DT143" s="526"/>
      <c r="DU143" s="526"/>
      <c r="DV143" s="526"/>
      <c r="DW143" s="526"/>
      <c r="DX143" s="526"/>
      <c r="DY143" s="526"/>
      <c r="DZ143" s="526"/>
      <c r="EA143" s="526"/>
      <c r="EB143" s="526"/>
      <c r="EC143" s="526"/>
      <c r="ED143" s="526"/>
      <c r="EE143" s="526"/>
      <c r="EF143" s="526"/>
      <c r="EG143" s="526"/>
      <c r="EH143" s="526"/>
      <c r="EI143" s="526"/>
      <c r="EJ143" s="526"/>
      <c r="EK143" s="526"/>
      <c r="EL143" s="526"/>
    </row>
    <row r="144" spans="2:142">
      <c r="B144" s="1082"/>
      <c r="C144" s="1082"/>
      <c r="D144" s="1082"/>
      <c r="E144" s="1082"/>
      <c r="F144" s="1082"/>
      <c r="G144" s="1082"/>
      <c r="H144" s="1082"/>
      <c r="I144" s="833"/>
      <c r="J144" s="1082"/>
      <c r="K144" s="1082"/>
      <c r="L144" s="1082"/>
      <c r="M144" s="1082"/>
      <c r="N144" s="1082"/>
      <c r="O144" s="1082"/>
      <c r="P144" s="1082"/>
      <c r="Q144" s="1082"/>
      <c r="R144" s="1082"/>
      <c r="S144" s="1082"/>
      <c r="T144" s="1082"/>
      <c r="U144" s="1082"/>
      <c r="V144" s="1082"/>
      <c r="W144" s="1082"/>
      <c r="X144" s="1082"/>
      <c r="Y144" s="1082"/>
      <c r="Z144" s="1082"/>
      <c r="AA144" s="1082"/>
      <c r="AB144" s="1082"/>
      <c r="AC144" s="1082"/>
      <c r="AD144" s="1082"/>
      <c r="AE144" s="1082"/>
      <c r="AF144" s="1082"/>
      <c r="AG144" s="1082"/>
      <c r="AH144" s="1082"/>
      <c r="AI144" s="1082"/>
      <c r="AJ144" s="1082"/>
      <c r="AK144" s="1082"/>
      <c r="AL144" s="1082"/>
      <c r="AM144" s="1082"/>
      <c r="AN144" s="1082"/>
      <c r="AO144" s="1082"/>
      <c r="AP144" s="1082"/>
      <c r="AQ144" s="1082"/>
      <c r="AR144" s="1082"/>
      <c r="AS144" s="1082"/>
      <c r="AT144" s="1082"/>
      <c r="AU144" s="1082"/>
      <c r="AV144" s="1082"/>
      <c r="AW144" s="1082"/>
      <c r="AX144" s="1082"/>
      <c r="AY144" s="1082"/>
      <c r="AZ144" s="1082"/>
      <c r="BA144" s="1082"/>
      <c r="BB144" s="1082"/>
      <c r="BC144" s="1082"/>
      <c r="BD144" s="1082"/>
      <c r="BE144" s="1082"/>
      <c r="BF144" s="1082"/>
      <c r="BG144" s="1082"/>
      <c r="BH144" s="1082"/>
      <c r="BI144" s="1082"/>
      <c r="BJ144" s="1082"/>
      <c r="BK144" s="1082"/>
      <c r="BL144" s="1082"/>
      <c r="BM144" s="1082"/>
      <c r="BN144" s="1082"/>
      <c r="BO144" s="1082"/>
      <c r="BP144" s="1082"/>
      <c r="BQ144" s="1082"/>
      <c r="BR144" s="1082"/>
      <c r="BS144" s="1082"/>
      <c r="BT144" s="1082"/>
      <c r="BU144" s="1082"/>
      <c r="BV144" s="1082"/>
      <c r="BW144" s="1082"/>
      <c r="BX144" s="1082"/>
      <c r="BY144" s="1082"/>
      <c r="BZ144" s="1082"/>
      <c r="CA144" s="1082"/>
      <c r="CB144" s="1082"/>
      <c r="CC144" s="1082"/>
      <c r="CD144" s="1082"/>
      <c r="CE144" s="1082"/>
      <c r="CF144" s="1082"/>
      <c r="CG144" s="1082"/>
      <c r="CH144" s="1082"/>
      <c r="CI144" s="1082"/>
      <c r="CJ144" s="1082"/>
      <c r="CK144" s="1082"/>
      <c r="CL144" s="1082"/>
      <c r="CM144" s="1082"/>
      <c r="CN144" s="1082"/>
      <c r="CO144" s="1082"/>
      <c r="CP144" s="1082"/>
      <c r="CQ144" s="1082"/>
      <c r="CR144" s="1082"/>
      <c r="CS144" s="1082"/>
      <c r="CT144" s="1082"/>
      <c r="CU144" s="1082"/>
      <c r="CV144" s="1082"/>
      <c r="CW144" s="1082"/>
      <c r="CX144" s="1082"/>
      <c r="CY144" s="1082"/>
      <c r="CZ144" s="1082"/>
      <c r="DA144" s="1082"/>
      <c r="DB144" s="1082"/>
      <c r="DC144" s="1082"/>
      <c r="DD144" s="1082"/>
      <c r="DE144" s="1082"/>
      <c r="DF144" s="1082"/>
      <c r="DG144" s="1082"/>
      <c r="DH144" s="1082"/>
      <c r="DI144" s="1082"/>
      <c r="DJ144" s="1082"/>
      <c r="DK144" s="1082"/>
      <c r="DL144" s="1082"/>
      <c r="DM144" s="1082"/>
      <c r="DN144" s="1082"/>
      <c r="DO144" s="1082"/>
      <c r="DP144" s="1082"/>
      <c r="DQ144" s="1082"/>
      <c r="DR144" s="1082"/>
      <c r="DS144" s="1082"/>
      <c r="DT144" s="1082"/>
      <c r="DU144" s="1082"/>
      <c r="DV144" s="1082"/>
      <c r="DW144" s="1082"/>
      <c r="DX144" s="1082"/>
      <c r="DY144" s="1082"/>
      <c r="DZ144" s="1082"/>
      <c r="EA144" s="1082"/>
      <c r="EB144" s="1082"/>
      <c r="EC144" s="1082"/>
      <c r="ED144" s="1082"/>
      <c r="EE144" s="1082"/>
      <c r="EF144" s="1082"/>
      <c r="EG144" s="1082"/>
      <c r="EH144" s="1082"/>
      <c r="EI144" s="1082"/>
      <c r="EJ144" s="1082"/>
      <c r="EK144" s="1082"/>
      <c r="EL144" s="1082"/>
    </row>
    <row r="145" spans="2:142" s="833" customFormat="1">
      <c r="B145" s="1083"/>
      <c r="C145" s="1084"/>
      <c r="D145" s="1084"/>
      <c r="E145" s="1084"/>
      <c r="F145" s="1058"/>
      <c r="G145" s="1084"/>
      <c r="H145" s="527"/>
      <c r="J145" s="527"/>
      <c r="K145" s="527"/>
      <c r="L145" s="527"/>
      <c r="M145" s="527"/>
      <c r="N145" s="527"/>
      <c r="O145" s="527"/>
      <c r="P145" s="527"/>
      <c r="Q145" s="527"/>
      <c r="R145" s="527"/>
      <c r="S145" s="527"/>
      <c r="T145" s="527"/>
      <c r="U145" s="527"/>
      <c r="V145" s="527"/>
      <c r="W145" s="527"/>
      <c r="X145" s="527"/>
      <c r="Y145" s="527"/>
      <c r="Z145" s="527"/>
      <c r="AA145" s="527"/>
      <c r="AB145" s="527"/>
      <c r="AC145" s="527"/>
      <c r="AD145" s="527"/>
      <c r="AE145" s="527"/>
      <c r="AF145" s="527"/>
      <c r="AG145" s="527"/>
      <c r="AH145" s="527"/>
      <c r="AI145" s="527"/>
      <c r="AJ145" s="527"/>
      <c r="AK145" s="527"/>
      <c r="AL145" s="527"/>
      <c r="AM145" s="527"/>
      <c r="AN145" s="527"/>
      <c r="AO145" s="527"/>
      <c r="AP145" s="527"/>
      <c r="AQ145" s="527"/>
      <c r="AR145" s="527"/>
      <c r="AS145" s="527"/>
      <c r="AT145" s="527"/>
      <c r="AU145" s="527"/>
      <c r="AV145" s="527"/>
      <c r="AW145" s="527"/>
      <c r="AX145" s="527"/>
      <c r="AY145" s="527"/>
      <c r="AZ145" s="527"/>
      <c r="BA145" s="527"/>
      <c r="BB145" s="527"/>
      <c r="BC145" s="527"/>
      <c r="BD145" s="527"/>
      <c r="BE145" s="527"/>
      <c r="BF145" s="527"/>
      <c r="BG145" s="527"/>
      <c r="BH145" s="527"/>
      <c r="BI145" s="527"/>
      <c r="BJ145" s="527"/>
      <c r="BK145" s="527"/>
      <c r="BL145" s="527"/>
      <c r="BM145" s="527"/>
      <c r="BN145" s="527"/>
      <c r="BO145" s="527"/>
      <c r="BP145" s="527"/>
      <c r="BQ145" s="527"/>
      <c r="BR145" s="527"/>
      <c r="BS145" s="527"/>
      <c r="BT145" s="527"/>
      <c r="BU145" s="527"/>
      <c r="BV145" s="527"/>
      <c r="BW145" s="527"/>
      <c r="BX145" s="527"/>
      <c r="BY145" s="527"/>
      <c r="BZ145" s="527"/>
      <c r="CA145" s="527"/>
      <c r="CB145" s="527"/>
      <c r="CC145" s="527"/>
      <c r="CD145" s="527"/>
      <c r="CE145" s="527"/>
      <c r="CF145" s="527"/>
      <c r="CG145" s="527"/>
      <c r="CH145" s="527"/>
      <c r="CI145" s="527"/>
      <c r="CJ145" s="527"/>
      <c r="CK145" s="527"/>
      <c r="CL145" s="527"/>
      <c r="CM145" s="527"/>
      <c r="CN145" s="527"/>
      <c r="CO145" s="527"/>
      <c r="CP145" s="527"/>
      <c r="CQ145" s="527"/>
      <c r="CR145" s="527"/>
      <c r="CS145" s="527"/>
      <c r="CT145" s="527"/>
      <c r="CU145" s="527"/>
      <c r="CV145" s="527"/>
      <c r="CW145" s="527"/>
      <c r="CX145" s="527"/>
      <c r="CY145" s="527"/>
      <c r="CZ145" s="527"/>
      <c r="DA145" s="527"/>
      <c r="DB145" s="527"/>
      <c r="DC145" s="527"/>
      <c r="DD145" s="527"/>
      <c r="DE145" s="527"/>
      <c r="DF145" s="527"/>
      <c r="DG145" s="527"/>
      <c r="DH145" s="527"/>
      <c r="DI145" s="527"/>
      <c r="DJ145" s="527"/>
      <c r="DK145" s="527"/>
      <c r="DL145" s="527"/>
      <c r="DM145" s="527"/>
      <c r="DN145" s="527"/>
      <c r="DO145" s="527"/>
      <c r="DP145" s="527"/>
      <c r="DQ145" s="527"/>
      <c r="DR145" s="527"/>
      <c r="DS145" s="527"/>
      <c r="DT145" s="527"/>
      <c r="DU145" s="527"/>
      <c r="DV145" s="527"/>
      <c r="DW145" s="527"/>
      <c r="DX145" s="527"/>
      <c r="DY145" s="527"/>
      <c r="DZ145" s="527"/>
      <c r="EA145" s="527"/>
      <c r="EB145" s="527"/>
      <c r="EC145" s="527"/>
      <c r="ED145" s="527"/>
      <c r="EE145" s="527"/>
      <c r="EF145" s="527"/>
      <c r="EG145" s="527"/>
      <c r="EH145" s="527"/>
      <c r="EI145" s="527"/>
      <c r="EJ145" s="527"/>
      <c r="EK145" s="527"/>
      <c r="EL145" s="527"/>
    </row>
    <row r="146" spans="2:142" s="833" customFormat="1" ht="13.5">
      <c r="B146" s="1000"/>
      <c r="C146" s="822" t="s">
        <v>967</v>
      </c>
      <c r="D146" s="1001"/>
      <c r="E146" s="1001"/>
      <c r="F146" s="1008"/>
      <c r="G146" s="917"/>
      <c r="H146" s="848">
        <f>SUM(J146:EL146)</f>
        <v>0</v>
      </c>
      <c r="I146" s="848"/>
      <c r="J146" s="848">
        <f t="shared" ref="J146:BU146" si="84">(SUM(J179,J201,J221)-J156)*(ABS(SUM(J179,J201,J221)-J156)&gt;0.0001)</f>
        <v>0</v>
      </c>
      <c r="K146" s="848">
        <f t="shared" si="84"/>
        <v>0</v>
      </c>
      <c r="L146" s="848">
        <f t="shared" si="84"/>
        <v>0</v>
      </c>
      <c r="M146" s="848">
        <f t="shared" si="84"/>
        <v>0</v>
      </c>
      <c r="N146" s="848">
        <f t="shared" si="84"/>
        <v>0</v>
      </c>
      <c r="O146" s="848">
        <f t="shared" si="84"/>
        <v>0</v>
      </c>
      <c r="P146" s="848">
        <f t="shared" si="84"/>
        <v>0</v>
      </c>
      <c r="Q146" s="848">
        <f t="shared" si="84"/>
        <v>0</v>
      </c>
      <c r="R146" s="848">
        <f t="shared" si="84"/>
        <v>0</v>
      </c>
      <c r="S146" s="848">
        <f t="shared" si="84"/>
        <v>0</v>
      </c>
      <c r="T146" s="848">
        <f t="shared" si="84"/>
        <v>0</v>
      </c>
      <c r="U146" s="848">
        <f t="shared" si="84"/>
        <v>0</v>
      </c>
      <c r="V146" s="848">
        <f t="shared" si="84"/>
        <v>0</v>
      </c>
      <c r="W146" s="848">
        <f t="shared" si="84"/>
        <v>0</v>
      </c>
      <c r="X146" s="848">
        <f t="shared" si="84"/>
        <v>0</v>
      </c>
      <c r="Y146" s="848">
        <f t="shared" si="84"/>
        <v>0</v>
      </c>
      <c r="Z146" s="848">
        <f t="shared" si="84"/>
        <v>0</v>
      </c>
      <c r="AA146" s="848">
        <f t="shared" si="84"/>
        <v>0</v>
      </c>
      <c r="AB146" s="848">
        <f t="shared" si="84"/>
        <v>0</v>
      </c>
      <c r="AC146" s="848">
        <f t="shared" si="84"/>
        <v>0</v>
      </c>
      <c r="AD146" s="848">
        <f t="shared" si="84"/>
        <v>0</v>
      </c>
      <c r="AE146" s="848">
        <f t="shared" si="84"/>
        <v>0</v>
      </c>
      <c r="AF146" s="848">
        <f t="shared" si="84"/>
        <v>0</v>
      </c>
      <c r="AG146" s="848">
        <f t="shared" si="84"/>
        <v>0</v>
      </c>
      <c r="AH146" s="848">
        <f t="shared" si="84"/>
        <v>0</v>
      </c>
      <c r="AI146" s="848">
        <f t="shared" si="84"/>
        <v>0</v>
      </c>
      <c r="AJ146" s="848">
        <f t="shared" si="84"/>
        <v>0</v>
      </c>
      <c r="AK146" s="848">
        <f t="shared" si="84"/>
        <v>0</v>
      </c>
      <c r="AL146" s="848">
        <f t="shared" si="84"/>
        <v>0</v>
      </c>
      <c r="AM146" s="848">
        <f t="shared" si="84"/>
        <v>0</v>
      </c>
      <c r="AN146" s="848">
        <f t="shared" si="84"/>
        <v>0</v>
      </c>
      <c r="AO146" s="848">
        <f t="shared" si="84"/>
        <v>0</v>
      </c>
      <c r="AP146" s="848">
        <f t="shared" si="84"/>
        <v>0</v>
      </c>
      <c r="AQ146" s="848">
        <f t="shared" si="84"/>
        <v>0</v>
      </c>
      <c r="AR146" s="848">
        <f t="shared" si="84"/>
        <v>0</v>
      </c>
      <c r="AS146" s="848">
        <f t="shared" si="84"/>
        <v>0</v>
      </c>
      <c r="AT146" s="848">
        <f t="shared" si="84"/>
        <v>0</v>
      </c>
      <c r="AU146" s="848">
        <f t="shared" si="84"/>
        <v>0</v>
      </c>
      <c r="AV146" s="848">
        <f t="shared" si="84"/>
        <v>0</v>
      </c>
      <c r="AW146" s="848">
        <f t="shared" si="84"/>
        <v>0</v>
      </c>
      <c r="AX146" s="848">
        <f t="shared" si="84"/>
        <v>0</v>
      </c>
      <c r="AY146" s="848">
        <f t="shared" si="84"/>
        <v>0</v>
      </c>
      <c r="AZ146" s="848">
        <f t="shared" si="84"/>
        <v>0</v>
      </c>
      <c r="BA146" s="848">
        <f t="shared" si="84"/>
        <v>0</v>
      </c>
      <c r="BB146" s="848">
        <f t="shared" si="84"/>
        <v>0</v>
      </c>
      <c r="BC146" s="848">
        <f t="shared" si="84"/>
        <v>0</v>
      </c>
      <c r="BD146" s="848">
        <f t="shared" si="84"/>
        <v>0</v>
      </c>
      <c r="BE146" s="848">
        <f t="shared" si="84"/>
        <v>0</v>
      </c>
      <c r="BF146" s="848">
        <f t="shared" si="84"/>
        <v>0</v>
      </c>
      <c r="BG146" s="848">
        <f t="shared" si="84"/>
        <v>0</v>
      </c>
      <c r="BH146" s="848">
        <f t="shared" si="84"/>
        <v>0</v>
      </c>
      <c r="BI146" s="848">
        <f t="shared" si="84"/>
        <v>0</v>
      </c>
      <c r="BJ146" s="848">
        <f t="shared" si="84"/>
        <v>0</v>
      </c>
      <c r="BK146" s="848">
        <f t="shared" si="84"/>
        <v>0</v>
      </c>
      <c r="BL146" s="848">
        <f t="shared" si="84"/>
        <v>0</v>
      </c>
      <c r="BM146" s="848">
        <f t="shared" si="84"/>
        <v>0</v>
      </c>
      <c r="BN146" s="848">
        <f t="shared" si="84"/>
        <v>0</v>
      </c>
      <c r="BO146" s="848">
        <f t="shared" si="84"/>
        <v>0</v>
      </c>
      <c r="BP146" s="848">
        <f t="shared" si="84"/>
        <v>0</v>
      </c>
      <c r="BQ146" s="848">
        <f t="shared" si="84"/>
        <v>0</v>
      </c>
      <c r="BR146" s="848">
        <f t="shared" si="84"/>
        <v>0</v>
      </c>
      <c r="BS146" s="848">
        <f t="shared" si="84"/>
        <v>0</v>
      </c>
      <c r="BT146" s="848">
        <f t="shared" si="84"/>
        <v>0</v>
      </c>
      <c r="BU146" s="848">
        <f t="shared" si="84"/>
        <v>0</v>
      </c>
      <c r="BV146" s="848">
        <f t="shared" ref="BV146:EG146" si="85">(SUM(BV179,BV201,BV221)-BV156)*(ABS(SUM(BV179,BV201,BV221)-BV156)&gt;0.0001)</f>
        <v>0</v>
      </c>
      <c r="BW146" s="848">
        <f t="shared" si="85"/>
        <v>0</v>
      </c>
      <c r="BX146" s="848">
        <f t="shared" si="85"/>
        <v>0</v>
      </c>
      <c r="BY146" s="848">
        <f t="shared" si="85"/>
        <v>0</v>
      </c>
      <c r="BZ146" s="848">
        <f t="shared" si="85"/>
        <v>0</v>
      </c>
      <c r="CA146" s="848">
        <f t="shared" si="85"/>
        <v>0</v>
      </c>
      <c r="CB146" s="848">
        <f t="shared" si="85"/>
        <v>0</v>
      </c>
      <c r="CC146" s="848">
        <f t="shared" si="85"/>
        <v>0</v>
      </c>
      <c r="CD146" s="848">
        <f t="shared" si="85"/>
        <v>0</v>
      </c>
      <c r="CE146" s="848">
        <f t="shared" si="85"/>
        <v>0</v>
      </c>
      <c r="CF146" s="848">
        <f t="shared" si="85"/>
        <v>0</v>
      </c>
      <c r="CG146" s="848">
        <f t="shared" si="85"/>
        <v>0</v>
      </c>
      <c r="CH146" s="848">
        <f t="shared" si="85"/>
        <v>0</v>
      </c>
      <c r="CI146" s="848">
        <f t="shared" si="85"/>
        <v>0</v>
      </c>
      <c r="CJ146" s="848">
        <f t="shared" si="85"/>
        <v>0</v>
      </c>
      <c r="CK146" s="848">
        <f t="shared" si="85"/>
        <v>0</v>
      </c>
      <c r="CL146" s="848">
        <f t="shared" si="85"/>
        <v>0</v>
      </c>
      <c r="CM146" s="848">
        <f t="shared" si="85"/>
        <v>0</v>
      </c>
      <c r="CN146" s="848">
        <f t="shared" si="85"/>
        <v>0</v>
      </c>
      <c r="CO146" s="848">
        <f t="shared" si="85"/>
        <v>0</v>
      </c>
      <c r="CP146" s="848">
        <f t="shared" si="85"/>
        <v>0</v>
      </c>
      <c r="CQ146" s="848">
        <f t="shared" si="85"/>
        <v>0</v>
      </c>
      <c r="CR146" s="848">
        <f t="shared" si="85"/>
        <v>0</v>
      </c>
      <c r="CS146" s="848">
        <f t="shared" si="85"/>
        <v>0</v>
      </c>
      <c r="CT146" s="848">
        <f t="shared" si="85"/>
        <v>0</v>
      </c>
      <c r="CU146" s="848">
        <f t="shared" si="85"/>
        <v>0</v>
      </c>
      <c r="CV146" s="848">
        <f t="shared" si="85"/>
        <v>0</v>
      </c>
      <c r="CW146" s="848">
        <f t="shared" si="85"/>
        <v>0</v>
      </c>
      <c r="CX146" s="848">
        <f t="shared" si="85"/>
        <v>0</v>
      </c>
      <c r="CY146" s="848">
        <f t="shared" si="85"/>
        <v>0</v>
      </c>
      <c r="CZ146" s="848">
        <f t="shared" si="85"/>
        <v>0</v>
      </c>
      <c r="DA146" s="848">
        <f t="shared" si="85"/>
        <v>0</v>
      </c>
      <c r="DB146" s="848">
        <f t="shared" si="85"/>
        <v>0</v>
      </c>
      <c r="DC146" s="848">
        <f t="shared" si="85"/>
        <v>0</v>
      </c>
      <c r="DD146" s="848">
        <f t="shared" si="85"/>
        <v>0</v>
      </c>
      <c r="DE146" s="848">
        <f t="shared" si="85"/>
        <v>0</v>
      </c>
      <c r="DF146" s="848">
        <f t="shared" si="85"/>
        <v>0</v>
      </c>
      <c r="DG146" s="848">
        <f t="shared" si="85"/>
        <v>0</v>
      </c>
      <c r="DH146" s="848">
        <f t="shared" si="85"/>
        <v>0</v>
      </c>
      <c r="DI146" s="848">
        <f t="shared" si="85"/>
        <v>0</v>
      </c>
      <c r="DJ146" s="848">
        <f t="shared" si="85"/>
        <v>0</v>
      </c>
      <c r="DK146" s="848">
        <f t="shared" si="85"/>
        <v>0</v>
      </c>
      <c r="DL146" s="848">
        <f t="shared" si="85"/>
        <v>0</v>
      </c>
      <c r="DM146" s="848">
        <f t="shared" si="85"/>
        <v>0</v>
      </c>
      <c r="DN146" s="848">
        <f t="shared" si="85"/>
        <v>0</v>
      </c>
      <c r="DO146" s="848">
        <f t="shared" si="85"/>
        <v>0</v>
      </c>
      <c r="DP146" s="848">
        <f t="shared" si="85"/>
        <v>0</v>
      </c>
      <c r="DQ146" s="848">
        <f t="shared" si="85"/>
        <v>0</v>
      </c>
      <c r="DR146" s="848">
        <f t="shared" si="85"/>
        <v>0</v>
      </c>
      <c r="DS146" s="848">
        <f t="shared" si="85"/>
        <v>0</v>
      </c>
      <c r="DT146" s="848">
        <f t="shared" si="85"/>
        <v>0</v>
      </c>
      <c r="DU146" s="848">
        <f t="shared" si="85"/>
        <v>0</v>
      </c>
      <c r="DV146" s="848">
        <f t="shared" si="85"/>
        <v>0</v>
      </c>
      <c r="DW146" s="848">
        <f t="shared" si="85"/>
        <v>0</v>
      </c>
      <c r="DX146" s="848">
        <f t="shared" si="85"/>
        <v>0</v>
      </c>
      <c r="DY146" s="848">
        <f t="shared" si="85"/>
        <v>0</v>
      </c>
      <c r="DZ146" s="848">
        <f t="shared" si="85"/>
        <v>0</v>
      </c>
      <c r="EA146" s="848">
        <f t="shared" si="85"/>
        <v>0</v>
      </c>
      <c r="EB146" s="848">
        <f t="shared" si="85"/>
        <v>0</v>
      </c>
      <c r="EC146" s="848">
        <f t="shared" si="85"/>
        <v>0</v>
      </c>
      <c r="ED146" s="848">
        <f t="shared" si="85"/>
        <v>0</v>
      </c>
      <c r="EE146" s="848">
        <f t="shared" si="85"/>
        <v>0</v>
      </c>
      <c r="EF146" s="848">
        <f t="shared" si="85"/>
        <v>0</v>
      </c>
      <c r="EG146" s="848">
        <f t="shared" si="85"/>
        <v>0</v>
      </c>
      <c r="EH146" s="848">
        <f t="shared" ref="EH146:EL146" si="86">(SUM(EH179,EH201,EH221)-EH156)*(ABS(SUM(EH179,EH201,EH221)-EH156)&gt;0.0001)</f>
        <v>0</v>
      </c>
      <c r="EI146" s="848">
        <f t="shared" si="86"/>
        <v>0</v>
      </c>
      <c r="EJ146" s="848">
        <f t="shared" si="86"/>
        <v>0</v>
      </c>
      <c r="EK146" s="848">
        <f t="shared" si="86"/>
        <v>0</v>
      </c>
      <c r="EL146" s="848">
        <f t="shared" si="86"/>
        <v>0</v>
      </c>
    </row>
    <row r="147" spans="2:142" s="833" customFormat="1">
      <c r="B147" s="1000"/>
      <c r="C147" s="1001"/>
      <c r="D147" s="1001"/>
      <c r="E147" s="1001"/>
      <c r="F147" s="1008"/>
      <c r="G147" s="1001"/>
      <c r="H147" s="848"/>
      <c r="I147" s="848"/>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48"/>
      <c r="AG147" s="848"/>
      <c r="AH147" s="848"/>
      <c r="AI147" s="848"/>
      <c r="AJ147" s="848"/>
      <c r="AK147" s="848"/>
      <c r="AL147" s="848"/>
      <c r="AM147" s="848"/>
      <c r="AN147" s="848"/>
      <c r="AO147" s="848"/>
      <c r="AP147" s="848"/>
      <c r="AQ147" s="848"/>
      <c r="AR147" s="848"/>
      <c r="AS147" s="848"/>
      <c r="AT147" s="848"/>
      <c r="AU147" s="848"/>
      <c r="AV147" s="848"/>
      <c r="AW147" s="848"/>
      <c r="AX147" s="848"/>
      <c r="AY147" s="848"/>
      <c r="AZ147" s="848"/>
      <c r="BA147" s="848"/>
      <c r="BB147" s="848"/>
      <c r="BC147" s="848"/>
      <c r="BD147" s="848"/>
      <c r="BE147" s="848"/>
      <c r="BF147" s="848"/>
      <c r="BG147" s="848"/>
      <c r="BH147" s="848"/>
      <c r="BI147" s="848"/>
      <c r="BJ147" s="848"/>
      <c r="BK147" s="848"/>
      <c r="BL147" s="848"/>
      <c r="BM147" s="848"/>
      <c r="BN147" s="848"/>
      <c r="BO147" s="848"/>
      <c r="BP147" s="848"/>
      <c r="BQ147" s="848"/>
      <c r="BR147" s="848"/>
      <c r="BS147" s="848"/>
      <c r="BT147" s="848"/>
      <c r="BU147" s="848"/>
      <c r="BV147" s="848"/>
      <c r="BW147" s="848"/>
      <c r="BX147" s="848"/>
      <c r="BY147" s="848"/>
      <c r="BZ147" s="848"/>
      <c r="CA147" s="848"/>
      <c r="CB147" s="848"/>
      <c r="CC147" s="848"/>
      <c r="CD147" s="848"/>
      <c r="CE147" s="848"/>
      <c r="CF147" s="848"/>
      <c r="CG147" s="848"/>
      <c r="CH147" s="848"/>
      <c r="CI147" s="848"/>
      <c r="CJ147" s="848"/>
      <c r="CK147" s="848"/>
      <c r="CL147" s="848"/>
      <c r="CM147" s="848"/>
      <c r="CN147" s="848"/>
      <c r="CO147" s="848"/>
      <c r="CP147" s="848"/>
      <c r="CQ147" s="848"/>
      <c r="CR147" s="848"/>
      <c r="CS147" s="848"/>
      <c r="CT147" s="848"/>
      <c r="CU147" s="848"/>
      <c r="CV147" s="848"/>
      <c r="CW147" s="848"/>
      <c r="CX147" s="848"/>
      <c r="CY147" s="848"/>
      <c r="CZ147" s="848"/>
      <c r="DA147" s="848"/>
      <c r="DB147" s="848"/>
      <c r="DC147" s="848"/>
      <c r="DD147" s="848"/>
      <c r="DE147" s="848"/>
      <c r="DF147" s="848"/>
      <c r="DG147" s="848"/>
      <c r="DH147" s="848"/>
      <c r="DI147" s="848"/>
      <c r="DJ147" s="848"/>
      <c r="DK147" s="848"/>
      <c r="DL147" s="848"/>
      <c r="DM147" s="848"/>
      <c r="DN147" s="848"/>
      <c r="DO147" s="848"/>
      <c r="DP147" s="848"/>
      <c r="DQ147" s="848"/>
      <c r="DR147" s="848"/>
      <c r="DS147" s="848"/>
      <c r="DT147" s="848"/>
      <c r="DU147" s="848"/>
      <c r="DV147" s="848"/>
      <c r="DW147" s="848"/>
      <c r="DX147" s="848"/>
      <c r="DY147" s="848"/>
      <c r="DZ147" s="848"/>
      <c r="EA147" s="848"/>
      <c r="EB147" s="848"/>
      <c r="EC147" s="848"/>
      <c r="ED147" s="848"/>
      <c r="EE147" s="848"/>
      <c r="EF147" s="848"/>
      <c r="EG147" s="848"/>
      <c r="EH147" s="848"/>
      <c r="EI147" s="848"/>
      <c r="EJ147" s="848"/>
      <c r="EK147" s="848"/>
      <c r="EL147" s="848"/>
    </row>
    <row r="148" spans="2:142" s="833" customFormat="1" ht="13.5">
      <c r="B148" s="1000"/>
      <c r="D148" s="881" t="s">
        <v>968</v>
      </c>
      <c r="E148" s="1001"/>
      <c r="F148" s="1008"/>
      <c r="G148" s="917">
        <v>-272491.66666666669</v>
      </c>
      <c r="H148" s="848">
        <f t="shared" ref="H148:H156" si="87">SUM(J148:EL148)</f>
        <v>-277800</v>
      </c>
      <c r="J148" s="1858">
        <f>SUM(J171,J193,J215)</f>
        <v>-191800</v>
      </c>
      <c r="K148" s="1858">
        <f t="shared" ref="K148:BV149" si="88">SUM(K171,K193,K215)</f>
        <v>0</v>
      </c>
      <c r="L148" s="1858">
        <f t="shared" si="88"/>
        <v>0</v>
      </c>
      <c r="M148" s="1858">
        <f t="shared" si="88"/>
        <v>0</v>
      </c>
      <c r="N148" s="1858">
        <f t="shared" si="88"/>
        <v>0</v>
      </c>
      <c r="O148" s="1858">
        <f t="shared" si="88"/>
        <v>0</v>
      </c>
      <c r="P148" s="1858">
        <f t="shared" si="88"/>
        <v>0</v>
      </c>
      <c r="Q148" s="1858">
        <f t="shared" si="88"/>
        <v>-86000</v>
      </c>
      <c r="R148" s="1858">
        <f t="shared" si="88"/>
        <v>0</v>
      </c>
      <c r="S148" s="1858">
        <f t="shared" si="88"/>
        <v>0</v>
      </c>
      <c r="T148" s="1858">
        <f t="shared" si="88"/>
        <v>0</v>
      </c>
      <c r="U148" s="1858">
        <f t="shared" si="88"/>
        <v>0</v>
      </c>
      <c r="V148" s="1858">
        <f t="shared" si="88"/>
        <v>0</v>
      </c>
      <c r="W148" s="1858">
        <f t="shared" si="88"/>
        <v>0</v>
      </c>
      <c r="X148" s="1858">
        <f t="shared" si="88"/>
        <v>0</v>
      </c>
      <c r="Y148" s="1858">
        <f t="shared" si="88"/>
        <v>0</v>
      </c>
      <c r="Z148" s="1858">
        <f t="shared" si="88"/>
        <v>0</v>
      </c>
      <c r="AA148" s="1858">
        <f t="shared" si="88"/>
        <v>0</v>
      </c>
      <c r="AB148" s="1858">
        <f t="shared" si="88"/>
        <v>0</v>
      </c>
      <c r="AC148" s="1858">
        <f t="shared" si="88"/>
        <v>0</v>
      </c>
      <c r="AD148" s="1858">
        <f t="shared" si="88"/>
        <v>0</v>
      </c>
      <c r="AE148" s="1858">
        <f t="shared" si="88"/>
        <v>0</v>
      </c>
      <c r="AF148" s="1858">
        <f t="shared" si="88"/>
        <v>0</v>
      </c>
      <c r="AG148" s="1858">
        <f t="shared" si="88"/>
        <v>0</v>
      </c>
      <c r="AH148" s="1858">
        <f t="shared" si="88"/>
        <v>0</v>
      </c>
      <c r="AI148" s="1858">
        <f t="shared" si="88"/>
        <v>0</v>
      </c>
      <c r="AJ148" s="1858">
        <f t="shared" si="88"/>
        <v>0</v>
      </c>
      <c r="AK148" s="1858">
        <f t="shared" si="88"/>
        <v>0</v>
      </c>
      <c r="AL148" s="1858">
        <f t="shared" si="88"/>
        <v>0</v>
      </c>
      <c r="AM148" s="1858">
        <f t="shared" si="88"/>
        <v>0</v>
      </c>
      <c r="AN148" s="1858">
        <f t="shared" si="88"/>
        <v>0</v>
      </c>
      <c r="AO148" s="1858">
        <f t="shared" si="88"/>
        <v>0</v>
      </c>
      <c r="AP148" s="1858">
        <f t="shared" si="88"/>
        <v>0</v>
      </c>
      <c r="AQ148" s="1858">
        <f t="shared" si="88"/>
        <v>0</v>
      </c>
      <c r="AR148" s="1858">
        <f t="shared" si="88"/>
        <v>0</v>
      </c>
      <c r="AS148" s="1858">
        <f t="shared" si="88"/>
        <v>0</v>
      </c>
      <c r="AT148" s="1858">
        <f t="shared" si="88"/>
        <v>0</v>
      </c>
      <c r="AU148" s="1858">
        <f t="shared" si="88"/>
        <v>0</v>
      </c>
      <c r="AV148" s="1858">
        <f t="shared" si="88"/>
        <v>0</v>
      </c>
      <c r="AW148" s="1858">
        <f t="shared" si="88"/>
        <v>0</v>
      </c>
      <c r="AX148" s="1858">
        <f t="shared" si="88"/>
        <v>0</v>
      </c>
      <c r="AY148" s="1858">
        <f t="shared" si="88"/>
        <v>0</v>
      </c>
      <c r="AZ148" s="1858">
        <f t="shared" si="88"/>
        <v>0</v>
      </c>
      <c r="BA148" s="1858">
        <f t="shared" si="88"/>
        <v>0</v>
      </c>
      <c r="BB148" s="1858">
        <f t="shared" si="88"/>
        <v>0</v>
      </c>
      <c r="BC148" s="1858">
        <f t="shared" si="88"/>
        <v>0</v>
      </c>
      <c r="BD148" s="1858">
        <f t="shared" si="88"/>
        <v>0</v>
      </c>
      <c r="BE148" s="1858">
        <f t="shared" si="88"/>
        <v>0</v>
      </c>
      <c r="BF148" s="1858">
        <f t="shared" si="88"/>
        <v>0</v>
      </c>
      <c r="BG148" s="1858">
        <f t="shared" si="88"/>
        <v>0</v>
      </c>
      <c r="BH148" s="1858">
        <f t="shared" si="88"/>
        <v>0</v>
      </c>
      <c r="BI148" s="1858">
        <f t="shared" si="88"/>
        <v>0</v>
      </c>
      <c r="BJ148" s="1858">
        <f t="shared" si="88"/>
        <v>0</v>
      </c>
      <c r="BK148" s="1858">
        <f t="shared" si="88"/>
        <v>0</v>
      </c>
      <c r="BL148" s="1858">
        <f t="shared" si="88"/>
        <v>0</v>
      </c>
      <c r="BM148" s="1858">
        <f t="shared" si="88"/>
        <v>0</v>
      </c>
      <c r="BN148" s="1858">
        <f t="shared" si="88"/>
        <v>0</v>
      </c>
      <c r="BO148" s="1858">
        <f t="shared" si="88"/>
        <v>0</v>
      </c>
      <c r="BP148" s="1858">
        <f t="shared" si="88"/>
        <v>0</v>
      </c>
      <c r="BQ148" s="1858">
        <f t="shared" si="88"/>
        <v>0</v>
      </c>
      <c r="BR148" s="1858">
        <f t="shared" si="88"/>
        <v>0</v>
      </c>
      <c r="BS148" s="1858">
        <f t="shared" si="88"/>
        <v>0</v>
      </c>
      <c r="BT148" s="1858">
        <f t="shared" si="88"/>
        <v>0</v>
      </c>
      <c r="BU148" s="1858">
        <f t="shared" si="88"/>
        <v>0</v>
      </c>
      <c r="BV148" s="1858">
        <f t="shared" si="88"/>
        <v>0</v>
      </c>
      <c r="BW148" s="1858">
        <f t="shared" ref="BW148:EH149" si="89">SUM(BW171,BW193,BW215)</f>
        <v>0</v>
      </c>
      <c r="BX148" s="1858">
        <f t="shared" si="89"/>
        <v>0</v>
      </c>
      <c r="BY148" s="1858">
        <f t="shared" si="89"/>
        <v>0</v>
      </c>
      <c r="BZ148" s="1858">
        <f t="shared" si="89"/>
        <v>0</v>
      </c>
      <c r="CA148" s="1858">
        <f t="shared" si="89"/>
        <v>0</v>
      </c>
      <c r="CB148" s="1858">
        <f t="shared" si="89"/>
        <v>0</v>
      </c>
      <c r="CC148" s="1858">
        <f t="shared" si="89"/>
        <v>0</v>
      </c>
      <c r="CD148" s="1858">
        <f t="shared" si="89"/>
        <v>0</v>
      </c>
      <c r="CE148" s="1858">
        <f t="shared" si="89"/>
        <v>0</v>
      </c>
      <c r="CF148" s="1858">
        <f t="shared" si="89"/>
        <v>0</v>
      </c>
      <c r="CG148" s="1858">
        <f t="shared" si="89"/>
        <v>0</v>
      </c>
      <c r="CH148" s="1858">
        <f t="shared" si="89"/>
        <v>0</v>
      </c>
      <c r="CI148" s="1858">
        <f t="shared" si="89"/>
        <v>0</v>
      </c>
      <c r="CJ148" s="1858">
        <f t="shared" si="89"/>
        <v>0</v>
      </c>
      <c r="CK148" s="1858">
        <f t="shared" si="89"/>
        <v>0</v>
      </c>
      <c r="CL148" s="1858">
        <f t="shared" si="89"/>
        <v>0</v>
      </c>
      <c r="CM148" s="1858">
        <f t="shared" si="89"/>
        <v>0</v>
      </c>
      <c r="CN148" s="1858">
        <f t="shared" si="89"/>
        <v>0</v>
      </c>
      <c r="CO148" s="1858">
        <f t="shared" si="89"/>
        <v>0</v>
      </c>
      <c r="CP148" s="1858">
        <f t="shared" si="89"/>
        <v>0</v>
      </c>
      <c r="CQ148" s="1858">
        <f t="shared" si="89"/>
        <v>0</v>
      </c>
      <c r="CR148" s="1858">
        <f t="shared" si="89"/>
        <v>0</v>
      </c>
      <c r="CS148" s="1858">
        <f t="shared" si="89"/>
        <v>0</v>
      </c>
      <c r="CT148" s="1858">
        <f t="shared" si="89"/>
        <v>0</v>
      </c>
      <c r="CU148" s="1858">
        <f t="shared" si="89"/>
        <v>0</v>
      </c>
      <c r="CV148" s="1858">
        <f t="shared" si="89"/>
        <v>0</v>
      </c>
      <c r="CW148" s="1858">
        <f t="shared" si="89"/>
        <v>0</v>
      </c>
      <c r="CX148" s="1858">
        <f t="shared" si="89"/>
        <v>0</v>
      </c>
      <c r="CY148" s="1858">
        <f t="shared" si="89"/>
        <v>0</v>
      </c>
      <c r="CZ148" s="1858">
        <f t="shared" si="89"/>
        <v>0</v>
      </c>
      <c r="DA148" s="1858">
        <f t="shared" si="89"/>
        <v>0</v>
      </c>
      <c r="DB148" s="1858">
        <f t="shared" si="89"/>
        <v>0</v>
      </c>
      <c r="DC148" s="1858">
        <f t="shared" si="89"/>
        <v>0</v>
      </c>
      <c r="DD148" s="1858">
        <f t="shared" si="89"/>
        <v>0</v>
      </c>
      <c r="DE148" s="1858">
        <f t="shared" si="89"/>
        <v>0</v>
      </c>
      <c r="DF148" s="1858">
        <f t="shared" si="89"/>
        <v>0</v>
      </c>
      <c r="DG148" s="1858">
        <f t="shared" si="89"/>
        <v>0</v>
      </c>
      <c r="DH148" s="1858">
        <f t="shared" si="89"/>
        <v>0</v>
      </c>
      <c r="DI148" s="1858">
        <f t="shared" si="89"/>
        <v>0</v>
      </c>
      <c r="DJ148" s="1858">
        <f t="shared" si="89"/>
        <v>0</v>
      </c>
      <c r="DK148" s="1858">
        <f t="shared" si="89"/>
        <v>0</v>
      </c>
      <c r="DL148" s="1858">
        <f t="shared" si="89"/>
        <v>0</v>
      </c>
      <c r="DM148" s="1858">
        <f t="shared" si="89"/>
        <v>0</v>
      </c>
      <c r="DN148" s="1858">
        <f t="shared" si="89"/>
        <v>0</v>
      </c>
      <c r="DO148" s="1858">
        <f t="shared" si="89"/>
        <v>0</v>
      </c>
      <c r="DP148" s="1858">
        <f t="shared" si="89"/>
        <v>0</v>
      </c>
      <c r="DQ148" s="1858">
        <f t="shared" si="89"/>
        <v>0</v>
      </c>
      <c r="DR148" s="1858">
        <f t="shared" si="89"/>
        <v>0</v>
      </c>
      <c r="DS148" s="1858">
        <f t="shared" si="89"/>
        <v>0</v>
      </c>
      <c r="DT148" s="1858">
        <f t="shared" si="89"/>
        <v>0</v>
      </c>
      <c r="DU148" s="1858">
        <f t="shared" si="89"/>
        <v>0</v>
      </c>
      <c r="DV148" s="1858">
        <f t="shared" si="89"/>
        <v>0</v>
      </c>
      <c r="DW148" s="1858">
        <f t="shared" si="89"/>
        <v>0</v>
      </c>
      <c r="DX148" s="1858">
        <f t="shared" si="89"/>
        <v>0</v>
      </c>
      <c r="DY148" s="1858">
        <f t="shared" si="89"/>
        <v>0</v>
      </c>
      <c r="DZ148" s="1858">
        <f t="shared" si="89"/>
        <v>0</v>
      </c>
      <c r="EA148" s="1858">
        <f t="shared" si="89"/>
        <v>0</v>
      </c>
      <c r="EB148" s="1858">
        <f t="shared" si="89"/>
        <v>0</v>
      </c>
      <c r="EC148" s="1858">
        <f t="shared" si="89"/>
        <v>0</v>
      </c>
      <c r="ED148" s="1858">
        <f t="shared" si="89"/>
        <v>0</v>
      </c>
      <c r="EE148" s="1858">
        <f t="shared" si="89"/>
        <v>0</v>
      </c>
      <c r="EF148" s="1858">
        <f t="shared" si="89"/>
        <v>0</v>
      </c>
      <c r="EG148" s="1858">
        <f t="shared" si="89"/>
        <v>0</v>
      </c>
      <c r="EH148" s="1858">
        <f t="shared" si="89"/>
        <v>0</v>
      </c>
      <c r="EI148" s="1858">
        <f t="shared" ref="EI148:EL149" si="90">SUM(EI171,EI193,EI215)</f>
        <v>0</v>
      </c>
      <c r="EJ148" s="1858">
        <f t="shared" si="90"/>
        <v>0</v>
      </c>
      <c r="EK148" s="1858">
        <f t="shared" si="90"/>
        <v>0</v>
      </c>
      <c r="EL148" s="1858">
        <f t="shared" si="90"/>
        <v>0</v>
      </c>
    </row>
    <row r="149" spans="2:142" s="833" customFormat="1" ht="13.5">
      <c r="B149" s="1000"/>
      <c r="D149" s="2344" t="s">
        <v>2078</v>
      </c>
      <c r="E149" s="1001"/>
      <c r="F149" s="1008"/>
      <c r="G149" s="1001"/>
      <c r="H149" s="848">
        <f t="shared" si="87"/>
        <v>31798.927429000003</v>
      </c>
      <c r="I149" s="848"/>
      <c r="J149" s="901">
        <f>SUM(J172,J194,J216)</f>
        <v>0</v>
      </c>
      <c r="K149" s="901">
        <f t="shared" si="88"/>
        <v>0</v>
      </c>
      <c r="L149" s="901">
        <f t="shared" si="88"/>
        <v>0</v>
      </c>
      <c r="M149" s="901">
        <f t="shared" si="88"/>
        <v>0</v>
      </c>
      <c r="N149" s="901">
        <f t="shared" si="88"/>
        <v>0</v>
      </c>
      <c r="O149" s="901">
        <f t="shared" si="88"/>
        <v>0</v>
      </c>
      <c r="P149" s="901">
        <f t="shared" si="88"/>
        <v>0</v>
      </c>
      <c r="Q149" s="901">
        <f t="shared" si="88"/>
        <v>3302.6805479999998</v>
      </c>
      <c r="R149" s="901">
        <f t="shared" si="88"/>
        <v>0</v>
      </c>
      <c r="S149" s="901">
        <f t="shared" si="88"/>
        <v>0</v>
      </c>
      <c r="T149" s="901">
        <f t="shared" si="88"/>
        <v>0</v>
      </c>
      <c r="U149" s="901">
        <f t="shared" si="88"/>
        <v>0</v>
      </c>
      <c r="V149" s="901">
        <f t="shared" si="88"/>
        <v>0</v>
      </c>
      <c r="W149" s="901">
        <f t="shared" si="88"/>
        <v>6219.1806189999998</v>
      </c>
      <c r="X149" s="901">
        <f t="shared" si="88"/>
        <v>0</v>
      </c>
      <c r="Y149" s="901">
        <f t="shared" si="88"/>
        <v>0</v>
      </c>
      <c r="Z149" s="901">
        <f t="shared" si="88"/>
        <v>0</v>
      </c>
      <c r="AA149" s="901">
        <f t="shared" si="88"/>
        <v>0</v>
      </c>
      <c r="AB149" s="901">
        <f t="shared" si="88"/>
        <v>0</v>
      </c>
      <c r="AC149" s="901">
        <f t="shared" si="88"/>
        <v>7466.2662870000004</v>
      </c>
      <c r="AD149" s="901">
        <f t="shared" si="88"/>
        <v>0</v>
      </c>
      <c r="AE149" s="901">
        <f t="shared" si="88"/>
        <v>0</v>
      </c>
      <c r="AF149" s="901">
        <f t="shared" si="88"/>
        <v>0</v>
      </c>
      <c r="AG149" s="901">
        <f t="shared" si="88"/>
        <v>0</v>
      </c>
      <c r="AH149" s="901">
        <f t="shared" si="88"/>
        <v>0</v>
      </c>
      <c r="AI149" s="901">
        <f t="shared" si="88"/>
        <v>7344.5336880000004</v>
      </c>
      <c r="AJ149" s="901">
        <f t="shared" si="88"/>
        <v>0</v>
      </c>
      <c r="AK149" s="901">
        <f t="shared" si="88"/>
        <v>0</v>
      </c>
      <c r="AL149" s="901">
        <f t="shared" si="88"/>
        <v>0</v>
      </c>
      <c r="AM149" s="901">
        <f t="shared" si="88"/>
        <v>0</v>
      </c>
      <c r="AN149" s="901">
        <f t="shared" si="88"/>
        <v>0</v>
      </c>
      <c r="AO149" s="901">
        <f t="shared" si="88"/>
        <v>7466.2662870000004</v>
      </c>
      <c r="AP149" s="901">
        <f t="shared" si="88"/>
        <v>0</v>
      </c>
      <c r="AQ149" s="901">
        <f t="shared" si="88"/>
        <v>0</v>
      </c>
      <c r="AR149" s="901">
        <f t="shared" si="88"/>
        <v>0</v>
      </c>
      <c r="AS149" s="901">
        <f t="shared" si="88"/>
        <v>0</v>
      </c>
      <c r="AT149" s="901">
        <f t="shared" si="88"/>
        <v>0</v>
      </c>
      <c r="AU149" s="901">
        <f t="shared" si="88"/>
        <v>0</v>
      </c>
      <c r="AV149" s="901">
        <f t="shared" si="88"/>
        <v>0</v>
      </c>
      <c r="AW149" s="901">
        <f t="shared" si="88"/>
        <v>0</v>
      </c>
      <c r="AX149" s="901">
        <f t="shared" si="88"/>
        <v>0</v>
      </c>
      <c r="AY149" s="901">
        <f t="shared" si="88"/>
        <v>0</v>
      </c>
      <c r="AZ149" s="901">
        <f t="shared" si="88"/>
        <v>0</v>
      </c>
      <c r="BA149" s="901">
        <f t="shared" si="88"/>
        <v>0</v>
      </c>
      <c r="BB149" s="901">
        <f t="shared" si="88"/>
        <v>0</v>
      </c>
      <c r="BC149" s="901">
        <f t="shared" si="88"/>
        <v>0</v>
      </c>
      <c r="BD149" s="901">
        <f t="shared" si="88"/>
        <v>0</v>
      </c>
      <c r="BE149" s="901">
        <f t="shared" si="88"/>
        <v>0</v>
      </c>
      <c r="BF149" s="901">
        <f t="shared" si="88"/>
        <v>0</v>
      </c>
      <c r="BG149" s="901">
        <f t="shared" si="88"/>
        <v>0</v>
      </c>
      <c r="BH149" s="901">
        <f t="shared" si="88"/>
        <v>0</v>
      </c>
      <c r="BI149" s="901">
        <f t="shared" si="88"/>
        <v>0</v>
      </c>
      <c r="BJ149" s="901">
        <f t="shared" si="88"/>
        <v>0</v>
      </c>
      <c r="BK149" s="901">
        <f t="shared" si="88"/>
        <v>0</v>
      </c>
      <c r="BL149" s="901">
        <f t="shared" si="88"/>
        <v>0</v>
      </c>
      <c r="BM149" s="901">
        <f t="shared" si="88"/>
        <v>0</v>
      </c>
      <c r="BN149" s="901">
        <f t="shared" si="88"/>
        <v>0</v>
      </c>
      <c r="BO149" s="901">
        <f t="shared" si="88"/>
        <v>0</v>
      </c>
      <c r="BP149" s="901">
        <f t="shared" si="88"/>
        <v>0</v>
      </c>
      <c r="BQ149" s="901">
        <f t="shared" si="88"/>
        <v>0</v>
      </c>
      <c r="BR149" s="901">
        <f t="shared" si="88"/>
        <v>0</v>
      </c>
      <c r="BS149" s="901">
        <f t="shared" si="88"/>
        <v>0</v>
      </c>
      <c r="BT149" s="901">
        <f t="shared" si="88"/>
        <v>0</v>
      </c>
      <c r="BU149" s="901">
        <f t="shared" si="88"/>
        <v>0</v>
      </c>
      <c r="BV149" s="901">
        <f t="shared" si="88"/>
        <v>0</v>
      </c>
      <c r="BW149" s="901">
        <f t="shared" si="89"/>
        <v>0</v>
      </c>
      <c r="BX149" s="901">
        <f t="shared" si="89"/>
        <v>0</v>
      </c>
      <c r="BY149" s="901">
        <f t="shared" si="89"/>
        <v>0</v>
      </c>
      <c r="BZ149" s="901">
        <f t="shared" si="89"/>
        <v>0</v>
      </c>
      <c r="CA149" s="901">
        <f t="shared" si="89"/>
        <v>0</v>
      </c>
      <c r="CB149" s="901">
        <f t="shared" si="89"/>
        <v>0</v>
      </c>
      <c r="CC149" s="901">
        <f t="shared" si="89"/>
        <v>0</v>
      </c>
      <c r="CD149" s="901">
        <f t="shared" si="89"/>
        <v>0</v>
      </c>
      <c r="CE149" s="901">
        <f t="shared" si="89"/>
        <v>0</v>
      </c>
      <c r="CF149" s="901">
        <f t="shared" si="89"/>
        <v>0</v>
      </c>
      <c r="CG149" s="901">
        <f t="shared" si="89"/>
        <v>0</v>
      </c>
      <c r="CH149" s="901">
        <f t="shared" si="89"/>
        <v>0</v>
      </c>
      <c r="CI149" s="901">
        <f t="shared" si="89"/>
        <v>0</v>
      </c>
      <c r="CJ149" s="901">
        <f t="shared" si="89"/>
        <v>0</v>
      </c>
      <c r="CK149" s="901">
        <f t="shared" si="89"/>
        <v>0</v>
      </c>
      <c r="CL149" s="901">
        <f t="shared" si="89"/>
        <v>0</v>
      </c>
      <c r="CM149" s="901">
        <f t="shared" si="89"/>
        <v>0</v>
      </c>
      <c r="CN149" s="901">
        <f t="shared" si="89"/>
        <v>0</v>
      </c>
      <c r="CO149" s="901">
        <f t="shared" si="89"/>
        <v>0</v>
      </c>
      <c r="CP149" s="901">
        <f t="shared" si="89"/>
        <v>0</v>
      </c>
      <c r="CQ149" s="901">
        <f t="shared" si="89"/>
        <v>0</v>
      </c>
      <c r="CR149" s="901">
        <f t="shared" si="89"/>
        <v>0</v>
      </c>
      <c r="CS149" s="901">
        <f t="shared" si="89"/>
        <v>0</v>
      </c>
      <c r="CT149" s="901">
        <f t="shared" si="89"/>
        <v>0</v>
      </c>
      <c r="CU149" s="901">
        <f t="shared" si="89"/>
        <v>0</v>
      </c>
      <c r="CV149" s="901">
        <f t="shared" si="89"/>
        <v>0</v>
      </c>
      <c r="CW149" s="901">
        <f t="shared" si="89"/>
        <v>0</v>
      </c>
      <c r="CX149" s="901">
        <f t="shared" si="89"/>
        <v>0</v>
      </c>
      <c r="CY149" s="901">
        <f t="shared" si="89"/>
        <v>0</v>
      </c>
      <c r="CZ149" s="901">
        <f t="shared" si="89"/>
        <v>0</v>
      </c>
      <c r="DA149" s="901">
        <f t="shared" si="89"/>
        <v>0</v>
      </c>
      <c r="DB149" s="901">
        <f t="shared" si="89"/>
        <v>0</v>
      </c>
      <c r="DC149" s="901">
        <f t="shared" si="89"/>
        <v>0</v>
      </c>
      <c r="DD149" s="901">
        <f t="shared" si="89"/>
        <v>0</v>
      </c>
      <c r="DE149" s="901">
        <f t="shared" si="89"/>
        <v>0</v>
      </c>
      <c r="DF149" s="901">
        <f t="shared" si="89"/>
        <v>0</v>
      </c>
      <c r="DG149" s="901">
        <f t="shared" si="89"/>
        <v>0</v>
      </c>
      <c r="DH149" s="901">
        <f t="shared" si="89"/>
        <v>0</v>
      </c>
      <c r="DI149" s="901">
        <f t="shared" si="89"/>
        <v>0</v>
      </c>
      <c r="DJ149" s="901">
        <f t="shared" si="89"/>
        <v>0</v>
      </c>
      <c r="DK149" s="901">
        <f t="shared" si="89"/>
        <v>0</v>
      </c>
      <c r="DL149" s="901">
        <f t="shared" si="89"/>
        <v>0</v>
      </c>
      <c r="DM149" s="901">
        <f t="shared" si="89"/>
        <v>0</v>
      </c>
      <c r="DN149" s="901">
        <f t="shared" si="89"/>
        <v>0</v>
      </c>
      <c r="DO149" s="901">
        <f t="shared" si="89"/>
        <v>0</v>
      </c>
      <c r="DP149" s="901">
        <f t="shared" si="89"/>
        <v>0</v>
      </c>
      <c r="DQ149" s="901">
        <f t="shared" si="89"/>
        <v>0</v>
      </c>
      <c r="DR149" s="901">
        <f t="shared" si="89"/>
        <v>0</v>
      </c>
      <c r="DS149" s="901">
        <f t="shared" si="89"/>
        <v>0</v>
      </c>
      <c r="DT149" s="901">
        <f t="shared" si="89"/>
        <v>0</v>
      </c>
      <c r="DU149" s="901">
        <f t="shared" si="89"/>
        <v>0</v>
      </c>
      <c r="DV149" s="901">
        <f t="shared" si="89"/>
        <v>0</v>
      </c>
      <c r="DW149" s="901">
        <f t="shared" si="89"/>
        <v>0</v>
      </c>
      <c r="DX149" s="901">
        <f t="shared" si="89"/>
        <v>0</v>
      </c>
      <c r="DY149" s="901">
        <f t="shared" si="89"/>
        <v>0</v>
      </c>
      <c r="DZ149" s="901">
        <f t="shared" si="89"/>
        <v>0</v>
      </c>
      <c r="EA149" s="901">
        <f t="shared" si="89"/>
        <v>0</v>
      </c>
      <c r="EB149" s="901">
        <f t="shared" si="89"/>
        <v>0</v>
      </c>
      <c r="EC149" s="901">
        <f t="shared" si="89"/>
        <v>0</v>
      </c>
      <c r="ED149" s="901">
        <f t="shared" si="89"/>
        <v>0</v>
      </c>
      <c r="EE149" s="901">
        <f t="shared" si="89"/>
        <v>0</v>
      </c>
      <c r="EF149" s="901">
        <f t="shared" si="89"/>
        <v>0</v>
      </c>
      <c r="EG149" s="901">
        <f t="shared" si="89"/>
        <v>0</v>
      </c>
      <c r="EH149" s="901">
        <f t="shared" si="89"/>
        <v>0</v>
      </c>
      <c r="EI149" s="901">
        <f t="shared" si="90"/>
        <v>0</v>
      </c>
      <c r="EJ149" s="901">
        <f t="shared" si="90"/>
        <v>0</v>
      </c>
      <c r="EK149" s="901">
        <f t="shared" si="90"/>
        <v>0</v>
      </c>
      <c r="EL149" s="901">
        <f t="shared" si="90"/>
        <v>0</v>
      </c>
    </row>
    <row r="150" spans="2:142" s="833" customFormat="1" ht="13.5">
      <c r="B150" s="1000"/>
      <c r="D150" s="881" t="str">
        <f t="shared" ref="D150:D155" si="91">C95</f>
        <v>기간배당금의 지급</v>
      </c>
      <c r="E150" s="1001"/>
      <c r="F150" s="1008"/>
      <c r="G150" s="1001"/>
      <c r="H150" s="848">
        <f t="shared" si="87"/>
        <v>558608.53422372055</v>
      </c>
      <c r="J150" s="848">
        <f t="shared" ref="J150:BU153" si="92">J95</f>
        <v>0</v>
      </c>
      <c r="K150" s="848">
        <f t="shared" si="92"/>
        <v>0</v>
      </c>
      <c r="L150" s="848">
        <f t="shared" si="92"/>
        <v>0</v>
      </c>
      <c r="M150" s="848">
        <f t="shared" si="92"/>
        <v>0</v>
      </c>
      <c r="N150" s="848">
        <f t="shared" si="92"/>
        <v>0</v>
      </c>
      <c r="O150" s="848">
        <f t="shared" si="92"/>
        <v>0</v>
      </c>
      <c r="P150" s="848">
        <f t="shared" si="92"/>
        <v>0</v>
      </c>
      <c r="Q150" s="848">
        <f t="shared" si="92"/>
        <v>0</v>
      </c>
      <c r="R150" s="848">
        <f t="shared" si="92"/>
        <v>0</v>
      </c>
      <c r="S150" s="848">
        <f t="shared" si="92"/>
        <v>0</v>
      </c>
      <c r="T150" s="848">
        <f t="shared" si="92"/>
        <v>0</v>
      </c>
      <c r="U150" s="848">
        <f t="shared" si="92"/>
        <v>0</v>
      </c>
      <c r="V150" s="848">
        <f t="shared" si="92"/>
        <v>0</v>
      </c>
      <c r="W150" s="848">
        <f t="shared" si="92"/>
        <v>0</v>
      </c>
      <c r="X150" s="848">
        <f t="shared" si="92"/>
        <v>0</v>
      </c>
      <c r="Y150" s="848">
        <f t="shared" si="92"/>
        <v>0</v>
      </c>
      <c r="Z150" s="848">
        <f t="shared" si="92"/>
        <v>0</v>
      </c>
      <c r="AA150" s="848">
        <f t="shared" si="92"/>
        <v>0</v>
      </c>
      <c r="AB150" s="848">
        <f t="shared" si="92"/>
        <v>0</v>
      </c>
      <c r="AC150" s="848">
        <f t="shared" si="92"/>
        <v>0</v>
      </c>
      <c r="AD150" s="848">
        <f t="shared" si="92"/>
        <v>0</v>
      </c>
      <c r="AE150" s="848">
        <f t="shared" si="92"/>
        <v>0</v>
      </c>
      <c r="AF150" s="848">
        <f t="shared" si="92"/>
        <v>0</v>
      </c>
      <c r="AG150" s="848">
        <f t="shared" si="92"/>
        <v>0</v>
      </c>
      <c r="AH150" s="848">
        <f t="shared" si="92"/>
        <v>0</v>
      </c>
      <c r="AI150" s="848">
        <f t="shared" si="92"/>
        <v>0</v>
      </c>
      <c r="AJ150" s="848">
        <f t="shared" si="92"/>
        <v>0</v>
      </c>
      <c r="AK150" s="848">
        <f t="shared" si="92"/>
        <v>0</v>
      </c>
      <c r="AL150" s="848">
        <f t="shared" si="92"/>
        <v>0</v>
      </c>
      <c r="AM150" s="848">
        <f t="shared" si="92"/>
        <v>0</v>
      </c>
      <c r="AN150" s="848">
        <f t="shared" si="92"/>
        <v>0</v>
      </c>
      <c r="AO150" s="848">
        <f t="shared" si="92"/>
        <v>0</v>
      </c>
      <c r="AP150" s="848">
        <f t="shared" si="92"/>
        <v>0</v>
      </c>
      <c r="AQ150" s="848">
        <f t="shared" si="92"/>
        <v>0</v>
      </c>
      <c r="AR150" s="848">
        <f t="shared" si="92"/>
        <v>0</v>
      </c>
      <c r="AS150" s="848">
        <f t="shared" si="92"/>
        <v>0</v>
      </c>
      <c r="AT150" s="848">
        <f t="shared" si="92"/>
        <v>0</v>
      </c>
      <c r="AU150" s="848">
        <f t="shared" si="92"/>
        <v>4860</v>
      </c>
      <c r="AV150" s="848">
        <f t="shared" si="92"/>
        <v>0</v>
      </c>
      <c r="AW150" s="848">
        <f t="shared" si="92"/>
        <v>0</v>
      </c>
      <c r="AX150" s="848">
        <f t="shared" si="92"/>
        <v>0</v>
      </c>
      <c r="AY150" s="848">
        <f t="shared" si="92"/>
        <v>0</v>
      </c>
      <c r="AZ150" s="848">
        <f t="shared" si="92"/>
        <v>0</v>
      </c>
      <c r="BA150" s="848">
        <f t="shared" si="92"/>
        <v>4860.0000000000018</v>
      </c>
      <c r="BB150" s="848">
        <f t="shared" si="92"/>
        <v>0</v>
      </c>
      <c r="BC150" s="848">
        <f t="shared" si="92"/>
        <v>0</v>
      </c>
      <c r="BD150" s="848">
        <f t="shared" si="92"/>
        <v>0</v>
      </c>
      <c r="BE150" s="848">
        <f t="shared" si="92"/>
        <v>0</v>
      </c>
      <c r="BF150" s="848">
        <f t="shared" si="92"/>
        <v>0</v>
      </c>
      <c r="BG150" s="848">
        <f t="shared" si="92"/>
        <v>4860.0000000000018</v>
      </c>
      <c r="BH150" s="848">
        <f t="shared" si="92"/>
        <v>0</v>
      </c>
      <c r="BI150" s="848">
        <f t="shared" si="92"/>
        <v>0</v>
      </c>
      <c r="BJ150" s="848">
        <f t="shared" si="92"/>
        <v>0</v>
      </c>
      <c r="BK150" s="848">
        <f t="shared" si="92"/>
        <v>0</v>
      </c>
      <c r="BL150" s="848">
        <f t="shared" si="92"/>
        <v>0</v>
      </c>
      <c r="BM150" s="848">
        <f t="shared" si="92"/>
        <v>4860.0000000000009</v>
      </c>
      <c r="BN150" s="848">
        <f t="shared" si="92"/>
        <v>0</v>
      </c>
      <c r="BO150" s="848">
        <f t="shared" si="92"/>
        <v>0</v>
      </c>
      <c r="BP150" s="848">
        <f t="shared" si="92"/>
        <v>0</v>
      </c>
      <c r="BQ150" s="848">
        <f t="shared" si="92"/>
        <v>0</v>
      </c>
      <c r="BR150" s="848">
        <f t="shared" si="92"/>
        <v>0</v>
      </c>
      <c r="BS150" s="848">
        <f t="shared" si="92"/>
        <v>4860.0000000000009</v>
      </c>
      <c r="BT150" s="848">
        <f t="shared" si="92"/>
        <v>0</v>
      </c>
      <c r="BU150" s="848">
        <f t="shared" si="92"/>
        <v>0</v>
      </c>
      <c r="BV150" s="848">
        <f t="shared" ref="BV150:EG153" si="93">BV95</f>
        <v>0</v>
      </c>
      <c r="BW150" s="848">
        <f t="shared" si="93"/>
        <v>0</v>
      </c>
      <c r="BX150" s="848">
        <f t="shared" si="93"/>
        <v>0</v>
      </c>
      <c r="BY150" s="848">
        <f t="shared" si="93"/>
        <v>5943</v>
      </c>
      <c r="BZ150" s="848">
        <f t="shared" si="93"/>
        <v>0</v>
      </c>
      <c r="CA150" s="848">
        <f t="shared" si="93"/>
        <v>0</v>
      </c>
      <c r="CB150" s="848">
        <f t="shared" si="93"/>
        <v>0</v>
      </c>
      <c r="CC150" s="848">
        <f t="shared" si="93"/>
        <v>0</v>
      </c>
      <c r="CD150" s="848">
        <f t="shared" si="93"/>
        <v>0</v>
      </c>
      <c r="CE150" s="848">
        <f t="shared" si="93"/>
        <v>5942.9999999999973</v>
      </c>
      <c r="CF150" s="848">
        <f t="shared" si="93"/>
        <v>0</v>
      </c>
      <c r="CG150" s="848">
        <f t="shared" si="93"/>
        <v>0</v>
      </c>
      <c r="CH150" s="848">
        <f t="shared" si="93"/>
        <v>0</v>
      </c>
      <c r="CI150" s="848">
        <f t="shared" si="93"/>
        <v>0</v>
      </c>
      <c r="CJ150" s="848">
        <f t="shared" si="93"/>
        <v>0</v>
      </c>
      <c r="CK150" s="848">
        <f t="shared" si="93"/>
        <v>6100.8872171842295</v>
      </c>
      <c r="CL150" s="848">
        <f t="shared" si="93"/>
        <v>0</v>
      </c>
      <c r="CM150" s="848">
        <f t="shared" si="93"/>
        <v>0</v>
      </c>
      <c r="CN150" s="848">
        <f t="shared" si="93"/>
        <v>0</v>
      </c>
      <c r="CO150" s="848">
        <f t="shared" si="93"/>
        <v>0</v>
      </c>
      <c r="CP150" s="848">
        <f t="shared" si="93"/>
        <v>0</v>
      </c>
      <c r="CQ150" s="848">
        <f t="shared" si="93"/>
        <v>5942.9999999999991</v>
      </c>
      <c r="CR150" s="848">
        <f t="shared" si="93"/>
        <v>0</v>
      </c>
      <c r="CS150" s="848">
        <f t="shared" si="93"/>
        <v>0</v>
      </c>
      <c r="CT150" s="848">
        <f t="shared" si="93"/>
        <v>0</v>
      </c>
      <c r="CU150" s="848">
        <f t="shared" si="93"/>
        <v>0</v>
      </c>
      <c r="CV150" s="848">
        <f t="shared" si="93"/>
        <v>0</v>
      </c>
      <c r="CW150" s="848">
        <f t="shared" si="93"/>
        <v>5943.0000000000018</v>
      </c>
      <c r="CX150" s="848">
        <f t="shared" si="93"/>
        <v>0</v>
      </c>
      <c r="CY150" s="848">
        <f t="shared" si="93"/>
        <v>0</v>
      </c>
      <c r="CZ150" s="848">
        <f t="shared" si="93"/>
        <v>0</v>
      </c>
      <c r="DA150" s="848">
        <f t="shared" si="93"/>
        <v>0</v>
      </c>
      <c r="DB150" s="848">
        <f t="shared" si="93"/>
        <v>0</v>
      </c>
      <c r="DC150" s="848">
        <f t="shared" si="93"/>
        <v>8059.4802109788398</v>
      </c>
      <c r="DD150" s="848">
        <f t="shared" si="93"/>
        <v>0</v>
      </c>
      <c r="DE150" s="848">
        <f t="shared" si="93"/>
        <v>0</v>
      </c>
      <c r="DF150" s="848">
        <f t="shared" si="93"/>
        <v>0</v>
      </c>
      <c r="DG150" s="848">
        <f t="shared" si="93"/>
        <v>0</v>
      </c>
      <c r="DH150" s="848">
        <f t="shared" si="93"/>
        <v>0</v>
      </c>
      <c r="DI150" s="848">
        <f t="shared" si="93"/>
        <v>9744.8104223767514</v>
      </c>
      <c r="DJ150" s="848">
        <f t="shared" si="93"/>
        <v>0</v>
      </c>
      <c r="DK150" s="848">
        <f t="shared" si="93"/>
        <v>0</v>
      </c>
      <c r="DL150" s="848">
        <f t="shared" si="93"/>
        <v>0</v>
      </c>
      <c r="DM150" s="848">
        <f t="shared" si="93"/>
        <v>0</v>
      </c>
      <c r="DN150" s="848">
        <f t="shared" si="93"/>
        <v>0</v>
      </c>
      <c r="DO150" s="848">
        <f t="shared" si="93"/>
        <v>8546.9776538911428</v>
      </c>
      <c r="DP150" s="848">
        <f t="shared" si="93"/>
        <v>0</v>
      </c>
      <c r="DQ150" s="848">
        <f t="shared" si="93"/>
        <v>0</v>
      </c>
      <c r="DR150" s="848">
        <f t="shared" si="93"/>
        <v>0</v>
      </c>
      <c r="DS150" s="848">
        <f t="shared" si="93"/>
        <v>0</v>
      </c>
      <c r="DT150" s="848">
        <f t="shared" si="93"/>
        <v>0</v>
      </c>
      <c r="DU150" s="848">
        <f t="shared" si="93"/>
        <v>10258.353380260731</v>
      </c>
      <c r="DV150" s="848">
        <f t="shared" si="93"/>
        <v>0</v>
      </c>
      <c r="DW150" s="848">
        <f t="shared" si="93"/>
        <v>0</v>
      </c>
      <c r="DX150" s="848">
        <f t="shared" si="93"/>
        <v>0</v>
      </c>
      <c r="DY150" s="848">
        <f t="shared" si="93"/>
        <v>0</v>
      </c>
      <c r="DZ150" s="848">
        <f t="shared" si="93"/>
        <v>467826.02533902886</v>
      </c>
      <c r="EA150" s="848">
        <f t="shared" si="93"/>
        <v>0</v>
      </c>
      <c r="EB150" s="848">
        <f t="shared" si="93"/>
        <v>0</v>
      </c>
      <c r="EC150" s="848">
        <f t="shared" si="93"/>
        <v>0</v>
      </c>
      <c r="ED150" s="848">
        <f t="shared" si="93"/>
        <v>0</v>
      </c>
      <c r="EE150" s="848">
        <f t="shared" si="93"/>
        <v>0</v>
      </c>
      <c r="EF150" s="848">
        <f t="shared" si="93"/>
        <v>0</v>
      </c>
      <c r="EG150" s="848">
        <f t="shared" si="93"/>
        <v>0</v>
      </c>
      <c r="EH150" s="848">
        <f t="shared" ref="EH150:EL153" si="94">EH95</f>
        <v>0</v>
      </c>
      <c r="EI150" s="848">
        <f t="shared" si="94"/>
        <v>0</v>
      </c>
      <c r="EJ150" s="848">
        <f t="shared" si="94"/>
        <v>0</v>
      </c>
      <c r="EK150" s="848">
        <f t="shared" si="94"/>
        <v>0</v>
      </c>
      <c r="EL150" s="848">
        <f t="shared" si="94"/>
        <v>0</v>
      </c>
    </row>
    <row r="151" spans="2:142" s="833" customFormat="1" ht="13.5">
      <c r="B151" s="1000"/>
      <c r="D151" s="881" t="str">
        <f t="shared" si="91"/>
        <v>감자대금의 지급 [1종 종류주 의제배당]</v>
      </c>
      <c r="E151" s="1001"/>
      <c r="F151" s="1008"/>
      <c r="G151" s="1001"/>
      <c r="H151" s="848">
        <f t="shared" si="87"/>
        <v>0</v>
      </c>
      <c r="J151" s="848">
        <f t="shared" si="92"/>
        <v>0</v>
      </c>
      <c r="K151" s="848">
        <f t="shared" si="92"/>
        <v>0</v>
      </c>
      <c r="L151" s="848">
        <f t="shared" si="92"/>
        <v>0</v>
      </c>
      <c r="M151" s="848">
        <f t="shared" si="92"/>
        <v>0</v>
      </c>
      <c r="N151" s="848">
        <f t="shared" si="92"/>
        <v>0</v>
      </c>
      <c r="O151" s="848">
        <f t="shared" si="92"/>
        <v>0</v>
      </c>
      <c r="P151" s="848">
        <f t="shared" si="92"/>
        <v>0</v>
      </c>
      <c r="Q151" s="848">
        <f t="shared" si="92"/>
        <v>0</v>
      </c>
      <c r="R151" s="848">
        <f t="shared" si="92"/>
        <v>0</v>
      </c>
      <c r="S151" s="848">
        <f t="shared" si="92"/>
        <v>0</v>
      </c>
      <c r="T151" s="848">
        <f t="shared" si="92"/>
        <v>0</v>
      </c>
      <c r="U151" s="848">
        <f t="shared" si="92"/>
        <v>0</v>
      </c>
      <c r="V151" s="848">
        <f t="shared" si="92"/>
        <v>0</v>
      </c>
      <c r="W151" s="848">
        <f t="shared" si="92"/>
        <v>0</v>
      </c>
      <c r="X151" s="848">
        <f t="shared" si="92"/>
        <v>0</v>
      </c>
      <c r="Y151" s="848">
        <f t="shared" si="92"/>
        <v>0</v>
      </c>
      <c r="Z151" s="848">
        <f t="shared" si="92"/>
        <v>0</v>
      </c>
      <c r="AA151" s="848">
        <f t="shared" si="92"/>
        <v>0</v>
      </c>
      <c r="AB151" s="848">
        <f t="shared" si="92"/>
        <v>0</v>
      </c>
      <c r="AC151" s="848">
        <f t="shared" si="92"/>
        <v>0</v>
      </c>
      <c r="AD151" s="848">
        <f t="shared" si="92"/>
        <v>0</v>
      </c>
      <c r="AE151" s="848">
        <f t="shared" si="92"/>
        <v>0</v>
      </c>
      <c r="AF151" s="848">
        <f t="shared" si="92"/>
        <v>0</v>
      </c>
      <c r="AG151" s="848">
        <f t="shared" si="92"/>
        <v>0</v>
      </c>
      <c r="AH151" s="848">
        <f t="shared" si="92"/>
        <v>0</v>
      </c>
      <c r="AI151" s="848">
        <f t="shared" si="92"/>
        <v>0</v>
      </c>
      <c r="AJ151" s="848">
        <f t="shared" si="92"/>
        <v>0</v>
      </c>
      <c r="AK151" s="848">
        <f t="shared" si="92"/>
        <v>0</v>
      </c>
      <c r="AL151" s="848">
        <f t="shared" si="92"/>
        <v>0</v>
      </c>
      <c r="AM151" s="848">
        <f t="shared" si="92"/>
        <v>0</v>
      </c>
      <c r="AN151" s="848">
        <f t="shared" si="92"/>
        <v>0</v>
      </c>
      <c r="AO151" s="848">
        <f t="shared" si="92"/>
        <v>0</v>
      </c>
      <c r="AP151" s="848">
        <f t="shared" si="92"/>
        <v>0</v>
      </c>
      <c r="AQ151" s="848">
        <f t="shared" si="92"/>
        <v>0</v>
      </c>
      <c r="AR151" s="848">
        <f t="shared" si="92"/>
        <v>0</v>
      </c>
      <c r="AS151" s="848">
        <f t="shared" si="92"/>
        <v>0</v>
      </c>
      <c r="AT151" s="848">
        <f t="shared" si="92"/>
        <v>0</v>
      </c>
      <c r="AU151" s="848">
        <f t="shared" si="92"/>
        <v>0</v>
      </c>
      <c r="AV151" s="848">
        <f t="shared" si="92"/>
        <v>0</v>
      </c>
      <c r="AW151" s="848">
        <f t="shared" si="92"/>
        <v>0</v>
      </c>
      <c r="AX151" s="848">
        <f t="shared" si="92"/>
        <v>0</v>
      </c>
      <c r="AY151" s="848">
        <f t="shared" si="92"/>
        <v>0</v>
      </c>
      <c r="AZ151" s="848">
        <f t="shared" si="92"/>
        <v>0</v>
      </c>
      <c r="BA151" s="848">
        <f t="shared" si="92"/>
        <v>0</v>
      </c>
      <c r="BB151" s="848">
        <f t="shared" si="92"/>
        <v>0</v>
      </c>
      <c r="BC151" s="848">
        <f t="shared" si="92"/>
        <v>0</v>
      </c>
      <c r="BD151" s="848">
        <f t="shared" si="92"/>
        <v>0</v>
      </c>
      <c r="BE151" s="848">
        <f t="shared" si="92"/>
        <v>0</v>
      </c>
      <c r="BF151" s="848">
        <f t="shared" si="92"/>
        <v>0</v>
      </c>
      <c r="BG151" s="848">
        <f t="shared" si="92"/>
        <v>0</v>
      </c>
      <c r="BH151" s="848">
        <f t="shared" si="92"/>
        <v>0</v>
      </c>
      <c r="BI151" s="848">
        <f t="shared" si="92"/>
        <v>0</v>
      </c>
      <c r="BJ151" s="848">
        <f t="shared" si="92"/>
        <v>0</v>
      </c>
      <c r="BK151" s="848">
        <f t="shared" si="92"/>
        <v>0</v>
      </c>
      <c r="BL151" s="848">
        <f t="shared" si="92"/>
        <v>0</v>
      </c>
      <c r="BM151" s="848">
        <f t="shared" si="92"/>
        <v>0</v>
      </c>
      <c r="BN151" s="848">
        <f t="shared" si="92"/>
        <v>0</v>
      </c>
      <c r="BO151" s="848">
        <f t="shared" si="92"/>
        <v>0</v>
      </c>
      <c r="BP151" s="848">
        <f t="shared" si="92"/>
        <v>0</v>
      </c>
      <c r="BQ151" s="848">
        <f t="shared" si="92"/>
        <v>0</v>
      </c>
      <c r="BR151" s="848">
        <f t="shared" si="92"/>
        <v>0</v>
      </c>
      <c r="BS151" s="848">
        <f t="shared" si="92"/>
        <v>0</v>
      </c>
      <c r="BT151" s="848">
        <f t="shared" si="92"/>
        <v>0</v>
      </c>
      <c r="BU151" s="848">
        <f t="shared" si="92"/>
        <v>0</v>
      </c>
      <c r="BV151" s="848">
        <f t="shared" si="93"/>
        <v>0</v>
      </c>
      <c r="BW151" s="848">
        <f t="shared" si="93"/>
        <v>0</v>
      </c>
      <c r="BX151" s="848">
        <f t="shared" si="93"/>
        <v>0</v>
      </c>
      <c r="BY151" s="848">
        <f t="shared" si="93"/>
        <v>0</v>
      </c>
      <c r="BZ151" s="848">
        <f t="shared" si="93"/>
        <v>0</v>
      </c>
      <c r="CA151" s="848">
        <f t="shared" si="93"/>
        <v>0</v>
      </c>
      <c r="CB151" s="848">
        <f t="shared" si="93"/>
        <v>0</v>
      </c>
      <c r="CC151" s="848">
        <f t="shared" si="93"/>
        <v>0</v>
      </c>
      <c r="CD151" s="848">
        <f t="shared" si="93"/>
        <v>0</v>
      </c>
      <c r="CE151" s="848">
        <f t="shared" si="93"/>
        <v>0</v>
      </c>
      <c r="CF151" s="848">
        <f t="shared" si="93"/>
        <v>0</v>
      </c>
      <c r="CG151" s="848">
        <f t="shared" si="93"/>
        <v>0</v>
      </c>
      <c r="CH151" s="848">
        <f t="shared" si="93"/>
        <v>0</v>
      </c>
      <c r="CI151" s="848">
        <f t="shared" si="93"/>
        <v>0</v>
      </c>
      <c r="CJ151" s="848">
        <f t="shared" si="93"/>
        <v>0</v>
      </c>
      <c r="CK151" s="848">
        <f t="shared" si="93"/>
        <v>0</v>
      </c>
      <c r="CL151" s="848">
        <f t="shared" si="93"/>
        <v>0</v>
      </c>
      <c r="CM151" s="848">
        <f t="shared" si="93"/>
        <v>0</v>
      </c>
      <c r="CN151" s="848">
        <f t="shared" si="93"/>
        <v>0</v>
      </c>
      <c r="CO151" s="848">
        <f t="shared" si="93"/>
        <v>0</v>
      </c>
      <c r="CP151" s="848">
        <f t="shared" si="93"/>
        <v>0</v>
      </c>
      <c r="CQ151" s="848">
        <f t="shared" si="93"/>
        <v>0</v>
      </c>
      <c r="CR151" s="848">
        <f t="shared" si="93"/>
        <v>0</v>
      </c>
      <c r="CS151" s="848">
        <f t="shared" si="93"/>
        <v>0</v>
      </c>
      <c r="CT151" s="848">
        <f t="shared" si="93"/>
        <v>0</v>
      </c>
      <c r="CU151" s="848">
        <f t="shared" si="93"/>
        <v>0</v>
      </c>
      <c r="CV151" s="848">
        <f t="shared" si="93"/>
        <v>0</v>
      </c>
      <c r="CW151" s="848">
        <f t="shared" si="93"/>
        <v>0</v>
      </c>
      <c r="CX151" s="848">
        <f t="shared" si="93"/>
        <v>0</v>
      </c>
      <c r="CY151" s="848">
        <f t="shared" si="93"/>
        <v>0</v>
      </c>
      <c r="CZ151" s="848">
        <f t="shared" si="93"/>
        <v>0</v>
      </c>
      <c r="DA151" s="848">
        <f t="shared" si="93"/>
        <v>0</v>
      </c>
      <c r="DB151" s="848">
        <f t="shared" si="93"/>
        <v>0</v>
      </c>
      <c r="DC151" s="848">
        <f t="shared" si="93"/>
        <v>0</v>
      </c>
      <c r="DD151" s="848">
        <f t="shared" si="93"/>
        <v>0</v>
      </c>
      <c r="DE151" s="848">
        <f t="shared" si="93"/>
        <v>0</v>
      </c>
      <c r="DF151" s="848">
        <f t="shared" si="93"/>
        <v>0</v>
      </c>
      <c r="DG151" s="848">
        <f t="shared" si="93"/>
        <v>0</v>
      </c>
      <c r="DH151" s="848">
        <f t="shared" si="93"/>
        <v>0</v>
      </c>
      <c r="DI151" s="848">
        <f t="shared" si="93"/>
        <v>0</v>
      </c>
      <c r="DJ151" s="848">
        <f t="shared" si="93"/>
        <v>0</v>
      </c>
      <c r="DK151" s="848">
        <f t="shared" si="93"/>
        <v>0</v>
      </c>
      <c r="DL151" s="848">
        <f t="shared" si="93"/>
        <v>0</v>
      </c>
      <c r="DM151" s="848">
        <f t="shared" si="93"/>
        <v>0</v>
      </c>
      <c r="DN151" s="848">
        <f t="shared" si="93"/>
        <v>0</v>
      </c>
      <c r="DO151" s="848">
        <f t="shared" si="93"/>
        <v>0</v>
      </c>
      <c r="DP151" s="848">
        <f t="shared" si="93"/>
        <v>0</v>
      </c>
      <c r="DQ151" s="848">
        <f t="shared" si="93"/>
        <v>0</v>
      </c>
      <c r="DR151" s="848">
        <f t="shared" si="93"/>
        <v>0</v>
      </c>
      <c r="DS151" s="848">
        <f t="shared" si="93"/>
        <v>0</v>
      </c>
      <c r="DT151" s="848">
        <f t="shared" si="93"/>
        <v>0</v>
      </c>
      <c r="DU151" s="848">
        <f t="shared" si="93"/>
        <v>0</v>
      </c>
      <c r="DV151" s="848">
        <f t="shared" si="93"/>
        <v>0</v>
      </c>
      <c r="DW151" s="848">
        <f t="shared" si="93"/>
        <v>0</v>
      </c>
      <c r="DX151" s="848">
        <f t="shared" si="93"/>
        <v>0</v>
      </c>
      <c r="DY151" s="848">
        <f t="shared" si="93"/>
        <v>0</v>
      </c>
      <c r="DZ151" s="848">
        <f t="shared" si="93"/>
        <v>0</v>
      </c>
      <c r="EA151" s="848">
        <f t="shared" si="93"/>
        <v>0</v>
      </c>
      <c r="EB151" s="848">
        <f t="shared" si="93"/>
        <v>0</v>
      </c>
      <c r="EC151" s="848">
        <f t="shared" si="93"/>
        <v>0</v>
      </c>
      <c r="ED151" s="848">
        <f t="shared" si="93"/>
        <v>0</v>
      </c>
      <c r="EE151" s="848">
        <f t="shared" si="93"/>
        <v>0</v>
      </c>
      <c r="EF151" s="848">
        <f t="shared" si="93"/>
        <v>0</v>
      </c>
      <c r="EG151" s="848">
        <f t="shared" si="93"/>
        <v>0</v>
      </c>
      <c r="EH151" s="848">
        <f t="shared" si="94"/>
        <v>0</v>
      </c>
      <c r="EI151" s="848">
        <f t="shared" si="94"/>
        <v>0</v>
      </c>
      <c r="EJ151" s="848">
        <f t="shared" si="94"/>
        <v>0</v>
      </c>
      <c r="EK151" s="848">
        <f t="shared" si="94"/>
        <v>0</v>
      </c>
      <c r="EL151" s="848">
        <f t="shared" si="94"/>
        <v>0</v>
      </c>
    </row>
    <row r="152" spans="2:142" s="833" customFormat="1" ht="13.5">
      <c r="B152" s="1000"/>
      <c r="D152" s="881" t="str">
        <f t="shared" si="91"/>
        <v>감자대금의 지급 [1종 종류주 납입원본]</v>
      </c>
      <c r="E152" s="1001"/>
      <c r="F152" s="1008"/>
      <c r="G152" s="1001"/>
      <c r="H152" s="848">
        <f t="shared" si="87"/>
        <v>0</v>
      </c>
      <c r="J152" s="848">
        <f t="shared" si="92"/>
        <v>0</v>
      </c>
      <c r="K152" s="848">
        <f t="shared" si="92"/>
        <v>0</v>
      </c>
      <c r="L152" s="848">
        <f t="shared" si="92"/>
        <v>0</v>
      </c>
      <c r="M152" s="848">
        <f t="shared" si="92"/>
        <v>0</v>
      </c>
      <c r="N152" s="848">
        <f t="shared" si="92"/>
        <v>0</v>
      </c>
      <c r="O152" s="848">
        <f t="shared" si="92"/>
        <v>0</v>
      </c>
      <c r="P152" s="848">
        <f t="shared" si="92"/>
        <v>0</v>
      </c>
      <c r="Q152" s="848">
        <f t="shared" si="92"/>
        <v>0</v>
      </c>
      <c r="R152" s="848">
        <f t="shared" si="92"/>
        <v>0</v>
      </c>
      <c r="S152" s="848">
        <f t="shared" si="92"/>
        <v>0</v>
      </c>
      <c r="T152" s="848">
        <f t="shared" si="92"/>
        <v>0</v>
      </c>
      <c r="U152" s="848">
        <f t="shared" si="92"/>
        <v>0</v>
      </c>
      <c r="V152" s="848">
        <f t="shared" si="92"/>
        <v>0</v>
      </c>
      <c r="W152" s="848">
        <f t="shared" si="92"/>
        <v>0</v>
      </c>
      <c r="X152" s="848">
        <f t="shared" si="92"/>
        <v>0</v>
      </c>
      <c r="Y152" s="848">
        <f t="shared" si="92"/>
        <v>0</v>
      </c>
      <c r="Z152" s="848">
        <f t="shared" si="92"/>
        <v>0</v>
      </c>
      <c r="AA152" s="848">
        <f t="shared" si="92"/>
        <v>0</v>
      </c>
      <c r="AB152" s="848">
        <f t="shared" si="92"/>
        <v>0</v>
      </c>
      <c r="AC152" s="848">
        <f t="shared" si="92"/>
        <v>0</v>
      </c>
      <c r="AD152" s="848">
        <f t="shared" si="92"/>
        <v>0</v>
      </c>
      <c r="AE152" s="848">
        <f t="shared" si="92"/>
        <v>0</v>
      </c>
      <c r="AF152" s="848">
        <f t="shared" si="92"/>
        <v>0</v>
      </c>
      <c r="AG152" s="848">
        <f t="shared" si="92"/>
        <v>0</v>
      </c>
      <c r="AH152" s="848">
        <f t="shared" si="92"/>
        <v>0</v>
      </c>
      <c r="AI152" s="848">
        <f t="shared" si="92"/>
        <v>0</v>
      </c>
      <c r="AJ152" s="848">
        <f t="shared" si="92"/>
        <v>0</v>
      </c>
      <c r="AK152" s="848">
        <f t="shared" si="92"/>
        <v>0</v>
      </c>
      <c r="AL152" s="848">
        <f t="shared" si="92"/>
        <v>0</v>
      </c>
      <c r="AM152" s="848">
        <f t="shared" si="92"/>
        <v>0</v>
      </c>
      <c r="AN152" s="848">
        <f t="shared" si="92"/>
        <v>0</v>
      </c>
      <c r="AO152" s="848">
        <f t="shared" si="92"/>
        <v>0</v>
      </c>
      <c r="AP152" s="848">
        <f t="shared" si="92"/>
        <v>0</v>
      </c>
      <c r="AQ152" s="848">
        <f t="shared" si="92"/>
        <v>0</v>
      </c>
      <c r="AR152" s="848">
        <f t="shared" si="92"/>
        <v>0</v>
      </c>
      <c r="AS152" s="848">
        <f t="shared" si="92"/>
        <v>0</v>
      </c>
      <c r="AT152" s="848">
        <f t="shared" si="92"/>
        <v>0</v>
      </c>
      <c r="AU152" s="848">
        <f t="shared" si="92"/>
        <v>0</v>
      </c>
      <c r="AV152" s="848">
        <f t="shared" si="92"/>
        <v>0</v>
      </c>
      <c r="AW152" s="848">
        <f t="shared" si="92"/>
        <v>0</v>
      </c>
      <c r="AX152" s="848">
        <f t="shared" si="92"/>
        <v>0</v>
      </c>
      <c r="AY152" s="848">
        <f t="shared" si="92"/>
        <v>0</v>
      </c>
      <c r="AZ152" s="848">
        <f t="shared" si="92"/>
        <v>0</v>
      </c>
      <c r="BA152" s="848">
        <f t="shared" si="92"/>
        <v>0</v>
      </c>
      <c r="BB152" s="848">
        <f t="shared" si="92"/>
        <v>0</v>
      </c>
      <c r="BC152" s="848">
        <f t="shared" si="92"/>
        <v>0</v>
      </c>
      <c r="BD152" s="848">
        <f t="shared" si="92"/>
        <v>0</v>
      </c>
      <c r="BE152" s="848">
        <f t="shared" si="92"/>
        <v>0</v>
      </c>
      <c r="BF152" s="848">
        <f t="shared" si="92"/>
        <v>0</v>
      </c>
      <c r="BG152" s="848">
        <f t="shared" si="92"/>
        <v>0</v>
      </c>
      <c r="BH152" s="848">
        <f t="shared" si="92"/>
        <v>0</v>
      </c>
      <c r="BI152" s="848">
        <f t="shared" si="92"/>
        <v>0</v>
      </c>
      <c r="BJ152" s="848">
        <f t="shared" si="92"/>
        <v>0</v>
      </c>
      <c r="BK152" s="848">
        <f t="shared" si="92"/>
        <v>0</v>
      </c>
      <c r="BL152" s="848">
        <f t="shared" si="92"/>
        <v>0</v>
      </c>
      <c r="BM152" s="848">
        <f t="shared" si="92"/>
        <v>0</v>
      </c>
      <c r="BN152" s="848">
        <f t="shared" si="92"/>
        <v>0</v>
      </c>
      <c r="BO152" s="848">
        <f t="shared" si="92"/>
        <v>0</v>
      </c>
      <c r="BP152" s="848">
        <f t="shared" si="92"/>
        <v>0</v>
      </c>
      <c r="BQ152" s="848">
        <f t="shared" si="92"/>
        <v>0</v>
      </c>
      <c r="BR152" s="848">
        <f t="shared" si="92"/>
        <v>0</v>
      </c>
      <c r="BS152" s="848">
        <f t="shared" si="92"/>
        <v>0</v>
      </c>
      <c r="BT152" s="848">
        <f t="shared" si="92"/>
        <v>0</v>
      </c>
      <c r="BU152" s="848">
        <f t="shared" si="92"/>
        <v>0</v>
      </c>
      <c r="BV152" s="848">
        <f t="shared" si="93"/>
        <v>0</v>
      </c>
      <c r="BW152" s="848">
        <f t="shared" si="93"/>
        <v>0</v>
      </c>
      <c r="BX152" s="848">
        <f t="shared" si="93"/>
        <v>0</v>
      </c>
      <c r="BY152" s="848">
        <f t="shared" si="93"/>
        <v>0</v>
      </c>
      <c r="BZ152" s="848">
        <f t="shared" si="93"/>
        <v>0</v>
      </c>
      <c r="CA152" s="848">
        <f t="shared" si="93"/>
        <v>0</v>
      </c>
      <c r="CB152" s="848">
        <f t="shared" si="93"/>
        <v>0</v>
      </c>
      <c r="CC152" s="848">
        <f t="shared" si="93"/>
        <v>0</v>
      </c>
      <c r="CD152" s="848">
        <f t="shared" si="93"/>
        <v>0</v>
      </c>
      <c r="CE152" s="848">
        <f t="shared" si="93"/>
        <v>0</v>
      </c>
      <c r="CF152" s="848">
        <f t="shared" si="93"/>
        <v>0</v>
      </c>
      <c r="CG152" s="848">
        <f t="shared" si="93"/>
        <v>0</v>
      </c>
      <c r="CH152" s="848">
        <f t="shared" si="93"/>
        <v>0</v>
      </c>
      <c r="CI152" s="848">
        <f t="shared" si="93"/>
        <v>0</v>
      </c>
      <c r="CJ152" s="848">
        <f t="shared" si="93"/>
        <v>0</v>
      </c>
      <c r="CK152" s="848">
        <f t="shared" si="93"/>
        <v>0</v>
      </c>
      <c r="CL152" s="848">
        <f t="shared" si="93"/>
        <v>0</v>
      </c>
      <c r="CM152" s="848">
        <f t="shared" si="93"/>
        <v>0</v>
      </c>
      <c r="CN152" s="848">
        <f t="shared" si="93"/>
        <v>0</v>
      </c>
      <c r="CO152" s="848">
        <f t="shared" si="93"/>
        <v>0</v>
      </c>
      <c r="CP152" s="848">
        <f t="shared" si="93"/>
        <v>0</v>
      </c>
      <c r="CQ152" s="848">
        <f t="shared" si="93"/>
        <v>0</v>
      </c>
      <c r="CR152" s="848">
        <f t="shared" si="93"/>
        <v>0</v>
      </c>
      <c r="CS152" s="848">
        <f t="shared" si="93"/>
        <v>0</v>
      </c>
      <c r="CT152" s="848">
        <f t="shared" si="93"/>
        <v>0</v>
      </c>
      <c r="CU152" s="848">
        <f t="shared" si="93"/>
        <v>0</v>
      </c>
      <c r="CV152" s="848">
        <f t="shared" si="93"/>
        <v>0</v>
      </c>
      <c r="CW152" s="848">
        <f t="shared" si="93"/>
        <v>0</v>
      </c>
      <c r="CX152" s="848">
        <f t="shared" si="93"/>
        <v>0</v>
      </c>
      <c r="CY152" s="848">
        <f t="shared" si="93"/>
        <v>0</v>
      </c>
      <c r="CZ152" s="848">
        <f t="shared" si="93"/>
        <v>0</v>
      </c>
      <c r="DA152" s="848">
        <f t="shared" si="93"/>
        <v>0</v>
      </c>
      <c r="DB152" s="848">
        <f t="shared" si="93"/>
        <v>0</v>
      </c>
      <c r="DC152" s="848">
        <f t="shared" si="93"/>
        <v>0</v>
      </c>
      <c r="DD152" s="848">
        <f t="shared" si="93"/>
        <v>0</v>
      </c>
      <c r="DE152" s="848">
        <f t="shared" si="93"/>
        <v>0</v>
      </c>
      <c r="DF152" s="848">
        <f t="shared" si="93"/>
        <v>0</v>
      </c>
      <c r="DG152" s="848">
        <f t="shared" si="93"/>
        <v>0</v>
      </c>
      <c r="DH152" s="848">
        <f t="shared" si="93"/>
        <v>0</v>
      </c>
      <c r="DI152" s="848">
        <f t="shared" si="93"/>
        <v>0</v>
      </c>
      <c r="DJ152" s="848">
        <f t="shared" si="93"/>
        <v>0</v>
      </c>
      <c r="DK152" s="848">
        <f t="shared" si="93"/>
        <v>0</v>
      </c>
      <c r="DL152" s="848">
        <f t="shared" si="93"/>
        <v>0</v>
      </c>
      <c r="DM152" s="848">
        <f t="shared" si="93"/>
        <v>0</v>
      </c>
      <c r="DN152" s="848">
        <f t="shared" si="93"/>
        <v>0</v>
      </c>
      <c r="DO152" s="848">
        <f t="shared" si="93"/>
        <v>0</v>
      </c>
      <c r="DP152" s="848">
        <f t="shared" si="93"/>
        <v>0</v>
      </c>
      <c r="DQ152" s="848">
        <f t="shared" si="93"/>
        <v>0</v>
      </c>
      <c r="DR152" s="848">
        <f t="shared" si="93"/>
        <v>0</v>
      </c>
      <c r="DS152" s="848">
        <f t="shared" si="93"/>
        <v>0</v>
      </c>
      <c r="DT152" s="848">
        <f t="shared" si="93"/>
        <v>0</v>
      </c>
      <c r="DU152" s="848">
        <f t="shared" si="93"/>
        <v>0</v>
      </c>
      <c r="DV152" s="848">
        <f t="shared" si="93"/>
        <v>0</v>
      </c>
      <c r="DW152" s="848">
        <f t="shared" si="93"/>
        <v>0</v>
      </c>
      <c r="DX152" s="848">
        <f t="shared" si="93"/>
        <v>0</v>
      </c>
      <c r="DY152" s="848">
        <f t="shared" si="93"/>
        <v>0</v>
      </c>
      <c r="DZ152" s="848">
        <f t="shared" si="93"/>
        <v>0</v>
      </c>
      <c r="EA152" s="848">
        <f t="shared" si="93"/>
        <v>0</v>
      </c>
      <c r="EB152" s="848">
        <f t="shared" si="93"/>
        <v>0</v>
      </c>
      <c r="EC152" s="848">
        <f t="shared" si="93"/>
        <v>0</v>
      </c>
      <c r="ED152" s="848">
        <f t="shared" si="93"/>
        <v>0</v>
      </c>
      <c r="EE152" s="848">
        <f t="shared" si="93"/>
        <v>0</v>
      </c>
      <c r="EF152" s="848">
        <f t="shared" si="93"/>
        <v>0</v>
      </c>
      <c r="EG152" s="848">
        <f t="shared" si="93"/>
        <v>0</v>
      </c>
      <c r="EH152" s="848">
        <f t="shared" si="94"/>
        <v>0</v>
      </c>
      <c r="EI152" s="848">
        <f t="shared" si="94"/>
        <v>0</v>
      </c>
      <c r="EJ152" s="848">
        <f t="shared" si="94"/>
        <v>0</v>
      </c>
      <c r="EK152" s="848">
        <f t="shared" si="94"/>
        <v>0</v>
      </c>
      <c r="EL152" s="848">
        <f t="shared" si="94"/>
        <v>0</v>
      </c>
    </row>
    <row r="153" spans="2:142" s="833" customFormat="1" ht="13.5">
      <c r="B153" s="1000"/>
      <c r="D153" s="881" t="str">
        <f t="shared" si="91"/>
        <v>감자대금의 지급 [2종 종류주 의제배당]</v>
      </c>
      <c r="E153" s="1001"/>
      <c r="F153" s="1008"/>
      <c r="G153" s="1001"/>
      <c r="H153" s="848">
        <f>SUM(J153:EL153)</f>
        <v>0</v>
      </c>
      <c r="J153" s="848">
        <f t="shared" si="92"/>
        <v>0</v>
      </c>
      <c r="K153" s="848">
        <f t="shared" si="92"/>
        <v>0</v>
      </c>
      <c r="L153" s="848">
        <f t="shared" si="92"/>
        <v>0</v>
      </c>
      <c r="M153" s="848">
        <f t="shared" si="92"/>
        <v>0</v>
      </c>
      <c r="N153" s="848">
        <f t="shared" si="92"/>
        <v>0</v>
      </c>
      <c r="O153" s="848">
        <f t="shared" si="92"/>
        <v>0</v>
      </c>
      <c r="P153" s="848">
        <f t="shared" si="92"/>
        <v>0</v>
      </c>
      <c r="Q153" s="848">
        <f t="shared" si="92"/>
        <v>0</v>
      </c>
      <c r="R153" s="848">
        <f t="shared" si="92"/>
        <v>0</v>
      </c>
      <c r="S153" s="848">
        <f t="shared" si="92"/>
        <v>0</v>
      </c>
      <c r="T153" s="848">
        <f t="shared" si="92"/>
        <v>0</v>
      </c>
      <c r="U153" s="848">
        <f t="shared" si="92"/>
        <v>0</v>
      </c>
      <c r="V153" s="848">
        <f t="shared" si="92"/>
        <v>0</v>
      </c>
      <c r="W153" s="848">
        <f t="shared" si="92"/>
        <v>0</v>
      </c>
      <c r="X153" s="848">
        <f t="shared" si="92"/>
        <v>0</v>
      </c>
      <c r="Y153" s="848">
        <f t="shared" si="92"/>
        <v>0</v>
      </c>
      <c r="Z153" s="848">
        <f t="shared" si="92"/>
        <v>0</v>
      </c>
      <c r="AA153" s="848">
        <f t="shared" si="92"/>
        <v>0</v>
      </c>
      <c r="AB153" s="848">
        <f t="shared" si="92"/>
        <v>0</v>
      </c>
      <c r="AC153" s="848">
        <f t="shared" si="92"/>
        <v>0</v>
      </c>
      <c r="AD153" s="848">
        <f t="shared" si="92"/>
        <v>0</v>
      </c>
      <c r="AE153" s="848">
        <f t="shared" si="92"/>
        <v>0</v>
      </c>
      <c r="AF153" s="848">
        <f t="shared" si="92"/>
        <v>0</v>
      </c>
      <c r="AG153" s="848">
        <f t="shared" si="92"/>
        <v>0</v>
      </c>
      <c r="AH153" s="848">
        <f t="shared" si="92"/>
        <v>0</v>
      </c>
      <c r="AI153" s="848">
        <f t="shared" si="92"/>
        <v>0</v>
      </c>
      <c r="AJ153" s="848">
        <f t="shared" si="92"/>
        <v>0</v>
      </c>
      <c r="AK153" s="848">
        <f t="shared" si="92"/>
        <v>0</v>
      </c>
      <c r="AL153" s="848">
        <f t="shared" si="92"/>
        <v>0</v>
      </c>
      <c r="AM153" s="848">
        <f t="shared" si="92"/>
        <v>0</v>
      </c>
      <c r="AN153" s="848">
        <f t="shared" si="92"/>
        <v>0</v>
      </c>
      <c r="AO153" s="848">
        <f t="shared" si="92"/>
        <v>0</v>
      </c>
      <c r="AP153" s="848">
        <f t="shared" si="92"/>
        <v>0</v>
      </c>
      <c r="AQ153" s="848">
        <f t="shared" si="92"/>
        <v>0</v>
      </c>
      <c r="AR153" s="848">
        <f t="shared" si="92"/>
        <v>0</v>
      </c>
      <c r="AS153" s="848">
        <f t="shared" si="92"/>
        <v>0</v>
      </c>
      <c r="AT153" s="848">
        <f t="shared" si="92"/>
        <v>0</v>
      </c>
      <c r="AU153" s="848">
        <f t="shared" si="92"/>
        <v>0</v>
      </c>
      <c r="AV153" s="848">
        <f t="shared" si="92"/>
        <v>0</v>
      </c>
      <c r="AW153" s="848">
        <f t="shared" si="92"/>
        <v>0</v>
      </c>
      <c r="AX153" s="848">
        <f t="shared" si="92"/>
        <v>0</v>
      </c>
      <c r="AY153" s="848">
        <f t="shared" si="92"/>
        <v>0</v>
      </c>
      <c r="AZ153" s="848">
        <f t="shared" si="92"/>
        <v>0</v>
      </c>
      <c r="BA153" s="848">
        <f t="shared" si="92"/>
        <v>0</v>
      </c>
      <c r="BB153" s="848">
        <f t="shared" si="92"/>
        <v>0</v>
      </c>
      <c r="BC153" s="848">
        <f t="shared" si="92"/>
        <v>0</v>
      </c>
      <c r="BD153" s="848">
        <f t="shared" si="92"/>
        <v>0</v>
      </c>
      <c r="BE153" s="848">
        <f t="shared" si="92"/>
        <v>0</v>
      </c>
      <c r="BF153" s="848">
        <f t="shared" si="92"/>
        <v>0</v>
      </c>
      <c r="BG153" s="848">
        <f t="shared" si="92"/>
        <v>0</v>
      </c>
      <c r="BH153" s="848">
        <f t="shared" si="92"/>
        <v>0</v>
      </c>
      <c r="BI153" s="848">
        <f t="shared" si="92"/>
        <v>0</v>
      </c>
      <c r="BJ153" s="848">
        <f t="shared" si="92"/>
        <v>0</v>
      </c>
      <c r="BK153" s="848">
        <f t="shared" si="92"/>
        <v>0</v>
      </c>
      <c r="BL153" s="848">
        <f t="shared" si="92"/>
        <v>0</v>
      </c>
      <c r="BM153" s="848">
        <f t="shared" si="92"/>
        <v>0</v>
      </c>
      <c r="BN153" s="848">
        <f t="shared" si="92"/>
        <v>0</v>
      </c>
      <c r="BO153" s="848">
        <f t="shared" si="92"/>
        <v>0</v>
      </c>
      <c r="BP153" s="848">
        <f t="shared" si="92"/>
        <v>0</v>
      </c>
      <c r="BQ153" s="848">
        <f t="shared" si="92"/>
        <v>0</v>
      </c>
      <c r="BR153" s="848">
        <f t="shared" si="92"/>
        <v>0</v>
      </c>
      <c r="BS153" s="848">
        <f t="shared" si="92"/>
        <v>0</v>
      </c>
      <c r="BT153" s="848">
        <f t="shared" si="92"/>
        <v>0</v>
      </c>
      <c r="BU153" s="848">
        <f t="shared" ref="BU153:DA155" si="95">BU98</f>
        <v>0</v>
      </c>
      <c r="BV153" s="848">
        <f t="shared" si="95"/>
        <v>0</v>
      </c>
      <c r="BW153" s="848">
        <f t="shared" si="93"/>
        <v>0</v>
      </c>
      <c r="BX153" s="848">
        <f t="shared" si="93"/>
        <v>0</v>
      </c>
      <c r="BY153" s="848">
        <f t="shared" si="93"/>
        <v>0</v>
      </c>
      <c r="BZ153" s="848">
        <f t="shared" si="93"/>
        <v>0</v>
      </c>
      <c r="CA153" s="848">
        <f t="shared" si="93"/>
        <v>0</v>
      </c>
      <c r="CB153" s="848">
        <f t="shared" si="93"/>
        <v>0</v>
      </c>
      <c r="CC153" s="848">
        <f t="shared" si="93"/>
        <v>0</v>
      </c>
      <c r="CD153" s="848">
        <f t="shared" si="93"/>
        <v>0</v>
      </c>
      <c r="CE153" s="848">
        <f t="shared" si="93"/>
        <v>0</v>
      </c>
      <c r="CF153" s="848">
        <f t="shared" si="93"/>
        <v>0</v>
      </c>
      <c r="CG153" s="848">
        <f t="shared" si="93"/>
        <v>0</v>
      </c>
      <c r="CH153" s="848">
        <f t="shared" si="93"/>
        <v>0</v>
      </c>
      <c r="CI153" s="848">
        <f t="shared" si="93"/>
        <v>0</v>
      </c>
      <c r="CJ153" s="848">
        <f t="shared" si="93"/>
        <v>0</v>
      </c>
      <c r="CK153" s="848">
        <f t="shared" si="93"/>
        <v>0</v>
      </c>
      <c r="CL153" s="848">
        <f t="shared" si="93"/>
        <v>0</v>
      </c>
      <c r="CM153" s="848">
        <f t="shared" si="93"/>
        <v>0</v>
      </c>
      <c r="CN153" s="848">
        <f t="shared" si="93"/>
        <v>0</v>
      </c>
      <c r="CO153" s="848">
        <f t="shared" si="93"/>
        <v>0</v>
      </c>
      <c r="CP153" s="848">
        <f t="shared" si="93"/>
        <v>0</v>
      </c>
      <c r="CQ153" s="848">
        <f t="shared" si="93"/>
        <v>0</v>
      </c>
      <c r="CR153" s="848">
        <f t="shared" si="93"/>
        <v>0</v>
      </c>
      <c r="CS153" s="848">
        <f t="shared" si="93"/>
        <v>0</v>
      </c>
      <c r="CT153" s="848">
        <f t="shared" si="93"/>
        <v>0</v>
      </c>
      <c r="CU153" s="848">
        <f t="shared" si="93"/>
        <v>0</v>
      </c>
      <c r="CV153" s="848">
        <f t="shared" si="93"/>
        <v>0</v>
      </c>
      <c r="CW153" s="848">
        <f t="shared" si="93"/>
        <v>0</v>
      </c>
      <c r="CX153" s="848">
        <f t="shared" si="93"/>
        <v>0</v>
      </c>
      <c r="CY153" s="848">
        <f t="shared" si="93"/>
        <v>0</v>
      </c>
      <c r="CZ153" s="848">
        <f t="shared" si="93"/>
        <v>0</v>
      </c>
      <c r="DA153" s="848">
        <f t="shared" si="93"/>
        <v>0</v>
      </c>
      <c r="DB153" s="848">
        <f t="shared" si="93"/>
        <v>0</v>
      </c>
      <c r="DC153" s="848">
        <f t="shared" si="93"/>
        <v>0</v>
      </c>
      <c r="DD153" s="848">
        <f t="shared" si="93"/>
        <v>0</v>
      </c>
      <c r="DE153" s="848">
        <f t="shared" si="93"/>
        <v>0</v>
      </c>
      <c r="DF153" s="848">
        <f t="shared" si="93"/>
        <v>0</v>
      </c>
      <c r="DG153" s="848">
        <f t="shared" si="93"/>
        <v>0</v>
      </c>
      <c r="DH153" s="848">
        <f t="shared" si="93"/>
        <v>0</v>
      </c>
      <c r="DI153" s="848">
        <f t="shared" si="93"/>
        <v>0</v>
      </c>
      <c r="DJ153" s="848">
        <f t="shared" si="93"/>
        <v>0</v>
      </c>
      <c r="DK153" s="848">
        <f t="shared" si="93"/>
        <v>0</v>
      </c>
      <c r="DL153" s="848">
        <f t="shared" si="93"/>
        <v>0</v>
      </c>
      <c r="DM153" s="848">
        <f t="shared" si="93"/>
        <v>0</v>
      </c>
      <c r="DN153" s="848">
        <f t="shared" si="93"/>
        <v>0</v>
      </c>
      <c r="DO153" s="848">
        <f t="shared" si="93"/>
        <v>0</v>
      </c>
      <c r="DP153" s="848">
        <f t="shared" si="93"/>
        <v>0</v>
      </c>
      <c r="DQ153" s="848">
        <f t="shared" si="93"/>
        <v>0</v>
      </c>
      <c r="DR153" s="848">
        <f t="shared" si="93"/>
        <v>0</v>
      </c>
      <c r="DS153" s="848">
        <f t="shared" si="93"/>
        <v>0</v>
      </c>
      <c r="DT153" s="848">
        <f t="shared" si="93"/>
        <v>0</v>
      </c>
      <c r="DU153" s="848">
        <f t="shared" si="93"/>
        <v>0</v>
      </c>
      <c r="DV153" s="848">
        <f t="shared" si="93"/>
        <v>0</v>
      </c>
      <c r="DW153" s="848">
        <f t="shared" si="93"/>
        <v>0</v>
      </c>
      <c r="DX153" s="848">
        <f t="shared" si="93"/>
        <v>0</v>
      </c>
      <c r="DY153" s="848">
        <f t="shared" si="93"/>
        <v>0</v>
      </c>
      <c r="DZ153" s="848">
        <f t="shared" si="93"/>
        <v>0</v>
      </c>
      <c r="EA153" s="848">
        <f t="shared" si="93"/>
        <v>0</v>
      </c>
      <c r="EB153" s="848">
        <f t="shared" si="93"/>
        <v>0</v>
      </c>
      <c r="EC153" s="848">
        <f t="shared" si="93"/>
        <v>0</v>
      </c>
      <c r="ED153" s="848">
        <f t="shared" si="93"/>
        <v>0</v>
      </c>
      <c r="EE153" s="848">
        <f t="shared" si="93"/>
        <v>0</v>
      </c>
      <c r="EF153" s="848">
        <f t="shared" si="93"/>
        <v>0</v>
      </c>
      <c r="EG153" s="848">
        <f t="shared" si="93"/>
        <v>0</v>
      </c>
      <c r="EH153" s="848">
        <f t="shared" si="94"/>
        <v>0</v>
      </c>
      <c r="EI153" s="848">
        <f t="shared" si="94"/>
        <v>0</v>
      </c>
      <c r="EJ153" s="848">
        <f t="shared" si="94"/>
        <v>0</v>
      </c>
      <c r="EK153" s="848">
        <f t="shared" si="94"/>
        <v>0</v>
      </c>
      <c r="EL153" s="848">
        <f t="shared" si="94"/>
        <v>0</v>
      </c>
    </row>
    <row r="154" spans="2:142" s="833" customFormat="1" ht="13.5">
      <c r="B154" s="1000"/>
      <c r="D154" s="881" t="str">
        <f t="shared" si="91"/>
        <v>감자대금의 지급 [2종 종류주 납입원본]</v>
      </c>
      <c r="E154" s="1001"/>
      <c r="F154" s="1008"/>
      <c r="G154" s="1001"/>
      <c r="H154" s="848">
        <f>SUM(J154:EL154)</f>
        <v>0</v>
      </c>
      <c r="J154" s="848">
        <f t="shared" ref="J154:BU155" si="96">J99</f>
        <v>0</v>
      </c>
      <c r="K154" s="848">
        <f t="shared" si="96"/>
        <v>0</v>
      </c>
      <c r="L154" s="848">
        <f t="shared" si="96"/>
        <v>0</v>
      </c>
      <c r="M154" s="848">
        <f t="shared" si="96"/>
        <v>0</v>
      </c>
      <c r="N154" s="848">
        <f t="shared" si="96"/>
        <v>0</v>
      </c>
      <c r="O154" s="848">
        <f t="shared" si="96"/>
        <v>0</v>
      </c>
      <c r="P154" s="848">
        <f t="shared" si="96"/>
        <v>0</v>
      </c>
      <c r="Q154" s="848">
        <f t="shared" si="96"/>
        <v>0</v>
      </c>
      <c r="R154" s="848">
        <f t="shared" si="96"/>
        <v>0</v>
      </c>
      <c r="S154" s="848">
        <f t="shared" si="96"/>
        <v>0</v>
      </c>
      <c r="T154" s="848">
        <f t="shared" si="96"/>
        <v>0</v>
      </c>
      <c r="U154" s="848">
        <f t="shared" si="96"/>
        <v>0</v>
      </c>
      <c r="V154" s="848">
        <f t="shared" si="96"/>
        <v>0</v>
      </c>
      <c r="W154" s="848">
        <f t="shared" si="96"/>
        <v>0</v>
      </c>
      <c r="X154" s="848">
        <f t="shared" si="96"/>
        <v>0</v>
      </c>
      <c r="Y154" s="848">
        <f t="shared" si="96"/>
        <v>0</v>
      </c>
      <c r="Z154" s="848">
        <f t="shared" si="96"/>
        <v>0</v>
      </c>
      <c r="AA154" s="848">
        <f t="shared" si="96"/>
        <v>0</v>
      </c>
      <c r="AB154" s="848">
        <f t="shared" si="96"/>
        <v>0</v>
      </c>
      <c r="AC154" s="848">
        <f t="shared" si="96"/>
        <v>0</v>
      </c>
      <c r="AD154" s="848">
        <f t="shared" si="96"/>
        <v>0</v>
      </c>
      <c r="AE154" s="848">
        <f t="shared" si="96"/>
        <v>0</v>
      </c>
      <c r="AF154" s="848">
        <f t="shared" si="96"/>
        <v>0</v>
      </c>
      <c r="AG154" s="848">
        <f t="shared" si="96"/>
        <v>0</v>
      </c>
      <c r="AH154" s="848">
        <f t="shared" si="96"/>
        <v>0</v>
      </c>
      <c r="AI154" s="848">
        <f t="shared" si="96"/>
        <v>0</v>
      </c>
      <c r="AJ154" s="848">
        <f t="shared" si="96"/>
        <v>0</v>
      </c>
      <c r="AK154" s="848">
        <f t="shared" si="96"/>
        <v>0</v>
      </c>
      <c r="AL154" s="848">
        <f t="shared" si="96"/>
        <v>0</v>
      </c>
      <c r="AM154" s="848">
        <f t="shared" si="96"/>
        <v>0</v>
      </c>
      <c r="AN154" s="848">
        <f t="shared" si="96"/>
        <v>0</v>
      </c>
      <c r="AO154" s="848">
        <f t="shared" si="96"/>
        <v>0</v>
      </c>
      <c r="AP154" s="848">
        <f t="shared" si="96"/>
        <v>0</v>
      </c>
      <c r="AQ154" s="848">
        <f t="shared" si="96"/>
        <v>0</v>
      </c>
      <c r="AR154" s="848">
        <f t="shared" si="96"/>
        <v>0</v>
      </c>
      <c r="AS154" s="848">
        <f t="shared" si="96"/>
        <v>0</v>
      </c>
      <c r="AT154" s="848">
        <f t="shared" si="96"/>
        <v>0</v>
      </c>
      <c r="AU154" s="848">
        <f t="shared" si="96"/>
        <v>0</v>
      </c>
      <c r="AV154" s="848">
        <f t="shared" si="96"/>
        <v>0</v>
      </c>
      <c r="AW154" s="848">
        <f t="shared" si="96"/>
        <v>0</v>
      </c>
      <c r="AX154" s="848">
        <f t="shared" si="96"/>
        <v>0</v>
      </c>
      <c r="AY154" s="848">
        <f t="shared" si="96"/>
        <v>0</v>
      </c>
      <c r="AZ154" s="848">
        <f t="shared" si="96"/>
        <v>0</v>
      </c>
      <c r="BA154" s="848">
        <f t="shared" si="96"/>
        <v>0</v>
      </c>
      <c r="BB154" s="848">
        <f t="shared" si="96"/>
        <v>0</v>
      </c>
      <c r="BC154" s="848">
        <f t="shared" si="96"/>
        <v>0</v>
      </c>
      <c r="BD154" s="848">
        <f t="shared" si="96"/>
        <v>0</v>
      </c>
      <c r="BE154" s="848">
        <f t="shared" si="96"/>
        <v>0</v>
      </c>
      <c r="BF154" s="848">
        <f t="shared" si="96"/>
        <v>0</v>
      </c>
      <c r="BG154" s="848">
        <f t="shared" si="96"/>
        <v>0</v>
      </c>
      <c r="BH154" s="848">
        <f t="shared" si="96"/>
        <v>0</v>
      </c>
      <c r="BI154" s="848">
        <f t="shared" si="96"/>
        <v>0</v>
      </c>
      <c r="BJ154" s="848">
        <f t="shared" si="96"/>
        <v>0</v>
      </c>
      <c r="BK154" s="848">
        <f t="shared" si="96"/>
        <v>0</v>
      </c>
      <c r="BL154" s="848">
        <f t="shared" si="96"/>
        <v>0</v>
      </c>
      <c r="BM154" s="848">
        <f t="shared" si="96"/>
        <v>0</v>
      </c>
      <c r="BN154" s="848">
        <f t="shared" si="96"/>
        <v>0</v>
      </c>
      <c r="BO154" s="848">
        <f t="shared" si="96"/>
        <v>0</v>
      </c>
      <c r="BP154" s="848">
        <f t="shared" si="96"/>
        <v>0</v>
      </c>
      <c r="BQ154" s="848">
        <f t="shared" si="96"/>
        <v>0</v>
      </c>
      <c r="BR154" s="848">
        <f t="shared" si="96"/>
        <v>0</v>
      </c>
      <c r="BS154" s="848">
        <f t="shared" si="96"/>
        <v>0</v>
      </c>
      <c r="BT154" s="848">
        <f t="shared" si="96"/>
        <v>0</v>
      </c>
      <c r="BU154" s="848">
        <f t="shared" si="96"/>
        <v>0</v>
      </c>
      <c r="BV154" s="848">
        <f t="shared" si="95"/>
        <v>0</v>
      </c>
      <c r="BW154" s="848">
        <f t="shared" si="95"/>
        <v>0</v>
      </c>
      <c r="BX154" s="848">
        <f t="shared" si="95"/>
        <v>0</v>
      </c>
      <c r="BY154" s="848">
        <f t="shared" si="95"/>
        <v>0</v>
      </c>
      <c r="BZ154" s="848">
        <f t="shared" si="95"/>
        <v>0</v>
      </c>
      <c r="CA154" s="848">
        <f t="shared" si="95"/>
        <v>0</v>
      </c>
      <c r="CB154" s="848">
        <f t="shared" si="95"/>
        <v>0</v>
      </c>
      <c r="CC154" s="848">
        <f t="shared" si="95"/>
        <v>0</v>
      </c>
      <c r="CD154" s="848">
        <f t="shared" si="95"/>
        <v>0</v>
      </c>
      <c r="CE154" s="848">
        <f t="shared" si="95"/>
        <v>0</v>
      </c>
      <c r="CF154" s="848">
        <f t="shared" si="95"/>
        <v>0</v>
      </c>
      <c r="CG154" s="848">
        <f t="shared" si="95"/>
        <v>0</v>
      </c>
      <c r="CH154" s="848">
        <f t="shared" si="95"/>
        <v>0</v>
      </c>
      <c r="CI154" s="848">
        <f t="shared" si="95"/>
        <v>0</v>
      </c>
      <c r="CJ154" s="848">
        <f t="shared" si="95"/>
        <v>0</v>
      </c>
      <c r="CK154" s="848">
        <f t="shared" si="95"/>
        <v>0</v>
      </c>
      <c r="CL154" s="848">
        <f t="shared" si="95"/>
        <v>0</v>
      </c>
      <c r="CM154" s="848">
        <f t="shared" si="95"/>
        <v>0</v>
      </c>
      <c r="CN154" s="848">
        <f t="shared" si="95"/>
        <v>0</v>
      </c>
      <c r="CO154" s="848">
        <f t="shared" si="95"/>
        <v>0</v>
      </c>
      <c r="CP154" s="848">
        <f t="shared" si="95"/>
        <v>0</v>
      </c>
      <c r="CQ154" s="848">
        <f t="shared" si="95"/>
        <v>0</v>
      </c>
      <c r="CR154" s="848">
        <f t="shared" si="95"/>
        <v>0</v>
      </c>
      <c r="CS154" s="848">
        <f t="shared" si="95"/>
        <v>0</v>
      </c>
      <c r="CT154" s="848">
        <f t="shared" si="95"/>
        <v>0</v>
      </c>
      <c r="CU154" s="848">
        <f t="shared" si="95"/>
        <v>0</v>
      </c>
      <c r="CV154" s="848">
        <f t="shared" si="95"/>
        <v>0</v>
      </c>
      <c r="CW154" s="848">
        <f t="shared" si="95"/>
        <v>0</v>
      </c>
      <c r="CX154" s="848">
        <f t="shared" si="95"/>
        <v>0</v>
      </c>
      <c r="CY154" s="848">
        <f t="shared" si="95"/>
        <v>0</v>
      </c>
      <c r="CZ154" s="848">
        <f t="shared" si="95"/>
        <v>0</v>
      </c>
      <c r="DA154" s="848">
        <f t="shared" si="95"/>
        <v>0</v>
      </c>
      <c r="DB154" s="848">
        <f t="shared" ref="DB154:EL155" si="97">DB99</f>
        <v>0</v>
      </c>
      <c r="DC154" s="848">
        <f t="shared" si="97"/>
        <v>0</v>
      </c>
      <c r="DD154" s="848">
        <f t="shared" si="97"/>
        <v>0</v>
      </c>
      <c r="DE154" s="848">
        <f t="shared" si="97"/>
        <v>0</v>
      </c>
      <c r="DF154" s="848">
        <f t="shared" si="97"/>
        <v>0</v>
      </c>
      <c r="DG154" s="848">
        <f t="shared" si="97"/>
        <v>0</v>
      </c>
      <c r="DH154" s="848">
        <f t="shared" si="97"/>
        <v>0</v>
      </c>
      <c r="DI154" s="848">
        <f t="shared" si="97"/>
        <v>0</v>
      </c>
      <c r="DJ154" s="848">
        <f t="shared" si="97"/>
        <v>0</v>
      </c>
      <c r="DK154" s="848">
        <f t="shared" si="97"/>
        <v>0</v>
      </c>
      <c r="DL154" s="848">
        <f t="shared" si="97"/>
        <v>0</v>
      </c>
      <c r="DM154" s="848">
        <f t="shared" si="97"/>
        <v>0</v>
      </c>
      <c r="DN154" s="848">
        <f t="shared" si="97"/>
        <v>0</v>
      </c>
      <c r="DO154" s="848">
        <f t="shared" si="97"/>
        <v>0</v>
      </c>
      <c r="DP154" s="848">
        <f t="shared" si="97"/>
        <v>0</v>
      </c>
      <c r="DQ154" s="848">
        <f t="shared" si="97"/>
        <v>0</v>
      </c>
      <c r="DR154" s="848">
        <f t="shared" si="97"/>
        <v>0</v>
      </c>
      <c r="DS154" s="848">
        <f t="shared" si="97"/>
        <v>0</v>
      </c>
      <c r="DT154" s="848">
        <f t="shared" si="97"/>
        <v>0</v>
      </c>
      <c r="DU154" s="848">
        <f t="shared" si="97"/>
        <v>0</v>
      </c>
      <c r="DV154" s="848">
        <f t="shared" si="97"/>
        <v>0</v>
      </c>
      <c r="DW154" s="848">
        <f t="shared" si="97"/>
        <v>0</v>
      </c>
      <c r="DX154" s="848">
        <f t="shared" si="97"/>
        <v>0</v>
      </c>
      <c r="DY154" s="848">
        <f t="shared" si="97"/>
        <v>0</v>
      </c>
      <c r="DZ154" s="848">
        <f t="shared" si="97"/>
        <v>0</v>
      </c>
      <c r="EA154" s="848">
        <f t="shared" si="97"/>
        <v>0</v>
      </c>
      <c r="EB154" s="848">
        <f t="shared" si="97"/>
        <v>0</v>
      </c>
      <c r="EC154" s="848">
        <f t="shared" si="97"/>
        <v>0</v>
      </c>
      <c r="ED154" s="848">
        <f t="shared" si="97"/>
        <v>0</v>
      </c>
      <c r="EE154" s="848">
        <f t="shared" si="97"/>
        <v>0</v>
      </c>
      <c r="EF154" s="848">
        <f t="shared" si="97"/>
        <v>0</v>
      </c>
      <c r="EG154" s="848">
        <f t="shared" si="97"/>
        <v>0</v>
      </c>
      <c r="EH154" s="848">
        <f t="shared" si="97"/>
        <v>0</v>
      </c>
      <c r="EI154" s="848">
        <f t="shared" si="97"/>
        <v>0</v>
      </c>
      <c r="EJ154" s="848">
        <f t="shared" si="97"/>
        <v>0</v>
      </c>
      <c r="EK154" s="848">
        <f t="shared" si="97"/>
        <v>0</v>
      </c>
      <c r="EL154" s="848">
        <f t="shared" si="97"/>
        <v>0</v>
      </c>
    </row>
    <row r="155" spans="2:142" s="833" customFormat="1" ht="13.5">
      <c r="B155" s="1000"/>
      <c r="D155" s="881" t="str">
        <f t="shared" si="91"/>
        <v>잔여재산 분배</v>
      </c>
      <c r="E155" s="1001"/>
      <c r="F155" s="1008"/>
      <c r="G155" s="1001"/>
      <c r="H155" s="848">
        <f t="shared" si="87"/>
        <v>103018.30051007849</v>
      </c>
      <c r="J155" s="848">
        <f t="shared" si="96"/>
        <v>0</v>
      </c>
      <c r="K155" s="848">
        <f t="shared" si="96"/>
        <v>0</v>
      </c>
      <c r="L155" s="848">
        <f t="shared" si="96"/>
        <v>0</v>
      </c>
      <c r="M155" s="848">
        <f t="shared" si="96"/>
        <v>0</v>
      </c>
      <c r="N155" s="848">
        <f t="shared" si="96"/>
        <v>0</v>
      </c>
      <c r="O155" s="848">
        <f t="shared" si="96"/>
        <v>0</v>
      </c>
      <c r="P155" s="848">
        <f t="shared" si="96"/>
        <v>0</v>
      </c>
      <c r="Q155" s="848">
        <f t="shared" si="96"/>
        <v>0</v>
      </c>
      <c r="R155" s="848">
        <f t="shared" si="96"/>
        <v>0</v>
      </c>
      <c r="S155" s="848">
        <f t="shared" si="96"/>
        <v>0</v>
      </c>
      <c r="T155" s="848">
        <f t="shared" si="96"/>
        <v>0</v>
      </c>
      <c r="U155" s="848">
        <f t="shared" si="96"/>
        <v>0</v>
      </c>
      <c r="V155" s="848">
        <f t="shared" si="96"/>
        <v>0</v>
      </c>
      <c r="W155" s="848">
        <f t="shared" si="96"/>
        <v>0</v>
      </c>
      <c r="X155" s="848">
        <f t="shared" si="96"/>
        <v>0</v>
      </c>
      <c r="Y155" s="848">
        <f t="shared" si="96"/>
        <v>0</v>
      </c>
      <c r="Z155" s="848">
        <f t="shared" si="96"/>
        <v>0</v>
      </c>
      <c r="AA155" s="848">
        <f t="shared" si="96"/>
        <v>0</v>
      </c>
      <c r="AB155" s="848">
        <f t="shared" si="96"/>
        <v>0</v>
      </c>
      <c r="AC155" s="848">
        <f t="shared" si="96"/>
        <v>0</v>
      </c>
      <c r="AD155" s="848">
        <f t="shared" si="96"/>
        <v>0</v>
      </c>
      <c r="AE155" s="848">
        <f t="shared" si="96"/>
        <v>0</v>
      </c>
      <c r="AF155" s="848">
        <f t="shared" si="96"/>
        <v>0</v>
      </c>
      <c r="AG155" s="848">
        <f t="shared" si="96"/>
        <v>0</v>
      </c>
      <c r="AH155" s="848">
        <f t="shared" si="96"/>
        <v>0</v>
      </c>
      <c r="AI155" s="848">
        <f t="shared" si="96"/>
        <v>0</v>
      </c>
      <c r="AJ155" s="848">
        <f t="shared" si="96"/>
        <v>0</v>
      </c>
      <c r="AK155" s="848">
        <f t="shared" si="96"/>
        <v>0</v>
      </c>
      <c r="AL155" s="848">
        <f t="shared" si="96"/>
        <v>0</v>
      </c>
      <c r="AM155" s="848">
        <f t="shared" si="96"/>
        <v>0</v>
      </c>
      <c r="AN155" s="848">
        <f t="shared" si="96"/>
        <v>0</v>
      </c>
      <c r="AO155" s="848">
        <f t="shared" si="96"/>
        <v>0</v>
      </c>
      <c r="AP155" s="848">
        <f t="shared" si="96"/>
        <v>0</v>
      </c>
      <c r="AQ155" s="848">
        <f t="shared" si="96"/>
        <v>0</v>
      </c>
      <c r="AR155" s="848">
        <f t="shared" si="96"/>
        <v>0</v>
      </c>
      <c r="AS155" s="848">
        <f t="shared" si="96"/>
        <v>0</v>
      </c>
      <c r="AT155" s="848">
        <f t="shared" si="96"/>
        <v>0</v>
      </c>
      <c r="AU155" s="848">
        <f t="shared" si="96"/>
        <v>0</v>
      </c>
      <c r="AV155" s="848">
        <f t="shared" si="96"/>
        <v>0</v>
      </c>
      <c r="AW155" s="848">
        <f t="shared" si="96"/>
        <v>0</v>
      </c>
      <c r="AX155" s="848">
        <f t="shared" si="96"/>
        <v>0</v>
      </c>
      <c r="AY155" s="848">
        <f t="shared" si="96"/>
        <v>0</v>
      </c>
      <c r="AZ155" s="848">
        <f t="shared" si="96"/>
        <v>0</v>
      </c>
      <c r="BA155" s="848">
        <f t="shared" si="96"/>
        <v>0</v>
      </c>
      <c r="BB155" s="848">
        <f t="shared" si="96"/>
        <v>0</v>
      </c>
      <c r="BC155" s="848">
        <f t="shared" si="96"/>
        <v>0</v>
      </c>
      <c r="BD155" s="848">
        <f t="shared" si="96"/>
        <v>0</v>
      </c>
      <c r="BE155" s="848">
        <f t="shared" si="96"/>
        <v>0</v>
      </c>
      <c r="BF155" s="848">
        <f t="shared" si="96"/>
        <v>0</v>
      </c>
      <c r="BG155" s="848">
        <f t="shared" si="96"/>
        <v>0</v>
      </c>
      <c r="BH155" s="848">
        <f t="shared" si="96"/>
        <v>0</v>
      </c>
      <c r="BI155" s="848">
        <f t="shared" si="96"/>
        <v>0</v>
      </c>
      <c r="BJ155" s="848">
        <f t="shared" si="96"/>
        <v>0</v>
      </c>
      <c r="BK155" s="848">
        <f t="shared" si="96"/>
        <v>0</v>
      </c>
      <c r="BL155" s="848">
        <f t="shared" si="96"/>
        <v>0</v>
      </c>
      <c r="BM155" s="848">
        <f t="shared" si="96"/>
        <v>0</v>
      </c>
      <c r="BN155" s="848">
        <f t="shared" si="96"/>
        <v>0</v>
      </c>
      <c r="BO155" s="848">
        <f t="shared" si="96"/>
        <v>0</v>
      </c>
      <c r="BP155" s="848">
        <f t="shared" si="96"/>
        <v>0</v>
      </c>
      <c r="BQ155" s="848">
        <f t="shared" si="96"/>
        <v>0</v>
      </c>
      <c r="BR155" s="848">
        <f t="shared" si="96"/>
        <v>0</v>
      </c>
      <c r="BS155" s="848">
        <f t="shared" si="96"/>
        <v>0</v>
      </c>
      <c r="BT155" s="848">
        <f t="shared" si="96"/>
        <v>0</v>
      </c>
      <c r="BU155" s="848">
        <f t="shared" si="96"/>
        <v>0</v>
      </c>
      <c r="BV155" s="848">
        <f>BV100</f>
        <v>0</v>
      </c>
      <c r="BW155" s="848">
        <f t="shared" si="95"/>
        <v>0</v>
      </c>
      <c r="BX155" s="848">
        <f t="shared" si="95"/>
        <v>0</v>
      </c>
      <c r="BY155" s="848">
        <f t="shared" si="95"/>
        <v>0</v>
      </c>
      <c r="BZ155" s="848">
        <f t="shared" si="95"/>
        <v>0</v>
      </c>
      <c r="CA155" s="848">
        <f t="shared" si="95"/>
        <v>0</v>
      </c>
      <c r="CB155" s="848">
        <f t="shared" si="95"/>
        <v>0</v>
      </c>
      <c r="CC155" s="848">
        <f t="shared" si="95"/>
        <v>0</v>
      </c>
      <c r="CD155" s="848">
        <f t="shared" si="95"/>
        <v>0</v>
      </c>
      <c r="CE155" s="848">
        <f t="shared" si="95"/>
        <v>0</v>
      </c>
      <c r="CF155" s="848">
        <f t="shared" si="95"/>
        <v>0</v>
      </c>
      <c r="CG155" s="848">
        <f t="shared" si="95"/>
        <v>0</v>
      </c>
      <c r="CH155" s="848">
        <f t="shared" si="95"/>
        <v>0</v>
      </c>
      <c r="CI155" s="848">
        <f t="shared" si="95"/>
        <v>0</v>
      </c>
      <c r="CJ155" s="848">
        <f t="shared" si="95"/>
        <v>0</v>
      </c>
      <c r="CK155" s="848">
        <f t="shared" si="95"/>
        <v>0</v>
      </c>
      <c r="CL155" s="848">
        <f t="shared" si="95"/>
        <v>0</v>
      </c>
      <c r="CM155" s="848">
        <f t="shared" si="95"/>
        <v>0</v>
      </c>
      <c r="CN155" s="848">
        <f t="shared" si="95"/>
        <v>0</v>
      </c>
      <c r="CO155" s="848">
        <f t="shared" si="95"/>
        <v>0</v>
      </c>
      <c r="CP155" s="848">
        <f t="shared" si="95"/>
        <v>0</v>
      </c>
      <c r="CQ155" s="848">
        <f t="shared" si="95"/>
        <v>0</v>
      </c>
      <c r="CR155" s="848">
        <f t="shared" si="95"/>
        <v>0</v>
      </c>
      <c r="CS155" s="848">
        <f t="shared" si="95"/>
        <v>0</v>
      </c>
      <c r="CT155" s="848">
        <f t="shared" si="95"/>
        <v>0</v>
      </c>
      <c r="CU155" s="848">
        <f t="shared" si="95"/>
        <v>0</v>
      </c>
      <c r="CV155" s="848">
        <f t="shared" si="95"/>
        <v>0</v>
      </c>
      <c r="CW155" s="848">
        <f t="shared" si="95"/>
        <v>0</v>
      </c>
      <c r="CX155" s="848">
        <f t="shared" si="95"/>
        <v>0</v>
      </c>
      <c r="CY155" s="848">
        <f t="shared" si="95"/>
        <v>0</v>
      </c>
      <c r="CZ155" s="848">
        <f t="shared" si="95"/>
        <v>0</v>
      </c>
      <c r="DA155" s="848">
        <f t="shared" si="95"/>
        <v>0</v>
      </c>
      <c r="DB155" s="848">
        <f t="shared" si="97"/>
        <v>0</v>
      </c>
      <c r="DC155" s="848">
        <f t="shared" si="97"/>
        <v>0</v>
      </c>
      <c r="DD155" s="848">
        <f t="shared" si="97"/>
        <v>0</v>
      </c>
      <c r="DE155" s="848">
        <f t="shared" si="97"/>
        <v>0</v>
      </c>
      <c r="DF155" s="848">
        <f t="shared" si="97"/>
        <v>0</v>
      </c>
      <c r="DG155" s="848">
        <f t="shared" si="97"/>
        <v>0</v>
      </c>
      <c r="DH155" s="848">
        <f t="shared" si="97"/>
        <v>0</v>
      </c>
      <c r="DI155" s="848">
        <f t="shared" si="97"/>
        <v>0</v>
      </c>
      <c r="DJ155" s="848">
        <f t="shared" si="97"/>
        <v>0</v>
      </c>
      <c r="DK155" s="848">
        <f t="shared" si="97"/>
        <v>0</v>
      </c>
      <c r="DL155" s="848">
        <f t="shared" si="97"/>
        <v>0</v>
      </c>
      <c r="DM155" s="848">
        <f t="shared" si="97"/>
        <v>0</v>
      </c>
      <c r="DN155" s="848">
        <f t="shared" si="97"/>
        <v>0</v>
      </c>
      <c r="DO155" s="848">
        <f t="shared" si="97"/>
        <v>0</v>
      </c>
      <c r="DP155" s="848">
        <f t="shared" si="97"/>
        <v>0</v>
      </c>
      <c r="DQ155" s="848">
        <f t="shared" si="97"/>
        <v>0</v>
      </c>
      <c r="DR155" s="848">
        <f t="shared" si="97"/>
        <v>0</v>
      </c>
      <c r="DS155" s="848">
        <f t="shared" si="97"/>
        <v>0</v>
      </c>
      <c r="DT155" s="848">
        <f t="shared" si="97"/>
        <v>0</v>
      </c>
      <c r="DU155" s="848">
        <f t="shared" si="97"/>
        <v>0</v>
      </c>
      <c r="DV155" s="848">
        <f t="shared" si="97"/>
        <v>0</v>
      </c>
      <c r="DW155" s="848">
        <f t="shared" si="97"/>
        <v>0</v>
      </c>
      <c r="DX155" s="848">
        <f t="shared" si="97"/>
        <v>0</v>
      </c>
      <c r="DY155" s="848">
        <f t="shared" si="97"/>
        <v>0</v>
      </c>
      <c r="DZ155" s="848">
        <f t="shared" si="97"/>
        <v>103018.30051007849</v>
      </c>
      <c r="EA155" s="848">
        <f t="shared" si="97"/>
        <v>0</v>
      </c>
      <c r="EB155" s="848">
        <f t="shared" si="97"/>
        <v>0</v>
      </c>
      <c r="EC155" s="848">
        <f t="shared" si="97"/>
        <v>0</v>
      </c>
      <c r="ED155" s="848">
        <f t="shared" si="97"/>
        <v>0</v>
      </c>
      <c r="EE155" s="848">
        <f t="shared" si="97"/>
        <v>0</v>
      </c>
      <c r="EF155" s="848">
        <f t="shared" si="97"/>
        <v>0</v>
      </c>
      <c r="EG155" s="848">
        <f t="shared" si="97"/>
        <v>0</v>
      </c>
      <c r="EH155" s="848">
        <f t="shared" si="97"/>
        <v>0</v>
      </c>
      <c r="EI155" s="848">
        <f t="shared" si="97"/>
        <v>0</v>
      </c>
      <c r="EJ155" s="848">
        <f t="shared" si="97"/>
        <v>0</v>
      </c>
      <c r="EK155" s="848">
        <f t="shared" si="97"/>
        <v>0</v>
      </c>
      <c r="EL155" s="848">
        <f t="shared" si="97"/>
        <v>0</v>
      </c>
    </row>
    <row r="156" spans="2:142" s="833" customFormat="1" ht="13.5">
      <c r="B156" s="1000"/>
      <c r="D156" s="1001" t="s">
        <v>969</v>
      </c>
      <c r="E156" s="1001"/>
      <c r="F156" s="1008"/>
      <c r="G156" s="1001"/>
      <c r="H156" s="848">
        <f t="shared" si="87"/>
        <v>415625.76216279907</v>
      </c>
      <c r="J156" s="848">
        <f>SUM(J148:J155)</f>
        <v>-191800</v>
      </c>
      <c r="K156" s="848">
        <f>SUM(K148:K155)</f>
        <v>0</v>
      </c>
      <c r="L156" s="848">
        <f>SUM(L148:L155)</f>
        <v>0</v>
      </c>
      <c r="M156" s="848">
        <f t="shared" ref="M156:BX156" si="98">SUM(M148:M155)</f>
        <v>0</v>
      </c>
      <c r="N156" s="848">
        <f t="shared" si="98"/>
        <v>0</v>
      </c>
      <c r="O156" s="848">
        <f t="shared" si="98"/>
        <v>0</v>
      </c>
      <c r="P156" s="848">
        <f t="shared" si="98"/>
        <v>0</v>
      </c>
      <c r="Q156" s="848">
        <f t="shared" si="98"/>
        <v>-82697.319451999996</v>
      </c>
      <c r="R156" s="848">
        <f t="shared" si="98"/>
        <v>0</v>
      </c>
      <c r="S156" s="848">
        <f t="shared" si="98"/>
        <v>0</v>
      </c>
      <c r="T156" s="848">
        <f t="shared" si="98"/>
        <v>0</v>
      </c>
      <c r="U156" s="848">
        <f t="shared" si="98"/>
        <v>0</v>
      </c>
      <c r="V156" s="848">
        <f t="shared" si="98"/>
        <v>0</v>
      </c>
      <c r="W156" s="848">
        <f t="shared" si="98"/>
        <v>6219.1806189999998</v>
      </c>
      <c r="X156" s="848">
        <f t="shared" si="98"/>
        <v>0</v>
      </c>
      <c r="Y156" s="848">
        <f t="shared" si="98"/>
        <v>0</v>
      </c>
      <c r="Z156" s="848">
        <f t="shared" si="98"/>
        <v>0</v>
      </c>
      <c r="AA156" s="848">
        <f t="shared" si="98"/>
        <v>0</v>
      </c>
      <c r="AB156" s="848">
        <f t="shared" si="98"/>
        <v>0</v>
      </c>
      <c r="AC156" s="848">
        <f t="shared" si="98"/>
        <v>7466.2662870000004</v>
      </c>
      <c r="AD156" s="848">
        <f t="shared" si="98"/>
        <v>0</v>
      </c>
      <c r="AE156" s="848">
        <f t="shared" si="98"/>
        <v>0</v>
      </c>
      <c r="AF156" s="848">
        <f t="shared" si="98"/>
        <v>0</v>
      </c>
      <c r="AG156" s="848">
        <f t="shared" si="98"/>
        <v>0</v>
      </c>
      <c r="AH156" s="848">
        <f t="shared" si="98"/>
        <v>0</v>
      </c>
      <c r="AI156" s="848">
        <f t="shared" si="98"/>
        <v>7344.5336880000004</v>
      </c>
      <c r="AJ156" s="848">
        <f t="shared" si="98"/>
        <v>0</v>
      </c>
      <c r="AK156" s="848">
        <f t="shared" si="98"/>
        <v>0</v>
      </c>
      <c r="AL156" s="848">
        <f t="shared" si="98"/>
        <v>0</v>
      </c>
      <c r="AM156" s="848">
        <f t="shared" si="98"/>
        <v>0</v>
      </c>
      <c r="AN156" s="848">
        <f t="shared" si="98"/>
        <v>0</v>
      </c>
      <c r="AO156" s="848">
        <f t="shared" si="98"/>
        <v>7466.2662870000004</v>
      </c>
      <c r="AP156" s="848">
        <f t="shared" si="98"/>
        <v>0</v>
      </c>
      <c r="AQ156" s="848">
        <f t="shared" si="98"/>
        <v>0</v>
      </c>
      <c r="AR156" s="848">
        <f t="shared" si="98"/>
        <v>0</v>
      </c>
      <c r="AS156" s="848">
        <f t="shared" si="98"/>
        <v>0</v>
      </c>
      <c r="AT156" s="848">
        <f t="shared" si="98"/>
        <v>0</v>
      </c>
      <c r="AU156" s="848">
        <f t="shared" si="98"/>
        <v>4860</v>
      </c>
      <c r="AV156" s="848">
        <f t="shared" si="98"/>
        <v>0</v>
      </c>
      <c r="AW156" s="848">
        <f t="shared" si="98"/>
        <v>0</v>
      </c>
      <c r="AX156" s="848">
        <f t="shared" si="98"/>
        <v>0</v>
      </c>
      <c r="AY156" s="848">
        <f t="shared" si="98"/>
        <v>0</v>
      </c>
      <c r="AZ156" s="848">
        <f t="shared" si="98"/>
        <v>0</v>
      </c>
      <c r="BA156" s="848">
        <f t="shared" si="98"/>
        <v>4860.0000000000018</v>
      </c>
      <c r="BB156" s="848">
        <f t="shared" si="98"/>
        <v>0</v>
      </c>
      <c r="BC156" s="848">
        <f t="shared" si="98"/>
        <v>0</v>
      </c>
      <c r="BD156" s="848">
        <f t="shared" si="98"/>
        <v>0</v>
      </c>
      <c r="BE156" s="848">
        <f t="shared" si="98"/>
        <v>0</v>
      </c>
      <c r="BF156" s="848">
        <f t="shared" si="98"/>
        <v>0</v>
      </c>
      <c r="BG156" s="848">
        <f t="shared" si="98"/>
        <v>4860.0000000000018</v>
      </c>
      <c r="BH156" s="848">
        <f t="shared" si="98"/>
        <v>0</v>
      </c>
      <c r="BI156" s="848">
        <f t="shared" si="98"/>
        <v>0</v>
      </c>
      <c r="BJ156" s="848">
        <f t="shared" si="98"/>
        <v>0</v>
      </c>
      <c r="BK156" s="848">
        <f t="shared" si="98"/>
        <v>0</v>
      </c>
      <c r="BL156" s="848">
        <f t="shared" si="98"/>
        <v>0</v>
      </c>
      <c r="BM156" s="848">
        <f t="shared" si="98"/>
        <v>4860.0000000000009</v>
      </c>
      <c r="BN156" s="848">
        <f t="shared" si="98"/>
        <v>0</v>
      </c>
      <c r="BO156" s="848">
        <f t="shared" si="98"/>
        <v>0</v>
      </c>
      <c r="BP156" s="848">
        <f t="shared" si="98"/>
        <v>0</v>
      </c>
      <c r="BQ156" s="848">
        <f t="shared" si="98"/>
        <v>0</v>
      </c>
      <c r="BR156" s="848">
        <f t="shared" si="98"/>
        <v>0</v>
      </c>
      <c r="BS156" s="848">
        <f t="shared" si="98"/>
        <v>4860.0000000000009</v>
      </c>
      <c r="BT156" s="848">
        <f t="shared" si="98"/>
        <v>0</v>
      </c>
      <c r="BU156" s="848">
        <f t="shared" si="98"/>
        <v>0</v>
      </c>
      <c r="BV156" s="848">
        <f t="shared" si="98"/>
        <v>0</v>
      </c>
      <c r="BW156" s="848">
        <f t="shared" si="98"/>
        <v>0</v>
      </c>
      <c r="BX156" s="848">
        <f t="shared" si="98"/>
        <v>0</v>
      </c>
      <c r="BY156" s="848">
        <f t="shared" ref="BY156:EJ156" si="99">SUM(BY148:BY155)</f>
        <v>5943</v>
      </c>
      <c r="BZ156" s="848">
        <f t="shared" si="99"/>
        <v>0</v>
      </c>
      <c r="CA156" s="848">
        <f t="shared" si="99"/>
        <v>0</v>
      </c>
      <c r="CB156" s="848">
        <f t="shared" si="99"/>
        <v>0</v>
      </c>
      <c r="CC156" s="848">
        <f t="shared" si="99"/>
        <v>0</v>
      </c>
      <c r="CD156" s="848">
        <f t="shared" si="99"/>
        <v>0</v>
      </c>
      <c r="CE156" s="848">
        <f t="shared" si="99"/>
        <v>5942.9999999999973</v>
      </c>
      <c r="CF156" s="848">
        <f t="shared" si="99"/>
        <v>0</v>
      </c>
      <c r="CG156" s="848">
        <f t="shared" si="99"/>
        <v>0</v>
      </c>
      <c r="CH156" s="848">
        <f t="shared" si="99"/>
        <v>0</v>
      </c>
      <c r="CI156" s="848">
        <f t="shared" si="99"/>
        <v>0</v>
      </c>
      <c r="CJ156" s="848">
        <f t="shared" si="99"/>
        <v>0</v>
      </c>
      <c r="CK156" s="848">
        <f t="shared" si="99"/>
        <v>6100.8872171842295</v>
      </c>
      <c r="CL156" s="848">
        <f t="shared" si="99"/>
        <v>0</v>
      </c>
      <c r="CM156" s="848">
        <f t="shared" si="99"/>
        <v>0</v>
      </c>
      <c r="CN156" s="848">
        <f t="shared" si="99"/>
        <v>0</v>
      </c>
      <c r="CO156" s="848">
        <f t="shared" si="99"/>
        <v>0</v>
      </c>
      <c r="CP156" s="848">
        <f t="shared" si="99"/>
        <v>0</v>
      </c>
      <c r="CQ156" s="848">
        <f t="shared" si="99"/>
        <v>5942.9999999999991</v>
      </c>
      <c r="CR156" s="848">
        <f t="shared" si="99"/>
        <v>0</v>
      </c>
      <c r="CS156" s="848">
        <f t="shared" si="99"/>
        <v>0</v>
      </c>
      <c r="CT156" s="848">
        <f t="shared" si="99"/>
        <v>0</v>
      </c>
      <c r="CU156" s="848">
        <f t="shared" si="99"/>
        <v>0</v>
      </c>
      <c r="CV156" s="848">
        <f t="shared" si="99"/>
        <v>0</v>
      </c>
      <c r="CW156" s="848">
        <f t="shared" si="99"/>
        <v>5943.0000000000018</v>
      </c>
      <c r="CX156" s="848">
        <f t="shared" si="99"/>
        <v>0</v>
      </c>
      <c r="CY156" s="848">
        <f t="shared" si="99"/>
        <v>0</v>
      </c>
      <c r="CZ156" s="848">
        <f t="shared" si="99"/>
        <v>0</v>
      </c>
      <c r="DA156" s="848">
        <f t="shared" si="99"/>
        <v>0</v>
      </c>
      <c r="DB156" s="848">
        <f t="shared" si="99"/>
        <v>0</v>
      </c>
      <c r="DC156" s="848">
        <f t="shared" si="99"/>
        <v>8059.4802109788398</v>
      </c>
      <c r="DD156" s="848">
        <f t="shared" si="99"/>
        <v>0</v>
      </c>
      <c r="DE156" s="848">
        <f t="shared" si="99"/>
        <v>0</v>
      </c>
      <c r="DF156" s="848">
        <f t="shared" si="99"/>
        <v>0</v>
      </c>
      <c r="DG156" s="848">
        <f t="shared" si="99"/>
        <v>0</v>
      </c>
      <c r="DH156" s="848">
        <f t="shared" si="99"/>
        <v>0</v>
      </c>
      <c r="DI156" s="848">
        <f t="shared" si="99"/>
        <v>9744.8104223767514</v>
      </c>
      <c r="DJ156" s="848">
        <f t="shared" si="99"/>
        <v>0</v>
      </c>
      <c r="DK156" s="848">
        <f t="shared" si="99"/>
        <v>0</v>
      </c>
      <c r="DL156" s="848">
        <f t="shared" si="99"/>
        <v>0</v>
      </c>
      <c r="DM156" s="848">
        <f t="shared" si="99"/>
        <v>0</v>
      </c>
      <c r="DN156" s="848">
        <f t="shared" si="99"/>
        <v>0</v>
      </c>
      <c r="DO156" s="848">
        <f t="shared" si="99"/>
        <v>8546.9776538911428</v>
      </c>
      <c r="DP156" s="848">
        <f t="shared" si="99"/>
        <v>0</v>
      </c>
      <c r="DQ156" s="848">
        <f t="shared" si="99"/>
        <v>0</v>
      </c>
      <c r="DR156" s="848">
        <f t="shared" si="99"/>
        <v>0</v>
      </c>
      <c r="DS156" s="848">
        <f t="shared" si="99"/>
        <v>0</v>
      </c>
      <c r="DT156" s="848">
        <f t="shared" si="99"/>
        <v>0</v>
      </c>
      <c r="DU156" s="848">
        <f t="shared" si="99"/>
        <v>10258.353380260731</v>
      </c>
      <c r="DV156" s="848">
        <f t="shared" si="99"/>
        <v>0</v>
      </c>
      <c r="DW156" s="848">
        <f t="shared" si="99"/>
        <v>0</v>
      </c>
      <c r="DX156" s="848">
        <f t="shared" si="99"/>
        <v>0</v>
      </c>
      <c r="DY156" s="848">
        <f t="shared" si="99"/>
        <v>0</v>
      </c>
      <c r="DZ156" s="848">
        <f t="shared" si="99"/>
        <v>570844.32584910735</v>
      </c>
      <c r="EA156" s="848">
        <f t="shared" si="99"/>
        <v>0</v>
      </c>
      <c r="EB156" s="848">
        <f t="shared" si="99"/>
        <v>0</v>
      </c>
      <c r="EC156" s="848">
        <f t="shared" si="99"/>
        <v>0</v>
      </c>
      <c r="ED156" s="848">
        <f t="shared" si="99"/>
        <v>0</v>
      </c>
      <c r="EE156" s="848">
        <f t="shared" si="99"/>
        <v>0</v>
      </c>
      <c r="EF156" s="848">
        <f t="shared" si="99"/>
        <v>0</v>
      </c>
      <c r="EG156" s="848">
        <f t="shared" si="99"/>
        <v>0</v>
      </c>
      <c r="EH156" s="848">
        <f t="shared" si="99"/>
        <v>0</v>
      </c>
      <c r="EI156" s="848">
        <f t="shared" si="99"/>
        <v>0</v>
      </c>
      <c r="EJ156" s="848">
        <f t="shared" si="99"/>
        <v>0</v>
      </c>
      <c r="EK156" s="848">
        <f>SUM(EK148:EK155)</f>
        <v>0</v>
      </c>
      <c r="EL156" s="848">
        <f>SUM(EL148:EL155)</f>
        <v>0</v>
      </c>
    </row>
    <row r="157" spans="2:142" s="833" customFormat="1" ht="13.5">
      <c r="B157" s="1000"/>
      <c r="D157" s="1085" t="s">
        <v>2191</v>
      </c>
      <c r="E157" s="1085"/>
      <c r="F157" s="1086"/>
      <c r="G157" s="528">
        <v>0.15252787993374686</v>
      </c>
      <c r="H157" s="528">
        <f>(1+IRR(J156:EL156,1%))^12-1</f>
        <v>0.11021072020211187</v>
      </c>
      <c r="J157" s="848"/>
      <c r="K157" s="848"/>
      <c r="L157" s="848"/>
      <c r="M157" s="848"/>
      <c r="N157" s="848"/>
      <c r="O157" s="848"/>
      <c r="P157" s="848"/>
      <c r="Q157" s="848"/>
      <c r="R157" s="848"/>
      <c r="S157" s="848"/>
      <c r="T157" s="848"/>
      <c r="U157" s="848"/>
      <c r="V157" s="848"/>
      <c r="W157" s="848"/>
      <c r="X157" s="848"/>
      <c r="Y157" s="848"/>
      <c r="Z157" s="848"/>
      <c r="AA157" s="848"/>
      <c r="AB157" s="848"/>
      <c r="AC157" s="848"/>
      <c r="AD157" s="848"/>
      <c r="AE157" s="848"/>
      <c r="AF157" s="848"/>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c r="BU157" s="848"/>
      <c r="BV157" s="848"/>
      <c r="BW157" s="848"/>
      <c r="BX157" s="848"/>
      <c r="BY157" s="848"/>
      <c r="BZ157" s="848"/>
      <c r="CA157" s="848"/>
      <c r="CB157" s="848"/>
      <c r="CC157" s="848"/>
      <c r="CD157" s="848"/>
      <c r="CE157" s="848"/>
      <c r="CF157" s="848"/>
      <c r="CG157" s="848"/>
      <c r="CH157" s="848"/>
      <c r="CI157" s="848"/>
      <c r="CJ157" s="848"/>
      <c r="CK157" s="848"/>
      <c r="CL157" s="848"/>
      <c r="CM157" s="848"/>
      <c r="CN157" s="848"/>
      <c r="CO157" s="848"/>
      <c r="CP157" s="848"/>
      <c r="CQ157" s="848"/>
      <c r="CR157" s="848"/>
      <c r="CS157" s="848"/>
      <c r="CT157" s="848"/>
      <c r="CU157" s="848"/>
      <c r="CV157" s="848"/>
      <c r="CW157" s="848"/>
      <c r="CX157" s="848"/>
      <c r="CY157" s="848"/>
      <c r="CZ157" s="848"/>
      <c r="DA157" s="848"/>
      <c r="DB157" s="848"/>
      <c r="DC157" s="848"/>
      <c r="DD157" s="848"/>
      <c r="DE157" s="848"/>
      <c r="DF157" s="848"/>
      <c r="DG157" s="848"/>
      <c r="DH157" s="848"/>
      <c r="DI157" s="848"/>
      <c r="DJ157" s="848"/>
      <c r="DK157" s="848"/>
      <c r="DL157" s="848"/>
      <c r="DM157" s="848"/>
      <c r="DN157" s="848"/>
      <c r="DO157" s="848"/>
      <c r="DP157" s="848"/>
      <c r="DQ157" s="848"/>
      <c r="DR157" s="848"/>
      <c r="DS157" s="848"/>
      <c r="DT157" s="848"/>
      <c r="DU157" s="848"/>
      <c r="DV157" s="848"/>
      <c r="DW157" s="848"/>
      <c r="DX157" s="848"/>
      <c r="DY157" s="848"/>
      <c r="DZ157" s="848"/>
      <c r="EA157" s="848"/>
      <c r="EB157" s="848"/>
      <c r="EC157" s="848"/>
      <c r="ED157" s="848"/>
      <c r="EE157" s="848"/>
      <c r="EF157" s="848"/>
      <c r="EG157" s="848"/>
      <c r="EH157" s="848"/>
      <c r="EI157" s="848"/>
      <c r="EJ157" s="848"/>
      <c r="EK157" s="848"/>
      <c r="EL157" s="848"/>
    </row>
    <row r="158" spans="2:142" s="833" customFormat="1">
      <c r="B158" s="1000"/>
      <c r="D158" s="1001"/>
      <c r="E158" s="1001"/>
      <c r="F158" s="1008"/>
      <c r="G158" s="529"/>
      <c r="H158" s="214"/>
      <c r="J158" s="848"/>
      <c r="K158" s="848"/>
      <c r="L158" s="848"/>
      <c r="M158" s="848"/>
      <c r="N158" s="848"/>
      <c r="O158" s="848"/>
      <c r="P158" s="848"/>
      <c r="Q158" s="848"/>
      <c r="R158" s="848"/>
      <c r="S158" s="848"/>
      <c r="T158" s="848"/>
      <c r="U158" s="848"/>
      <c r="V158" s="848"/>
      <c r="W158" s="848"/>
      <c r="X158" s="848"/>
      <c r="Y158" s="848"/>
      <c r="Z158" s="848"/>
      <c r="AA158" s="848"/>
      <c r="AB158" s="848"/>
      <c r="AC158" s="848"/>
      <c r="AD158" s="848"/>
      <c r="AE158" s="848"/>
      <c r="AF158" s="848"/>
      <c r="AG158" s="848"/>
      <c r="AH158" s="848"/>
      <c r="AI158" s="848"/>
      <c r="AJ158" s="848"/>
      <c r="AK158" s="848"/>
      <c r="AL158" s="848"/>
      <c r="AM158" s="848"/>
      <c r="AN158" s="848"/>
      <c r="AO158" s="848"/>
      <c r="AP158" s="848"/>
      <c r="AQ158" s="848"/>
      <c r="AR158" s="848"/>
      <c r="AS158" s="848"/>
      <c r="AT158" s="848"/>
      <c r="AU158" s="848"/>
      <c r="AV158" s="848"/>
      <c r="AW158" s="848"/>
      <c r="AX158" s="848"/>
      <c r="AY158" s="848"/>
      <c r="AZ158" s="848"/>
      <c r="BA158" s="848"/>
      <c r="BB158" s="848"/>
      <c r="BC158" s="848"/>
      <c r="BD158" s="848"/>
      <c r="BE158" s="848"/>
      <c r="BF158" s="848"/>
      <c r="BG158" s="848"/>
      <c r="BH158" s="848"/>
      <c r="BI158" s="848"/>
      <c r="BJ158" s="848"/>
      <c r="BK158" s="848"/>
      <c r="BL158" s="848"/>
      <c r="BM158" s="848"/>
      <c r="BN158" s="848"/>
      <c r="BO158" s="848"/>
      <c r="BP158" s="848"/>
      <c r="BQ158" s="848"/>
      <c r="BR158" s="848"/>
      <c r="BS158" s="848"/>
      <c r="BT158" s="848"/>
      <c r="BU158" s="848"/>
      <c r="BV158" s="848"/>
      <c r="BW158" s="848"/>
      <c r="BX158" s="848"/>
      <c r="BY158" s="848"/>
      <c r="BZ158" s="848"/>
      <c r="CA158" s="848"/>
      <c r="CB158" s="848"/>
      <c r="CC158" s="848"/>
      <c r="CD158" s="848"/>
      <c r="CE158" s="848"/>
      <c r="CF158" s="848"/>
      <c r="CG158" s="848"/>
      <c r="CH158" s="848"/>
      <c r="CI158" s="848"/>
      <c r="CJ158" s="848"/>
      <c r="CK158" s="848"/>
      <c r="CL158" s="848"/>
      <c r="CM158" s="848"/>
      <c r="CN158" s="848"/>
      <c r="CO158" s="848"/>
      <c r="CP158" s="848"/>
      <c r="CQ158" s="848"/>
      <c r="CR158" s="848"/>
      <c r="CS158" s="848"/>
      <c r="CT158" s="848"/>
      <c r="CU158" s="848"/>
      <c r="CV158" s="848"/>
      <c r="CW158" s="848"/>
      <c r="CX158" s="848"/>
      <c r="CY158" s="848"/>
      <c r="CZ158" s="848"/>
      <c r="DA158" s="848"/>
      <c r="DB158" s="848"/>
      <c r="DC158" s="848"/>
      <c r="DD158" s="848"/>
      <c r="DE158" s="848"/>
      <c r="DF158" s="848"/>
      <c r="DG158" s="848"/>
      <c r="DH158" s="848"/>
      <c r="DI158" s="848"/>
      <c r="DJ158" s="848"/>
      <c r="DK158" s="848"/>
      <c r="DL158" s="848"/>
      <c r="DM158" s="848"/>
      <c r="DN158" s="848"/>
      <c r="DO158" s="848"/>
      <c r="DP158" s="848"/>
      <c r="DQ158" s="848"/>
      <c r="DR158" s="848"/>
      <c r="DS158" s="848"/>
      <c r="DT158" s="848"/>
      <c r="DU158" s="848"/>
      <c r="DV158" s="848"/>
      <c r="DW158" s="848"/>
      <c r="DX158" s="848"/>
      <c r="DY158" s="848"/>
      <c r="DZ158" s="848"/>
      <c r="EA158" s="848"/>
      <c r="EB158" s="848"/>
      <c r="EC158" s="848"/>
      <c r="ED158" s="848"/>
      <c r="EE158" s="848"/>
      <c r="EF158" s="848"/>
      <c r="EG158" s="848"/>
      <c r="EH158" s="848"/>
      <c r="EI158" s="848"/>
      <c r="EJ158" s="848"/>
      <c r="EK158" s="848"/>
      <c r="EL158" s="848"/>
    </row>
    <row r="159" spans="2:142" s="833" customFormat="1" ht="13.5">
      <c r="B159" s="1000"/>
      <c r="D159" s="881" t="s">
        <v>971</v>
      </c>
      <c r="E159" s="1001"/>
      <c r="F159" s="1008"/>
      <c r="G159" s="917"/>
      <c r="H159" s="848">
        <f>SUM(J159:EL159)</f>
        <v>280486.24494013569</v>
      </c>
      <c r="J159" s="848">
        <f t="shared" ref="J159:BU160" si="100">SUM(J182,J204,J224)</f>
        <v>0</v>
      </c>
      <c r="K159" s="848">
        <f t="shared" si="100"/>
        <v>0</v>
      </c>
      <c r="L159" s="848">
        <f t="shared" si="100"/>
        <v>0</v>
      </c>
      <c r="M159" s="848">
        <f t="shared" si="100"/>
        <v>0</v>
      </c>
      <c r="N159" s="848">
        <f t="shared" si="100"/>
        <v>0</v>
      </c>
      <c r="O159" s="848">
        <f t="shared" si="100"/>
        <v>0</v>
      </c>
      <c r="P159" s="848">
        <f t="shared" si="100"/>
        <v>0</v>
      </c>
      <c r="Q159" s="848">
        <f t="shared" si="100"/>
        <v>0</v>
      </c>
      <c r="R159" s="848">
        <f t="shared" si="100"/>
        <v>0</v>
      </c>
      <c r="S159" s="848">
        <f t="shared" si="100"/>
        <v>0</v>
      </c>
      <c r="T159" s="848">
        <f t="shared" si="100"/>
        <v>0</v>
      </c>
      <c r="U159" s="848">
        <f t="shared" si="100"/>
        <v>0</v>
      </c>
      <c r="V159" s="848">
        <f t="shared" si="100"/>
        <v>0</v>
      </c>
      <c r="W159" s="848">
        <f t="shared" si="100"/>
        <v>0</v>
      </c>
      <c r="X159" s="848">
        <f t="shared" si="100"/>
        <v>0</v>
      </c>
      <c r="Y159" s="848">
        <f t="shared" si="100"/>
        <v>0</v>
      </c>
      <c r="Z159" s="848">
        <f t="shared" si="100"/>
        <v>0</v>
      </c>
      <c r="AA159" s="848">
        <f t="shared" si="100"/>
        <v>0</v>
      </c>
      <c r="AB159" s="848">
        <f t="shared" si="100"/>
        <v>0</v>
      </c>
      <c r="AC159" s="848">
        <f t="shared" si="100"/>
        <v>0</v>
      </c>
      <c r="AD159" s="848">
        <f t="shared" si="100"/>
        <v>0</v>
      </c>
      <c r="AE159" s="848">
        <f t="shared" si="100"/>
        <v>0</v>
      </c>
      <c r="AF159" s="848">
        <f t="shared" si="100"/>
        <v>0</v>
      </c>
      <c r="AG159" s="848">
        <f t="shared" si="100"/>
        <v>0</v>
      </c>
      <c r="AH159" s="848">
        <f t="shared" si="100"/>
        <v>0</v>
      </c>
      <c r="AI159" s="848">
        <f t="shared" si="100"/>
        <v>0</v>
      </c>
      <c r="AJ159" s="848">
        <f t="shared" si="100"/>
        <v>0</v>
      </c>
      <c r="AK159" s="848">
        <f t="shared" si="100"/>
        <v>0</v>
      </c>
      <c r="AL159" s="848">
        <f t="shared" si="100"/>
        <v>0</v>
      </c>
      <c r="AM159" s="848">
        <f t="shared" si="100"/>
        <v>0</v>
      </c>
      <c r="AN159" s="848">
        <f t="shared" si="100"/>
        <v>0</v>
      </c>
      <c r="AO159" s="848">
        <f t="shared" si="100"/>
        <v>0</v>
      </c>
      <c r="AP159" s="848">
        <f t="shared" si="100"/>
        <v>0</v>
      </c>
      <c r="AQ159" s="848">
        <f t="shared" si="100"/>
        <v>0</v>
      </c>
      <c r="AR159" s="848">
        <f t="shared" si="100"/>
        <v>0</v>
      </c>
      <c r="AS159" s="848">
        <f t="shared" si="100"/>
        <v>0</v>
      </c>
      <c r="AT159" s="848">
        <f t="shared" si="100"/>
        <v>0</v>
      </c>
      <c r="AU159" s="848">
        <f t="shared" si="100"/>
        <v>0</v>
      </c>
      <c r="AV159" s="848">
        <f t="shared" si="100"/>
        <v>0</v>
      </c>
      <c r="AW159" s="848">
        <f t="shared" si="100"/>
        <v>0</v>
      </c>
      <c r="AX159" s="848">
        <f t="shared" si="100"/>
        <v>0</v>
      </c>
      <c r="AY159" s="848">
        <f t="shared" si="100"/>
        <v>0</v>
      </c>
      <c r="AZ159" s="848">
        <f t="shared" si="100"/>
        <v>0</v>
      </c>
      <c r="BA159" s="848">
        <f t="shared" si="100"/>
        <v>0</v>
      </c>
      <c r="BB159" s="848">
        <f t="shared" si="100"/>
        <v>0</v>
      </c>
      <c r="BC159" s="848">
        <f t="shared" si="100"/>
        <v>0</v>
      </c>
      <c r="BD159" s="848">
        <f t="shared" si="100"/>
        <v>0</v>
      </c>
      <c r="BE159" s="848">
        <f t="shared" si="100"/>
        <v>0</v>
      </c>
      <c r="BF159" s="848">
        <f t="shared" si="100"/>
        <v>0</v>
      </c>
      <c r="BG159" s="848">
        <f t="shared" si="100"/>
        <v>0</v>
      </c>
      <c r="BH159" s="848">
        <f t="shared" si="100"/>
        <v>0</v>
      </c>
      <c r="BI159" s="848">
        <f t="shared" si="100"/>
        <v>0</v>
      </c>
      <c r="BJ159" s="848">
        <f t="shared" si="100"/>
        <v>0</v>
      </c>
      <c r="BK159" s="848">
        <f t="shared" si="100"/>
        <v>0</v>
      </c>
      <c r="BL159" s="848">
        <f t="shared" si="100"/>
        <v>0</v>
      </c>
      <c r="BM159" s="848">
        <f t="shared" si="100"/>
        <v>0</v>
      </c>
      <c r="BN159" s="848">
        <f t="shared" si="100"/>
        <v>0</v>
      </c>
      <c r="BO159" s="848">
        <f t="shared" si="100"/>
        <v>0</v>
      </c>
      <c r="BP159" s="848">
        <f t="shared" si="100"/>
        <v>0</v>
      </c>
      <c r="BQ159" s="848">
        <f t="shared" si="100"/>
        <v>0</v>
      </c>
      <c r="BR159" s="848">
        <f t="shared" si="100"/>
        <v>0</v>
      </c>
      <c r="BS159" s="848">
        <f t="shared" si="100"/>
        <v>0</v>
      </c>
      <c r="BT159" s="848">
        <f t="shared" si="100"/>
        <v>0</v>
      </c>
      <c r="BU159" s="848">
        <f t="shared" si="100"/>
        <v>0</v>
      </c>
      <c r="BV159" s="848">
        <f t="shared" ref="BV159:EG160" si="101">SUM(BV182,BV204,BV224)</f>
        <v>0</v>
      </c>
      <c r="BW159" s="848">
        <f t="shared" si="101"/>
        <v>0</v>
      </c>
      <c r="BX159" s="848">
        <f t="shared" si="101"/>
        <v>0</v>
      </c>
      <c r="BY159" s="848">
        <f t="shared" si="101"/>
        <v>0</v>
      </c>
      <c r="BZ159" s="848">
        <f t="shared" si="101"/>
        <v>0</v>
      </c>
      <c r="CA159" s="848">
        <f t="shared" si="101"/>
        <v>0</v>
      </c>
      <c r="CB159" s="848">
        <f t="shared" si="101"/>
        <v>0</v>
      </c>
      <c r="CC159" s="848">
        <f t="shared" si="101"/>
        <v>0</v>
      </c>
      <c r="CD159" s="848">
        <f t="shared" si="101"/>
        <v>0</v>
      </c>
      <c r="CE159" s="848">
        <f t="shared" si="101"/>
        <v>0</v>
      </c>
      <c r="CF159" s="848">
        <f t="shared" si="101"/>
        <v>0</v>
      </c>
      <c r="CG159" s="848">
        <f t="shared" si="101"/>
        <v>0</v>
      </c>
      <c r="CH159" s="848">
        <f t="shared" si="101"/>
        <v>0</v>
      </c>
      <c r="CI159" s="848">
        <f t="shared" si="101"/>
        <v>0</v>
      </c>
      <c r="CJ159" s="848">
        <f t="shared" si="101"/>
        <v>0</v>
      </c>
      <c r="CK159" s="848">
        <f t="shared" si="101"/>
        <v>0</v>
      </c>
      <c r="CL159" s="848">
        <f t="shared" si="101"/>
        <v>0</v>
      </c>
      <c r="CM159" s="848">
        <f t="shared" si="101"/>
        <v>0</v>
      </c>
      <c r="CN159" s="848">
        <f t="shared" si="101"/>
        <v>0</v>
      </c>
      <c r="CO159" s="848">
        <f t="shared" si="101"/>
        <v>0</v>
      </c>
      <c r="CP159" s="848">
        <f t="shared" si="101"/>
        <v>0</v>
      </c>
      <c r="CQ159" s="848">
        <f t="shared" si="101"/>
        <v>0</v>
      </c>
      <c r="CR159" s="848">
        <f t="shared" si="101"/>
        <v>0</v>
      </c>
      <c r="CS159" s="848">
        <f t="shared" si="101"/>
        <v>0</v>
      </c>
      <c r="CT159" s="848">
        <f t="shared" si="101"/>
        <v>0</v>
      </c>
      <c r="CU159" s="848">
        <f t="shared" si="101"/>
        <v>0</v>
      </c>
      <c r="CV159" s="848">
        <f t="shared" si="101"/>
        <v>0</v>
      </c>
      <c r="CW159" s="848">
        <f t="shared" si="101"/>
        <v>0</v>
      </c>
      <c r="CX159" s="848">
        <f t="shared" si="101"/>
        <v>0</v>
      </c>
      <c r="CY159" s="848">
        <f t="shared" si="101"/>
        <v>0</v>
      </c>
      <c r="CZ159" s="848">
        <f t="shared" si="101"/>
        <v>0</v>
      </c>
      <c r="DA159" s="848">
        <f t="shared" si="101"/>
        <v>0</v>
      </c>
      <c r="DB159" s="848">
        <f t="shared" si="101"/>
        <v>0</v>
      </c>
      <c r="DC159" s="848">
        <f t="shared" si="101"/>
        <v>0</v>
      </c>
      <c r="DD159" s="848">
        <f t="shared" si="101"/>
        <v>0</v>
      </c>
      <c r="DE159" s="848">
        <f t="shared" si="101"/>
        <v>0</v>
      </c>
      <c r="DF159" s="848">
        <f t="shared" si="101"/>
        <v>0</v>
      </c>
      <c r="DG159" s="848">
        <f t="shared" si="101"/>
        <v>0</v>
      </c>
      <c r="DH159" s="848">
        <f t="shared" si="101"/>
        <v>0</v>
      </c>
      <c r="DI159" s="848">
        <f t="shared" si="101"/>
        <v>0</v>
      </c>
      <c r="DJ159" s="848">
        <f t="shared" si="101"/>
        <v>0</v>
      </c>
      <c r="DK159" s="848">
        <f t="shared" si="101"/>
        <v>0</v>
      </c>
      <c r="DL159" s="848">
        <f t="shared" si="101"/>
        <v>0</v>
      </c>
      <c r="DM159" s="848">
        <f t="shared" si="101"/>
        <v>0</v>
      </c>
      <c r="DN159" s="848">
        <f t="shared" si="101"/>
        <v>0</v>
      </c>
      <c r="DO159" s="848">
        <f t="shared" si="101"/>
        <v>0</v>
      </c>
      <c r="DP159" s="848">
        <f t="shared" si="101"/>
        <v>0</v>
      </c>
      <c r="DQ159" s="848">
        <f t="shared" si="101"/>
        <v>0</v>
      </c>
      <c r="DR159" s="848">
        <f t="shared" si="101"/>
        <v>0</v>
      </c>
      <c r="DS159" s="848">
        <f t="shared" si="101"/>
        <v>0</v>
      </c>
      <c r="DT159" s="848">
        <f t="shared" si="101"/>
        <v>0</v>
      </c>
      <c r="DU159" s="848">
        <f t="shared" si="101"/>
        <v>0</v>
      </c>
      <c r="DV159" s="848">
        <f t="shared" si="101"/>
        <v>0</v>
      </c>
      <c r="DW159" s="848">
        <f t="shared" si="101"/>
        <v>0</v>
      </c>
      <c r="DX159" s="848">
        <f t="shared" si="101"/>
        <v>0</v>
      </c>
      <c r="DY159" s="848">
        <f t="shared" si="101"/>
        <v>0</v>
      </c>
      <c r="DZ159" s="848">
        <f t="shared" si="101"/>
        <v>280486.24494013569</v>
      </c>
      <c r="EA159" s="848">
        <f t="shared" si="101"/>
        <v>0</v>
      </c>
      <c r="EB159" s="848">
        <f t="shared" si="101"/>
        <v>0</v>
      </c>
      <c r="EC159" s="848">
        <f t="shared" si="101"/>
        <v>0</v>
      </c>
      <c r="ED159" s="848">
        <f t="shared" si="101"/>
        <v>0</v>
      </c>
      <c r="EE159" s="848">
        <f t="shared" si="101"/>
        <v>0</v>
      </c>
      <c r="EF159" s="848">
        <f t="shared" si="101"/>
        <v>0</v>
      </c>
      <c r="EG159" s="848">
        <f t="shared" si="101"/>
        <v>0</v>
      </c>
      <c r="EH159" s="848">
        <f t="shared" ref="EH159:EL160" si="102">SUM(EH182,EH204,EH224)</f>
        <v>0</v>
      </c>
      <c r="EI159" s="848">
        <f t="shared" si="102"/>
        <v>0</v>
      </c>
      <c r="EJ159" s="848">
        <f t="shared" si="102"/>
        <v>0</v>
      </c>
      <c r="EK159" s="848">
        <f t="shared" si="102"/>
        <v>0</v>
      </c>
      <c r="EL159" s="848">
        <f t="shared" si="102"/>
        <v>0</v>
      </c>
    </row>
    <row r="160" spans="2:142" s="833" customFormat="1" ht="13.5">
      <c r="B160" s="1000"/>
      <c r="D160" s="1001" t="s">
        <v>978</v>
      </c>
      <c r="E160" s="1001"/>
      <c r="F160" s="1008"/>
      <c r="G160" s="917"/>
      <c r="H160" s="848">
        <f>SUM(J160:EL160)</f>
        <v>135139.51722266333</v>
      </c>
      <c r="J160" s="848">
        <f t="shared" si="100"/>
        <v>-191800</v>
      </c>
      <c r="K160" s="848">
        <f t="shared" si="100"/>
        <v>0</v>
      </c>
      <c r="L160" s="848">
        <f t="shared" si="100"/>
        <v>0</v>
      </c>
      <c r="M160" s="848">
        <f t="shared" si="100"/>
        <v>0</v>
      </c>
      <c r="N160" s="848">
        <f t="shared" si="100"/>
        <v>0</v>
      </c>
      <c r="O160" s="848">
        <f t="shared" si="100"/>
        <v>0</v>
      </c>
      <c r="P160" s="848">
        <f t="shared" si="100"/>
        <v>0</v>
      </c>
      <c r="Q160" s="848">
        <f t="shared" si="100"/>
        <v>-82697.319451999996</v>
      </c>
      <c r="R160" s="848">
        <f t="shared" si="100"/>
        <v>0</v>
      </c>
      <c r="S160" s="848">
        <f t="shared" si="100"/>
        <v>0</v>
      </c>
      <c r="T160" s="848">
        <f t="shared" si="100"/>
        <v>0</v>
      </c>
      <c r="U160" s="848">
        <f t="shared" si="100"/>
        <v>0</v>
      </c>
      <c r="V160" s="848">
        <f t="shared" si="100"/>
        <v>0</v>
      </c>
      <c r="W160" s="848">
        <f t="shared" si="100"/>
        <v>6219.1806189999998</v>
      </c>
      <c r="X160" s="848">
        <f t="shared" si="100"/>
        <v>0</v>
      </c>
      <c r="Y160" s="848">
        <f t="shared" si="100"/>
        <v>0</v>
      </c>
      <c r="Z160" s="848">
        <f t="shared" si="100"/>
        <v>0</v>
      </c>
      <c r="AA160" s="848">
        <f t="shared" si="100"/>
        <v>0</v>
      </c>
      <c r="AB160" s="848">
        <f t="shared" si="100"/>
        <v>0</v>
      </c>
      <c r="AC160" s="848">
        <f t="shared" si="100"/>
        <v>7466.2662870000004</v>
      </c>
      <c r="AD160" s="848">
        <f t="shared" si="100"/>
        <v>0</v>
      </c>
      <c r="AE160" s="848">
        <f t="shared" si="100"/>
        <v>0</v>
      </c>
      <c r="AF160" s="848">
        <f t="shared" si="100"/>
        <v>0</v>
      </c>
      <c r="AG160" s="848">
        <f t="shared" si="100"/>
        <v>0</v>
      </c>
      <c r="AH160" s="848">
        <f t="shared" si="100"/>
        <v>0</v>
      </c>
      <c r="AI160" s="848">
        <f t="shared" si="100"/>
        <v>7344.5336880000004</v>
      </c>
      <c r="AJ160" s="848">
        <f t="shared" si="100"/>
        <v>0</v>
      </c>
      <c r="AK160" s="848">
        <f t="shared" si="100"/>
        <v>0</v>
      </c>
      <c r="AL160" s="848">
        <f t="shared" si="100"/>
        <v>0</v>
      </c>
      <c r="AM160" s="848">
        <f t="shared" si="100"/>
        <v>0</v>
      </c>
      <c r="AN160" s="848">
        <f t="shared" si="100"/>
        <v>0</v>
      </c>
      <c r="AO160" s="848">
        <f t="shared" si="100"/>
        <v>7466.2662870000004</v>
      </c>
      <c r="AP160" s="848">
        <f t="shared" si="100"/>
        <v>0</v>
      </c>
      <c r="AQ160" s="848">
        <f t="shared" si="100"/>
        <v>0</v>
      </c>
      <c r="AR160" s="848">
        <f t="shared" si="100"/>
        <v>0</v>
      </c>
      <c r="AS160" s="848">
        <f t="shared" si="100"/>
        <v>0</v>
      </c>
      <c r="AT160" s="848">
        <f t="shared" si="100"/>
        <v>0</v>
      </c>
      <c r="AU160" s="848">
        <f t="shared" si="100"/>
        <v>4860</v>
      </c>
      <c r="AV160" s="848">
        <f t="shared" si="100"/>
        <v>0</v>
      </c>
      <c r="AW160" s="848">
        <f t="shared" si="100"/>
        <v>0</v>
      </c>
      <c r="AX160" s="848">
        <f t="shared" si="100"/>
        <v>0</v>
      </c>
      <c r="AY160" s="848">
        <f t="shared" si="100"/>
        <v>0</v>
      </c>
      <c r="AZ160" s="848">
        <f t="shared" si="100"/>
        <v>0</v>
      </c>
      <c r="BA160" s="848">
        <f t="shared" si="100"/>
        <v>4860</v>
      </c>
      <c r="BB160" s="848">
        <f t="shared" si="100"/>
        <v>0</v>
      </c>
      <c r="BC160" s="848">
        <f t="shared" si="100"/>
        <v>0</v>
      </c>
      <c r="BD160" s="848">
        <f t="shared" si="100"/>
        <v>0</v>
      </c>
      <c r="BE160" s="848">
        <f t="shared" si="100"/>
        <v>0</v>
      </c>
      <c r="BF160" s="848">
        <f t="shared" si="100"/>
        <v>0</v>
      </c>
      <c r="BG160" s="848">
        <f t="shared" si="100"/>
        <v>4860.0000000000009</v>
      </c>
      <c r="BH160" s="848">
        <f t="shared" si="100"/>
        <v>0</v>
      </c>
      <c r="BI160" s="848">
        <f t="shared" si="100"/>
        <v>0</v>
      </c>
      <c r="BJ160" s="848">
        <f t="shared" si="100"/>
        <v>0</v>
      </c>
      <c r="BK160" s="848">
        <f t="shared" si="100"/>
        <v>0</v>
      </c>
      <c r="BL160" s="848">
        <f t="shared" si="100"/>
        <v>0</v>
      </c>
      <c r="BM160" s="848">
        <f t="shared" si="100"/>
        <v>4860.0000000000009</v>
      </c>
      <c r="BN160" s="848">
        <f t="shared" si="100"/>
        <v>0</v>
      </c>
      <c r="BO160" s="848">
        <f t="shared" si="100"/>
        <v>0</v>
      </c>
      <c r="BP160" s="848">
        <f t="shared" si="100"/>
        <v>0</v>
      </c>
      <c r="BQ160" s="848">
        <f t="shared" si="100"/>
        <v>0</v>
      </c>
      <c r="BR160" s="848">
        <f t="shared" si="100"/>
        <v>0</v>
      </c>
      <c r="BS160" s="848">
        <f t="shared" si="100"/>
        <v>4860.0000000000009</v>
      </c>
      <c r="BT160" s="848">
        <f t="shared" si="100"/>
        <v>0</v>
      </c>
      <c r="BU160" s="848">
        <f t="shared" si="100"/>
        <v>0</v>
      </c>
      <c r="BV160" s="848">
        <f t="shared" si="101"/>
        <v>0</v>
      </c>
      <c r="BW160" s="848">
        <f t="shared" si="101"/>
        <v>0</v>
      </c>
      <c r="BX160" s="848">
        <f t="shared" si="101"/>
        <v>0</v>
      </c>
      <c r="BY160" s="848">
        <f t="shared" si="101"/>
        <v>5943</v>
      </c>
      <c r="BZ160" s="848">
        <f t="shared" si="101"/>
        <v>0</v>
      </c>
      <c r="CA160" s="848">
        <f t="shared" si="101"/>
        <v>0</v>
      </c>
      <c r="CB160" s="848">
        <f t="shared" si="101"/>
        <v>0</v>
      </c>
      <c r="CC160" s="848">
        <f t="shared" si="101"/>
        <v>0</v>
      </c>
      <c r="CD160" s="848">
        <f t="shared" si="101"/>
        <v>0</v>
      </c>
      <c r="CE160" s="848">
        <f t="shared" si="101"/>
        <v>5943</v>
      </c>
      <c r="CF160" s="848">
        <f t="shared" si="101"/>
        <v>0</v>
      </c>
      <c r="CG160" s="848">
        <f t="shared" si="101"/>
        <v>0</v>
      </c>
      <c r="CH160" s="848">
        <f t="shared" si="101"/>
        <v>0</v>
      </c>
      <c r="CI160" s="848">
        <f t="shared" si="101"/>
        <v>0</v>
      </c>
      <c r="CJ160" s="848">
        <f t="shared" si="101"/>
        <v>0</v>
      </c>
      <c r="CK160" s="848">
        <f t="shared" si="101"/>
        <v>6100.8872171842304</v>
      </c>
      <c r="CL160" s="848">
        <f t="shared" si="101"/>
        <v>0</v>
      </c>
      <c r="CM160" s="848">
        <f t="shared" si="101"/>
        <v>0</v>
      </c>
      <c r="CN160" s="848">
        <f t="shared" si="101"/>
        <v>0</v>
      </c>
      <c r="CO160" s="848">
        <f t="shared" si="101"/>
        <v>0</v>
      </c>
      <c r="CP160" s="848">
        <f t="shared" si="101"/>
        <v>0</v>
      </c>
      <c r="CQ160" s="848">
        <f t="shared" si="101"/>
        <v>5943</v>
      </c>
      <c r="CR160" s="848">
        <f t="shared" si="101"/>
        <v>0</v>
      </c>
      <c r="CS160" s="848">
        <f t="shared" si="101"/>
        <v>0</v>
      </c>
      <c r="CT160" s="848">
        <f t="shared" si="101"/>
        <v>0</v>
      </c>
      <c r="CU160" s="848">
        <f t="shared" si="101"/>
        <v>0</v>
      </c>
      <c r="CV160" s="848">
        <f t="shared" si="101"/>
        <v>0</v>
      </c>
      <c r="CW160" s="848">
        <f t="shared" si="101"/>
        <v>5943.0000000000009</v>
      </c>
      <c r="CX160" s="848">
        <f t="shared" si="101"/>
        <v>0</v>
      </c>
      <c r="CY160" s="848">
        <f t="shared" si="101"/>
        <v>0</v>
      </c>
      <c r="CZ160" s="848">
        <f t="shared" si="101"/>
        <v>0</v>
      </c>
      <c r="DA160" s="848">
        <f t="shared" si="101"/>
        <v>0</v>
      </c>
      <c r="DB160" s="848">
        <f t="shared" si="101"/>
        <v>0</v>
      </c>
      <c r="DC160" s="848">
        <f t="shared" si="101"/>
        <v>8059.4802109788416</v>
      </c>
      <c r="DD160" s="848">
        <f t="shared" si="101"/>
        <v>0</v>
      </c>
      <c r="DE160" s="848">
        <f t="shared" si="101"/>
        <v>0</v>
      </c>
      <c r="DF160" s="848">
        <f t="shared" si="101"/>
        <v>0</v>
      </c>
      <c r="DG160" s="848">
        <f t="shared" si="101"/>
        <v>0</v>
      </c>
      <c r="DH160" s="848">
        <f t="shared" si="101"/>
        <v>0</v>
      </c>
      <c r="DI160" s="848">
        <f t="shared" si="101"/>
        <v>9744.8104223767532</v>
      </c>
      <c r="DJ160" s="848">
        <f t="shared" si="101"/>
        <v>0</v>
      </c>
      <c r="DK160" s="848">
        <f t="shared" si="101"/>
        <v>0</v>
      </c>
      <c r="DL160" s="848">
        <f t="shared" si="101"/>
        <v>0</v>
      </c>
      <c r="DM160" s="848">
        <f t="shared" si="101"/>
        <v>0</v>
      </c>
      <c r="DN160" s="848">
        <f t="shared" si="101"/>
        <v>0</v>
      </c>
      <c r="DO160" s="848">
        <f t="shared" si="101"/>
        <v>8546.9776538911428</v>
      </c>
      <c r="DP160" s="848">
        <f t="shared" si="101"/>
        <v>0</v>
      </c>
      <c r="DQ160" s="848">
        <f t="shared" si="101"/>
        <v>0</v>
      </c>
      <c r="DR160" s="848">
        <f t="shared" si="101"/>
        <v>0</v>
      </c>
      <c r="DS160" s="848">
        <f t="shared" si="101"/>
        <v>0</v>
      </c>
      <c r="DT160" s="848">
        <f t="shared" si="101"/>
        <v>0</v>
      </c>
      <c r="DU160" s="848">
        <f t="shared" si="101"/>
        <v>10258.353380260729</v>
      </c>
      <c r="DV160" s="848">
        <f t="shared" si="101"/>
        <v>0</v>
      </c>
      <c r="DW160" s="848">
        <f t="shared" si="101"/>
        <v>0</v>
      </c>
      <c r="DX160" s="848">
        <f t="shared" si="101"/>
        <v>0</v>
      </c>
      <c r="DY160" s="848">
        <f t="shared" si="101"/>
        <v>0</v>
      </c>
      <c r="DZ160" s="848">
        <f t="shared" si="101"/>
        <v>290358.08090897161</v>
      </c>
      <c r="EA160" s="848">
        <f t="shared" si="101"/>
        <v>0</v>
      </c>
      <c r="EB160" s="848">
        <f t="shared" si="101"/>
        <v>0</v>
      </c>
      <c r="EC160" s="848">
        <f t="shared" si="101"/>
        <v>0</v>
      </c>
      <c r="ED160" s="848">
        <f t="shared" si="101"/>
        <v>0</v>
      </c>
      <c r="EE160" s="848">
        <f t="shared" si="101"/>
        <v>0</v>
      </c>
      <c r="EF160" s="848">
        <f t="shared" si="101"/>
        <v>0</v>
      </c>
      <c r="EG160" s="848">
        <f t="shared" si="101"/>
        <v>0</v>
      </c>
      <c r="EH160" s="848">
        <f t="shared" si="102"/>
        <v>0</v>
      </c>
      <c r="EI160" s="848">
        <f t="shared" si="102"/>
        <v>0</v>
      </c>
      <c r="EJ160" s="848">
        <f t="shared" si="102"/>
        <v>0</v>
      </c>
      <c r="EK160" s="848">
        <f t="shared" si="102"/>
        <v>0</v>
      </c>
      <c r="EL160" s="848">
        <f t="shared" si="102"/>
        <v>0</v>
      </c>
    </row>
    <row r="161" spans="2:142" s="833" customFormat="1" ht="13.5">
      <c r="B161" s="1000"/>
      <c r="D161" s="1087" t="s">
        <v>2192</v>
      </c>
      <c r="E161" s="1087"/>
      <c r="F161" s="1088"/>
      <c r="G161" s="530">
        <v>4.959400002054986E-2</v>
      </c>
      <c r="H161" s="530">
        <f>(1+IRR(J160:EL160,1%))^12-1</f>
        <v>4.88060926410403E-2</v>
      </c>
      <c r="J161" s="848"/>
      <c r="K161" s="848"/>
      <c r="L161" s="848"/>
      <c r="M161" s="848"/>
      <c r="N161" s="848"/>
      <c r="O161" s="848"/>
      <c r="P161" s="848"/>
      <c r="Q161" s="848"/>
      <c r="R161" s="848"/>
      <c r="S161" s="848"/>
      <c r="T161" s="848"/>
      <c r="U161" s="848"/>
      <c r="V161" s="848"/>
      <c r="W161" s="848"/>
      <c r="X161" s="848"/>
      <c r="Y161" s="848"/>
      <c r="Z161" s="848"/>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c r="BU161" s="848"/>
      <c r="BV161" s="848"/>
      <c r="BW161" s="848"/>
      <c r="BX161" s="848"/>
      <c r="BY161" s="848"/>
      <c r="BZ161" s="848"/>
      <c r="CA161" s="848"/>
      <c r="CB161" s="848"/>
      <c r="CC161" s="848"/>
      <c r="CD161" s="848"/>
      <c r="CE161" s="848"/>
      <c r="CF161" s="848"/>
      <c r="CG161" s="848"/>
      <c r="CH161" s="848"/>
      <c r="CI161" s="848"/>
      <c r="CJ161" s="848"/>
      <c r="CK161" s="848"/>
      <c r="CL161" s="848"/>
      <c r="CM161" s="848"/>
      <c r="CN161" s="848"/>
      <c r="CO161" s="848"/>
      <c r="CP161" s="848"/>
      <c r="CQ161" s="848"/>
      <c r="CR161" s="848"/>
      <c r="CS161" s="848"/>
      <c r="CT161" s="848"/>
      <c r="CU161" s="848"/>
      <c r="CV161" s="848"/>
      <c r="CW161" s="848"/>
      <c r="CX161" s="848"/>
      <c r="CY161" s="848"/>
      <c r="CZ161" s="848"/>
      <c r="DA161" s="848"/>
      <c r="DB161" s="848"/>
      <c r="DC161" s="848"/>
      <c r="DD161" s="848"/>
      <c r="DE161" s="848"/>
      <c r="DF161" s="848"/>
      <c r="DG161" s="848"/>
      <c r="DH161" s="848"/>
      <c r="DI161" s="848"/>
      <c r="DJ161" s="848"/>
      <c r="DK161" s="848"/>
      <c r="DL161" s="848"/>
      <c r="DM161" s="848"/>
      <c r="DN161" s="848"/>
      <c r="DO161" s="848"/>
      <c r="DP161" s="848"/>
      <c r="DQ161" s="848"/>
      <c r="DR161" s="848"/>
      <c r="DS161" s="848"/>
      <c r="DT161" s="848"/>
      <c r="DU161" s="848"/>
      <c r="DV161" s="848"/>
      <c r="DW161" s="848"/>
      <c r="DX161" s="848"/>
      <c r="DY161" s="848"/>
      <c r="DZ161" s="848"/>
      <c r="EA161" s="848"/>
      <c r="EB161" s="848"/>
      <c r="EC161" s="848"/>
      <c r="ED161" s="848"/>
      <c r="EE161" s="848"/>
      <c r="EF161" s="848"/>
      <c r="EG161" s="848"/>
      <c r="EH161" s="848"/>
      <c r="EI161" s="848"/>
      <c r="EJ161" s="848"/>
      <c r="EK161" s="848"/>
      <c r="EL161" s="848"/>
    </row>
    <row r="162" spans="2:142" s="833" customFormat="1">
      <c r="B162" s="1000"/>
      <c r="D162" s="1001"/>
      <c r="E162" s="1001"/>
      <c r="F162" s="1008"/>
      <c r="G162" s="531"/>
      <c r="H162" s="214"/>
      <c r="J162" s="848"/>
      <c r="K162" s="848"/>
      <c r="L162" s="848"/>
      <c r="M162" s="848"/>
      <c r="N162" s="848"/>
      <c r="O162" s="848"/>
      <c r="P162" s="848"/>
      <c r="Q162" s="848"/>
      <c r="R162" s="848"/>
      <c r="S162" s="848"/>
      <c r="T162" s="848"/>
      <c r="U162" s="848"/>
      <c r="V162" s="848"/>
      <c r="W162" s="848"/>
      <c r="X162" s="848"/>
      <c r="Y162" s="848"/>
      <c r="Z162" s="848"/>
      <c r="AA162" s="848"/>
      <c r="AB162" s="848"/>
      <c r="AC162" s="848"/>
      <c r="AD162" s="848"/>
      <c r="AE162" s="848"/>
      <c r="AF162" s="848"/>
      <c r="AG162" s="848"/>
      <c r="AH162" s="848"/>
      <c r="AI162" s="848"/>
      <c r="AJ162" s="848"/>
      <c r="AK162" s="848"/>
      <c r="AL162" s="848"/>
      <c r="AM162" s="848"/>
      <c r="AN162" s="848"/>
      <c r="AO162" s="848"/>
      <c r="AP162" s="848"/>
      <c r="AQ162" s="848"/>
      <c r="AR162" s="848"/>
      <c r="AS162" s="848"/>
      <c r="AT162" s="848"/>
      <c r="AU162" s="848"/>
      <c r="AV162" s="848"/>
      <c r="AW162" s="848"/>
      <c r="AX162" s="848"/>
      <c r="AY162" s="848"/>
      <c r="AZ162" s="848"/>
      <c r="BA162" s="848"/>
      <c r="BB162" s="848"/>
      <c r="BC162" s="848"/>
      <c r="BD162" s="848"/>
      <c r="BE162" s="848"/>
      <c r="BF162" s="848"/>
      <c r="BG162" s="848"/>
      <c r="BH162" s="848"/>
      <c r="BI162" s="848"/>
      <c r="BJ162" s="848"/>
      <c r="BK162" s="848"/>
      <c r="BL162" s="848"/>
      <c r="BM162" s="848"/>
      <c r="BN162" s="848"/>
      <c r="BO162" s="848"/>
      <c r="BP162" s="848"/>
      <c r="BQ162" s="848"/>
      <c r="BR162" s="848"/>
      <c r="BS162" s="848"/>
      <c r="BT162" s="848"/>
      <c r="BU162" s="848"/>
      <c r="BV162" s="848"/>
      <c r="BW162" s="848"/>
      <c r="BX162" s="848"/>
      <c r="BY162" s="848"/>
      <c r="BZ162" s="848"/>
      <c r="CA162" s="848"/>
      <c r="CB162" s="848"/>
      <c r="CC162" s="848"/>
      <c r="CD162" s="848"/>
      <c r="CE162" s="848"/>
      <c r="CF162" s="848"/>
      <c r="CG162" s="848"/>
      <c r="CH162" s="848"/>
      <c r="CI162" s="848"/>
      <c r="CJ162" s="848"/>
      <c r="CK162" s="848"/>
      <c r="CL162" s="848"/>
      <c r="CM162" s="848"/>
      <c r="CN162" s="848"/>
      <c r="CO162" s="848"/>
      <c r="CP162" s="848"/>
      <c r="CQ162" s="848"/>
      <c r="CR162" s="848"/>
      <c r="CS162" s="848"/>
      <c r="CT162" s="848"/>
      <c r="CU162" s="848"/>
      <c r="CV162" s="848"/>
      <c r="CW162" s="848"/>
      <c r="CX162" s="848"/>
      <c r="CY162" s="848"/>
      <c r="CZ162" s="848"/>
      <c r="DA162" s="848"/>
      <c r="DB162" s="848"/>
      <c r="DC162" s="848"/>
      <c r="DD162" s="848"/>
      <c r="DE162" s="848"/>
      <c r="DF162" s="848"/>
      <c r="DG162" s="848"/>
      <c r="DH162" s="848"/>
      <c r="DI162" s="848"/>
      <c r="DJ162" s="848"/>
      <c r="DK162" s="848"/>
      <c r="DL162" s="848"/>
      <c r="DM162" s="848"/>
      <c r="DN162" s="848"/>
      <c r="DO162" s="848"/>
      <c r="DP162" s="848"/>
      <c r="DQ162" s="848"/>
      <c r="DR162" s="848"/>
      <c r="DS162" s="848"/>
      <c r="DT162" s="848"/>
      <c r="DU162" s="848"/>
      <c r="DV162" s="848"/>
      <c r="DW162" s="848"/>
      <c r="DX162" s="848"/>
      <c r="DY162" s="848"/>
      <c r="DZ162" s="848"/>
      <c r="EA162" s="848"/>
      <c r="EB162" s="848"/>
      <c r="EC162" s="848"/>
      <c r="ED162" s="848"/>
      <c r="EE162" s="848"/>
      <c r="EF162" s="848"/>
      <c r="EG162" s="848"/>
      <c r="EH162" s="848"/>
      <c r="EI162" s="848"/>
      <c r="EJ162" s="848"/>
      <c r="EK162" s="848"/>
      <c r="EL162" s="848"/>
    </row>
    <row r="163" spans="2:142" s="833" customFormat="1" ht="13.5">
      <c r="B163" s="1000"/>
      <c r="D163" s="881" t="s">
        <v>970</v>
      </c>
      <c r="E163" s="1001"/>
      <c r="F163" s="1008"/>
      <c r="G163" s="917"/>
      <c r="H163" s="848">
        <f>SUM(J163:EL163)</f>
        <v>12070.343539670037</v>
      </c>
      <c r="J163" s="848">
        <f t="shared" ref="J163:BU163" si="103">SUM(J186,J208)</f>
        <v>0</v>
      </c>
      <c r="K163" s="848">
        <f t="shared" si="103"/>
        <v>0</v>
      </c>
      <c r="L163" s="848">
        <f t="shared" si="103"/>
        <v>0</v>
      </c>
      <c r="M163" s="848">
        <f t="shared" si="103"/>
        <v>0</v>
      </c>
      <c r="N163" s="848">
        <f t="shared" si="103"/>
        <v>0</v>
      </c>
      <c r="O163" s="848">
        <f t="shared" si="103"/>
        <v>0</v>
      </c>
      <c r="P163" s="848">
        <f t="shared" si="103"/>
        <v>0</v>
      </c>
      <c r="Q163" s="848">
        <f t="shared" si="103"/>
        <v>0</v>
      </c>
      <c r="R163" s="848">
        <f t="shared" si="103"/>
        <v>0</v>
      </c>
      <c r="S163" s="848">
        <f t="shared" si="103"/>
        <v>0</v>
      </c>
      <c r="T163" s="848">
        <f t="shared" si="103"/>
        <v>0</v>
      </c>
      <c r="U163" s="848">
        <f t="shared" si="103"/>
        <v>0</v>
      </c>
      <c r="V163" s="848">
        <f t="shared" si="103"/>
        <v>0</v>
      </c>
      <c r="W163" s="848">
        <f t="shared" si="103"/>
        <v>0</v>
      </c>
      <c r="X163" s="848">
        <f t="shared" si="103"/>
        <v>0</v>
      </c>
      <c r="Y163" s="848">
        <f t="shared" si="103"/>
        <v>0</v>
      </c>
      <c r="Z163" s="848">
        <f t="shared" si="103"/>
        <v>0</v>
      </c>
      <c r="AA163" s="848">
        <f t="shared" si="103"/>
        <v>0</v>
      </c>
      <c r="AB163" s="848">
        <f t="shared" si="103"/>
        <v>0</v>
      </c>
      <c r="AC163" s="848">
        <f t="shared" si="103"/>
        <v>0</v>
      </c>
      <c r="AD163" s="848">
        <f t="shared" si="103"/>
        <v>0</v>
      </c>
      <c r="AE163" s="848">
        <f t="shared" si="103"/>
        <v>0</v>
      </c>
      <c r="AF163" s="848">
        <f t="shared" si="103"/>
        <v>0</v>
      </c>
      <c r="AG163" s="848">
        <f t="shared" si="103"/>
        <v>0</v>
      </c>
      <c r="AH163" s="848">
        <f t="shared" si="103"/>
        <v>0</v>
      </c>
      <c r="AI163" s="848">
        <f t="shared" si="103"/>
        <v>0</v>
      </c>
      <c r="AJ163" s="848">
        <f t="shared" si="103"/>
        <v>0</v>
      </c>
      <c r="AK163" s="848">
        <f t="shared" si="103"/>
        <v>0</v>
      </c>
      <c r="AL163" s="848">
        <f t="shared" si="103"/>
        <v>0</v>
      </c>
      <c r="AM163" s="848">
        <f t="shared" si="103"/>
        <v>0</v>
      </c>
      <c r="AN163" s="848">
        <f t="shared" si="103"/>
        <v>0</v>
      </c>
      <c r="AO163" s="848">
        <f t="shared" si="103"/>
        <v>0</v>
      </c>
      <c r="AP163" s="848">
        <f t="shared" si="103"/>
        <v>0</v>
      </c>
      <c r="AQ163" s="848">
        <f t="shared" si="103"/>
        <v>0</v>
      </c>
      <c r="AR163" s="848">
        <f t="shared" si="103"/>
        <v>0</v>
      </c>
      <c r="AS163" s="848">
        <f t="shared" si="103"/>
        <v>0</v>
      </c>
      <c r="AT163" s="848">
        <f t="shared" si="103"/>
        <v>0</v>
      </c>
      <c r="AU163" s="848">
        <f t="shared" si="103"/>
        <v>0</v>
      </c>
      <c r="AV163" s="848">
        <f t="shared" si="103"/>
        <v>0</v>
      </c>
      <c r="AW163" s="848">
        <f t="shared" si="103"/>
        <v>0</v>
      </c>
      <c r="AX163" s="848">
        <f t="shared" si="103"/>
        <v>0</v>
      </c>
      <c r="AY163" s="848">
        <f t="shared" si="103"/>
        <v>0</v>
      </c>
      <c r="AZ163" s="848">
        <f t="shared" si="103"/>
        <v>0</v>
      </c>
      <c r="BA163" s="848">
        <f t="shared" si="103"/>
        <v>0</v>
      </c>
      <c r="BB163" s="848">
        <f t="shared" si="103"/>
        <v>0</v>
      </c>
      <c r="BC163" s="848">
        <f t="shared" si="103"/>
        <v>0</v>
      </c>
      <c r="BD163" s="848">
        <f t="shared" si="103"/>
        <v>0</v>
      </c>
      <c r="BE163" s="848">
        <f t="shared" si="103"/>
        <v>0</v>
      </c>
      <c r="BF163" s="848">
        <f t="shared" si="103"/>
        <v>0</v>
      </c>
      <c r="BG163" s="848">
        <f t="shared" si="103"/>
        <v>0</v>
      </c>
      <c r="BH163" s="848">
        <f t="shared" si="103"/>
        <v>0</v>
      </c>
      <c r="BI163" s="848">
        <f t="shared" si="103"/>
        <v>0</v>
      </c>
      <c r="BJ163" s="848">
        <f t="shared" si="103"/>
        <v>0</v>
      </c>
      <c r="BK163" s="848">
        <f t="shared" si="103"/>
        <v>0</v>
      </c>
      <c r="BL163" s="848">
        <f t="shared" si="103"/>
        <v>0</v>
      </c>
      <c r="BM163" s="848">
        <f t="shared" si="103"/>
        <v>0</v>
      </c>
      <c r="BN163" s="848">
        <f t="shared" si="103"/>
        <v>0</v>
      </c>
      <c r="BO163" s="848">
        <f t="shared" si="103"/>
        <v>0</v>
      </c>
      <c r="BP163" s="848">
        <f t="shared" si="103"/>
        <v>0</v>
      </c>
      <c r="BQ163" s="848">
        <f t="shared" si="103"/>
        <v>0</v>
      </c>
      <c r="BR163" s="848">
        <f t="shared" si="103"/>
        <v>0</v>
      </c>
      <c r="BS163" s="848">
        <f t="shared" si="103"/>
        <v>0</v>
      </c>
      <c r="BT163" s="848">
        <f t="shared" si="103"/>
        <v>0</v>
      </c>
      <c r="BU163" s="848">
        <f t="shared" si="103"/>
        <v>0</v>
      </c>
      <c r="BV163" s="848">
        <f t="shared" ref="BV163:EG163" si="104">SUM(BV186,BV208)</f>
        <v>0</v>
      </c>
      <c r="BW163" s="848">
        <f t="shared" si="104"/>
        <v>0</v>
      </c>
      <c r="BX163" s="848">
        <f t="shared" si="104"/>
        <v>0</v>
      </c>
      <c r="BY163" s="848">
        <f t="shared" si="104"/>
        <v>0</v>
      </c>
      <c r="BZ163" s="848">
        <f t="shared" si="104"/>
        <v>0</v>
      </c>
      <c r="CA163" s="848">
        <f t="shared" si="104"/>
        <v>0</v>
      </c>
      <c r="CB163" s="848">
        <f t="shared" si="104"/>
        <v>0</v>
      </c>
      <c r="CC163" s="848">
        <f t="shared" si="104"/>
        <v>0</v>
      </c>
      <c r="CD163" s="848">
        <f t="shared" si="104"/>
        <v>0</v>
      </c>
      <c r="CE163" s="848">
        <f t="shared" si="104"/>
        <v>0</v>
      </c>
      <c r="CF163" s="848">
        <f t="shared" si="104"/>
        <v>0</v>
      </c>
      <c r="CG163" s="848">
        <f t="shared" si="104"/>
        <v>0</v>
      </c>
      <c r="CH163" s="848">
        <f t="shared" si="104"/>
        <v>0</v>
      </c>
      <c r="CI163" s="848">
        <f t="shared" si="104"/>
        <v>0</v>
      </c>
      <c r="CJ163" s="848">
        <f t="shared" si="104"/>
        <v>0</v>
      </c>
      <c r="CK163" s="848">
        <f t="shared" si="104"/>
        <v>0</v>
      </c>
      <c r="CL163" s="848">
        <f t="shared" si="104"/>
        <v>0</v>
      </c>
      <c r="CM163" s="848">
        <f t="shared" si="104"/>
        <v>0</v>
      </c>
      <c r="CN163" s="848">
        <f t="shared" si="104"/>
        <v>0</v>
      </c>
      <c r="CO163" s="848">
        <f t="shared" si="104"/>
        <v>0</v>
      </c>
      <c r="CP163" s="848">
        <f t="shared" si="104"/>
        <v>0</v>
      </c>
      <c r="CQ163" s="848">
        <f t="shared" si="104"/>
        <v>0</v>
      </c>
      <c r="CR163" s="848">
        <f t="shared" si="104"/>
        <v>0</v>
      </c>
      <c r="CS163" s="848">
        <f t="shared" si="104"/>
        <v>0</v>
      </c>
      <c r="CT163" s="848">
        <f t="shared" si="104"/>
        <v>0</v>
      </c>
      <c r="CU163" s="848">
        <f t="shared" si="104"/>
        <v>0</v>
      </c>
      <c r="CV163" s="848">
        <f t="shared" si="104"/>
        <v>0</v>
      </c>
      <c r="CW163" s="848">
        <f t="shared" si="104"/>
        <v>0</v>
      </c>
      <c r="CX163" s="848">
        <f t="shared" si="104"/>
        <v>0</v>
      </c>
      <c r="CY163" s="848">
        <f t="shared" si="104"/>
        <v>0</v>
      </c>
      <c r="CZ163" s="848">
        <f t="shared" si="104"/>
        <v>0</v>
      </c>
      <c r="DA163" s="848">
        <f t="shared" si="104"/>
        <v>0</v>
      </c>
      <c r="DB163" s="848">
        <f t="shared" si="104"/>
        <v>0</v>
      </c>
      <c r="DC163" s="848">
        <f t="shared" si="104"/>
        <v>0</v>
      </c>
      <c r="DD163" s="848">
        <f t="shared" si="104"/>
        <v>0</v>
      </c>
      <c r="DE163" s="848">
        <f t="shared" si="104"/>
        <v>0</v>
      </c>
      <c r="DF163" s="848">
        <f t="shared" si="104"/>
        <v>0</v>
      </c>
      <c r="DG163" s="848">
        <f t="shared" si="104"/>
        <v>0</v>
      </c>
      <c r="DH163" s="848">
        <f t="shared" si="104"/>
        <v>0</v>
      </c>
      <c r="DI163" s="848">
        <f t="shared" si="104"/>
        <v>0</v>
      </c>
      <c r="DJ163" s="848">
        <f t="shared" si="104"/>
        <v>0</v>
      </c>
      <c r="DK163" s="848">
        <f t="shared" si="104"/>
        <v>0</v>
      </c>
      <c r="DL163" s="848">
        <f t="shared" si="104"/>
        <v>0</v>
      </c>
      <c r="DM163" s="848">
        <f t="shared" si="104"/>
        <v>0</v>
      </c>
      <c r="DN163" s="848">
        <f t="shared" si="104"/>
        <v>0</v>
      </c>
      <c r="DO163" s="848">
        <f t="shared" si="104"/>
        <v>0</v>
      </c>
      <c r="DP163" s="848">
        <f t="shared" si="104"/>
        <v>0</v>
      </c>
      <c r="DQ163" s="848">
        <f t="shared" si="104"/>
        <v>0</v>
      </c>
      <c r="DR163" s="848">
        <f t="shared" si="104"/>
        <v>0</v>
      </c>
      <c r="DS163" s="848">
        <f t="shared" si="104"/>
        <v>0</v>
      </c>
      <c r="DT163" s="848">
        <f t="shared" si="104"/>
        <v>0</v>
      </c>
      <c r="DU163" s="848">
        <f t="shared" si="104"/>
        <v>0</v>
      </c>
      <c r="DV163" s="848">
        <f t="shared" si="104"/>
        <v>0</v>
      </c>
      <c r="DW163" s="848">
        <f t="shared" si="104"/>
        <v>0</v>
      </c>
      <c r="DX163" s="848">
        <f t="shared" si="104"/>
        <v>0</v>
      </c>
      <c r="DY163" s="848">
        <f t="shared" si="104"/>
        <v>0</v>
      </c>
      <c r="DZ163" s="848">
        <f t="shared" si="104"/>
        <v>12070.343539670037</v>
      </c>
      <c r="EA163" s="848">
        <f t="shared" si="104"/>
        <v>0</v>
      </c>
      <c r="EB163" s="848">
        <f t="shared" si="104"/>
        <v>0</v>
      </c>
      <c r="EC163" s="848">
        <f t="shared" si="104"/>
        <v>0</v>
      </c>
      <c r="ED163" s="848">
        <f t="shared" si="104"/>
        <v>0</v>
      </c>
      <c r="EE163" s="848">
        <f t="shared" si="104"/>
        <v>0</v>
      </c>
      <c r="EF163" s="848">
        <f t="shared" si="104"/>
        <v>0</v>
      </c>
      <c r="EG163" s="848">
        <f t="shared" si="104"/>
        <v>0</v>
      </c>
      <c r="EH163" s="848">
        <f t="shared" ref="EH163:EL163" si="105">SUM(EH186,EH208)</f>
        <v>0</v>
      </c>
      <c r="EI163" s="848">
        <f t="shared" si="105"/>
        <v>0</v>
      </c>
      <c r="EJ163" s="848">
        <f t="shared" si="105"/>
        <v>0</v>
      </c>
      <c r="EK163" s="848">
        <f t="shared" si="105"/>
        <v>0</v>
      </c>
      <c r="EL163" s="848">
        <f t="shared" si="105"/>
        <v>0</v>
      </c>
    </row>
    <row r="164" spans="2:142" s="833" customFormat="1" ht="13.5">
      <c r="B164" s="1000"/>
      <c r="D164" s="1075" t="s">
        <v>2074</v>
      </c>
      <c r="E164" s="1001"/>
      <c r="F164" s="1008"/>
      <c r="G164" s="917"/>
      <c r="H164" s="848">
        <f>SUM(J164:EL164)</f>
        <v>147209.86076233338</v>
      </c>
      <c r="J164" s="848">
        <f>J160+J163</f>
        <v>-191800</v>
      </c>
      <c r="K164" s="848">
        <f t="shared" ref="K164:BV164" si="106">K160+K163</f>
        <v>0</v>
      </c>
      <c r="L164" s="848">
        <f t="shared" si="106"/>
        <v>0</v>
      </c>
      <c r="M164" s="848">
        <f t="shared" si="106"/>
        <v>0</v>
      </c>
      <c r="N164" s="848">
        <f t="shared" si="106"/>
        <v>0</v>
      </c>
      <c r="O164" s="848">
        <f t="shared" si="106"/>
        <v>0</v>
      </c>
      <c r="P164" s="848">
        <f t="shared" si="106"/>
        <v>0</v>
      </c>
      <c r="Q164" s="848">
        <f t="shared" si="106"/>
        <v>-82697.319451999996</v>
      </c>
      <c r="R164" s="848">
        <f t="shared" si="106"/>
        <v>0</v>
      </c>
      <c r="S164" s="848">
        <f t="shared" si="106"/>
        <v>0</v>
      </c>
      <c r="T164" s="848">
        <f t="shared" si="106"/>
        <v>0</v>
      </c>
      <c r="U164" s="848">
        <f t="shared" si="106"/>
        <v>0</v>
      </c>
      <c r="V164" s="848">
        <f t="shared" si="106"/>
        <v>0</v>
      </c>
      <c r="W164" s="848">
        <f t="shared" si="106"/>
        <v>6219.1806189999998</v>
      </c>
      <c r="X164" s="848">
        <f t="shared" si="106"/>
        <v>0</v>
      </c>
      <c r="Y164" s="848">
        <f t="shared" si="106"/>
        <v>0</v>
      </c>
      <c r="Z164" s="848">
        <f t="shared" si="106"/>
        <v>0</v>
      </c>
      <c r="AA164" s="848">
        <f t="shared" si="106"/>
        <v>0</v>
      </c>
      <c r="AB164" s="848">
        <f t="shared" si="106"/>
        <v>0</v>
      </c>
      <c r="AC164" s="848">
        <f t="shared" si="106"/>
        <v>7466.2662870000004</v>
      </c>
      <c r="AD164" s="848">
        <f t="shared" si="106"/>
        <v>0</v>
      </c>
      <c r="AE164" s="848">
        <f t="shared" si="106"/>
        <v>0</v>
      </c>
      <c r="AF164" s="848">
        <f t="shared" si="106"/>
        <v>0</v>
      </c>
      <c r="AG164" s="848">
        <f t="shared" si="106"/>
        <v>0</v>
      </c>
      <c r="AH164" s="848">
        <f t="shared" si="106"/>
        <v>0</v>
      </c>
      <c r="AI164" s="848">
        <f t="shared" si="106"/>
        <v>7344.5336880000004</v>
      </c>
      <c r="AJ164" s="848">
        <f t="shared" si="106"/>
        <v>0</v>
      </c>
      <c r="AK164" s="848">
        <f t="shared" si="106"/>
        <v>0</v>
      </c>
      <c r="AL164" s="848">
        <f t="shared" si="106"/>
        <v>0</v>
      </c>
      <c r="AM164" s="848">
        <f t="shared" si="106"/>
        <v>0</v>
      </c>
      <c r="AN164" s="848">
        <f t="shared" si="106"/>
        <v>0</v>
      </c>
      <c r="AO164" s="848">
        <f t="shared" si="106"/>
        <v>7466.2662870000004</v>
      </c>
      <c r="AP164" s="848">
        <f t="shared" si="106"/>
        <v>0</v>
      </c>
      <c r="AQ164" s="848">
        <f t="shared" si="106"/>
        <v>0</v>
      </c>
      <c r="AR164" s="848">
        <f t="shared" si="106"/>
        <v>0</v>
      </c>
      <c r="AS164" s="848">
        <f t="shared" si="106"/>
        <v>0</v>
      </c>
      <c r="AT164" s="848">
        <f t="shared" si="106"/>
        <v>0</v>
      </c>
      <c r="AU164" s="848">
        <f t="shared" si="106"/>
        <v>4860</v>
      </c>
      <c r="AV164" s="848">
        <f t="shared" si="106"/>
        <v>0</v>
      </c>
      <c r="AW164" s="848">
        <f t="shared" si="106"/>
        <v>0</v>
      </c>
      <c r="AX164" s="848">
        <f t="shared" si="106"/>
        <v>0</v>
      </c>
      <c r="AY164" s="848">
        <f t="shared" si="106"/>
        <v>0</v>
      </c>
      <c r="AZ164" s="848">
        <f t="shared" si="106"/>
        <v>0</v>
      </c>
      <c r="BA164" s="848">
        <f t="shared" si="106"/>
        <v>4860</v>
      </c>
      <c r="BB164" s="848">
        <f t="shared" si="106"/>
        <v>0</v>
      </c>
      <c r="BC164" s="848">
        <f t="shared" si="106"/>
        <v>0</v>
      </c>
      <c r="BD164" s="848">
        <f t="shared" si="106"/>
        <v>0</v>
      </c>
      <c r="BE164" s="848">
        <f t="shared" si="106"/>
        <v>0</v>
      </c>
      <c r="BF164" s="848">
        <f t="shared" si="106"/>
        <v>0</v>
      </c>
      <c r="BG164" s="848">
        <f t="shared" si="106"/>
        <v>4860.0000000000009</v>
      </c>
      <c r="BH164" s="848">
        <f t="shared" si="106"/>
        <v>0</v>
      </c>
      <c r="BI164" s="848">
        <f t="shared" si="106"/>
        <v>0</v>
      </c>
      <c r="BJ164" s="848">
        <f t="shared" si="106"/>
        <v>0</v>
      </c>
      <c r="BK164" s="848">
        <f t="shared" si="106"/>
        <v>0</v>
      </c>
      <c r="BL164" s="848">
        <f t="shared" si="106"/>
        <v>0</v>
      </c>
      <c r="BM164" s="848">
        <f t="shared" si="106"/>
        <v>4860.0000000000009</v>
      </c>
      <c r="BN164" s="848">
        <f t="shared" si="106"/>
        <v>0</v>
      </c>
      <c r="BO164" s="848">
        <f t="shared" si="106"/>
        <v>0</v>
      </c>
      <c r="BP164" s="848">
        <f t="shared" si="106"/>
        <v>0</v>
      </c>
      <c r="BQ164" s="848">
        <f t="shared" si="106"/>
        <v>0</v>
      </c>
      <c r="BR164" s="848">
        <f t="shared" si="106"/>
        <v>0</v>
      </c>
      <c r="BS164" s="848">
        <f t="shared" si="106"/>
        <v>4860.0000000000009</v>
      </c>
      <c r="BT164" s="848">
        <f t="shared" si="106"/>
        <v>0</v>
      </c>
      <c r="BU164" s="848">
        <f t="shared" si="106"/>
        <v>0</v>
      </c>
      <c r="BV164" s="848">
        <f t="shared" si="106"/>
        <v>0</v>
      </c>
      <c r="BW164" s="848">
        <f t="shared" ref="BW164:EH164" si="107">BW160+BW163</f>
        <v>0</v>
      </c>
      <c r="BX164" s="848">
        <f t="shared" si="107"/>
        <v>0</v>
      </c>
      <c r="BY164" s="848">
        <f t="shared" si="107"/>
        <v>5943</v>
      </c>
      <c r="BZ164" s="848">
        <f t="shared" si="107"/>
        <v>0</v>
      </c>
      <c r="CA164" s="848">
        <f t="shared" si="107"/>
        <v>0</v>
      </c>
      <c r="CB164" s="848">
        <f t="shared" si="107"/>
        <v>0</v>
      </c>
      <c r="CC164" s="848">
        <f t="shared" si="107"/>
        <v>0</v>
      </c>
      <c r="CD164" s="848">
        <f t="shared" si="107"/>
        <v>0</v>
      </c>
      <c r="CE164" s="848">
        <f t="shared" si="107"/>
        <v>5943</v>
      </c>
      <c r="CF164" s="848">
        <f t="shared" si="107"/>
        <v>0</v>
      </c>
      <c r="CG164" s="848">
        <f t="shared" si="107"/>
        <v>0</v>
      </c>
      <c r="CH164" s="848">
        <f t="shared" si="107"/>
        <v>0</v>
      </c>
      <c r="CI164" s="848">
        <f t="shared" si="107"/>
        <v>0</v>
      </c>
      <c r="CJ164" s="848">
        <f t="shared" si="107"/>
        <v>0</v>
      </c>
      <c r="CK164" s="848">
        <f t="shared" si="107"/>
        <v>6100.8872171842304</v>
      </c>
      <c r="CL164" s="848">
        <f t="shared" si="107"/>
        <v>0</v>
      </c>
      <c r="CM164" s="848">
        <f t="shared" si="107"/>
        <v>0</v>
      </c>
      <c r="CN164" s="848">
        <f t="shared" si="107"/>
        <v>0</v>
      </c>
      <c r="CO164" s="848">
        <f t="shared" si="107"/>
        <v>0</v>
      </c>
      <c r="CP164" s="848">
        <f t="shared" si="107"/>
        <v>0</v>
      </c>
      <c r="CQ164" s="848">
        <f t="shared" si="107"/>
        <v>5943</v>
      </c>
      <c r="CR164" s="848">
        <f t="shared" si="107"/>
        <v>0</v>
      </c>
      <c r="CS164" s="848">
        <f t="shared" si="107"/>
        <v>0</v>
      </c>
      <c r="CT164" s="848">
        <f t="shared" si="107"/>
        <v>0</v>
      </c>
      <c r="CU164" s="848">
        <f t="shared" si="107"/>
        <v>0</v>
      </c>
      <c r="CV164" s="848">
        <f t="shared" si="107"/>
        <v>0</v>
      </c>
      <c r="CW164" s="848">
        <f t="shared" si="107"/>
        <v>5943.0000000000009</v>
      </c>
      <c r="CX164" s="848">
        <f t="shared" si="107"/>
        <v>0</v>
      </c>
      <c r="CY164" s="848">
        <f t="shared" si="107"/>
        <v>0</v>
      </c>
      <c r="CZ164" s="848">
        <f t="shared" si="107"/>
        <v>0</v>
      </c>
      <c r="DA164" s="848">
        <f t="shared" si="107"/>
        <v>0</v>
      </c>
      <c r="DB164" s="848">
        <f t="shared" si="107"/>
        <v>0</v>
      </c>
      <c r="DC164" s="848">
        <f t="shared" si="107"/>
        <v>8059.4802109788416</v>
      </c>
      <c r="DD164" s="848">
        <f t="shared" si="107"/>
        <v>0</v>
      </c>
      <c r="DE164" s="848">
        <f t="shared" si="107"/>
        <v>0</v>
      </c>
      <c r="DF164" s="848">
        <f t="shared" si="107"/>
        <v>0</v>
      </c>
      <c r="DG164" s="848">
        <f t="shared" si="107"/>
        <v>0</v>
      </c>
      <c r="DH164" s="848">
        <f t="shared" si="107"/>
        <v>0</v>
      </c>
      <c r="DI164" s="848">
        <f t="shared" si="107"/>
        <v>9744.8104223767532</v>
      </c>
      <c r="DJ164" s="848">
        <f t="shared" si="107"/>
        <v>0</v>
      </c>
      <c r="DK164" s="848">
        <f t="shared" si="107"/>
        <v>0</v>
      </c>
      <c r="DL164" s="848">
        <f t="shared" si="107"/>
        <v>0</v>
      </c>
      <c r="DM164" s="848">
        <f t="shared" si="107"/>
        <v>0</v>
      </c>
      <c r="DN164" s="848">
        <f t="shared" si="107"/>
        <v>0</v>
      </c>
      <c r="DO164" s="848">
        <f t="shared" si="107"/>
        <v>8546.9776538911428</v>
      </c>
      <c r="DP164" s="848">
        <f t="shared" si="107"/>
        <v>0</v>
      </c>
      <c r="DQ164" s="848">
        <f t="shared" si="107"/>
        <v>0</v>
      </c>
      <c r="DR164" s="848">
        <f t="shared" si="107"/>
        <v>0</v>
      </c>
      <c r="DS164" s="848">
        <f t="shared" si="107"/>
        <v>0</v>
      </c>
      <c r="DT164" s="848">
        <f t="shared" si="107"/>
        <v>0</v>
      </c>
      <c r="DU164" s="848">
        <f t="shared" si="107"/>
        <v>10258.353380260729</v>
      </c>
      <c r="DV164" s="848">
        <f t="shared" si="107"/>
        <v>0</v>
      </c>
      <c r="DW164" s="848">
        <f t="shared" si="107"/>
        <v>0</v>
      </c>
      <c r="DX164" s="848">
        <f t="shared" si="107"/>
        <v>0</v>
      </c>
      <c r="DY164" s="848">
        <f t="shared" si="107"/>
        <v>0</v>
      </c>
      <c r="DZ164" s="848">
        <f t="shared" si="107"/>
        <v>302428.42444864166</v>
      </c>
      <c r="EA164" s="848">
        <f t="shared" si="107"/>
        <v>0</v>
      </c>
      <c r="EB164" s="848">
        <f t="shared" si="107"/>
        <v>0</v>
      </c>
      <c r="EC164" s="848">
        <f t="shared" si="107"/>
        <v>0</v>
      </c>
      <c r="ED164" s="848">
        <f t="shared" si="107"/>
        <v>0</v>
      </c>
      <c r="EE164" s="848">
        <f t="shared" si="107"/>
        <v>0</v>
      </c>
      <c r="EF164" s="848">
        <f t="shared" si="107"/>
        <v>0</v>
      </c>
      <c r="EG164" s="848">
        <f t="shared" si="107"/>
        <v>0</v>
      </c>
      <c r="EH164" s="848">
        <f t="shared" si="107"/>
        <v>0</v>
      </c>
      <c r="EI164" s="848">
        <f>EI160+EI163</f>
        <v>0</v>
      </c>
      <c r="EJ164" s="848">
        <f>EJ160+EJ163</f>
        <v>0</v>
      </c>
      <c r="EK164" s="848">
        <f>EK160+EK163</f>
        <v>0</v>
      </c>
      <c r="EL164" s="848">
        <f>EL160+EL163</f>
        <v>0</v>
      </c>
    </row>
    <row r="165" spans="2:142" s="833" customFormat="1" ht="13.5">
      <c r="B165" s="1000"/>
      <c r="D165" s="1089" t="s">
        <v>2077</v>
      </c>
      <c r="E165" s="1089"/>
      <c r="F165" s="1090"/>
      <c r="G165" s="532">
        <v>5.4023619350683519E-2</v>
      </c>
      <c r="H165" s="533">
        <f>(1+IRR(J164:EL164,1%))^12-1</f>
        <v>5.2258759519524745E-2</v>
      </c>
      <c r="J165" s="848"/>
      <c r="K165" s="848"/>
      <c r="L165" s="848"/>
      <c r="M165" s="848"/>
      <c r="N165" s="848"/>
      <c r="O165" s="848"/>
      <c r="P165" s="848"/>
      <c r="Q165" s="848"/>
      <c r="R165" s="848"/>
      <c r="S165" s="848"/>
      <c r="T165" s="848"/>
      <c r="U165" s="848"/>
      <c r="V165" s="848"/>
      <c r="W165" s="848"/>
      <c r="X165" s="848"/>
      <c r="Y165" s="848"/>
      <c r="Z165" s="848"/>
      <c r="AA165" s="848"/>
      <c r="AB165" s="848"/>
      <c r="AC165" s="848"/>
      <c r="AD165" s="848"/>
      <c r="AE165" s="848"/>
      <c r="AF165" s="848"/>
      <c r="AG165" s="848"/>
      <c r="AH165" s="848"/>
      <c r="AI165" s="848"/>
      <c r="AJ165" s="848"/>
      <c r="AK165" s="848"/>
      <c r="AL165" s="848"/>
      <c r="AM165" s="848"/>
      <c r="AN165" s="848"/>
      <c r="AO165" s="848"/>
      <c r="AP165" s="848"/>
      <c r="AQ165" s="848"/>
      <c r="AR165" s="848"/>
      <c r="AS165" s="848"/>
      <c r="AT165" s="848"/>
      <c r="AU165" s="848"/>
      <c r="AV165" s="848"/>
      <c r="AW165" s="848"/>
      <c r="AX165" s="848"/>
      <c r="AY165" s="848"/>
      <c r="AZ165" s="848"/>
      <c r="BA165" s="848"/>
      <c r="BB165" s="848"/>
      <c r="BC165" s="848"/>
      <c r="BD165" s="848"/>
      <c r="BE165" s="848"/>
      <c r="BF165" s="848"/>
      <c r="BG165" s="848"/>
      <c r="BH165" s="848"/>
      <c r="BI165" s="848"/>
      <c r="BJ165" s="848"/>
      <c r="BK165" s="848"/>
      <c r="BL165" s="848"/>
      <c r="BM165" s="848"/>
      <c r="BN165" s="848"/>
      <c r="BO165" s="848"/>
      <c r="BP165" s="848"/>
      <c r="BQ165" s="848"/>
      <c r="BR165" s="848"/>
      <c r="BS165" s="848"/>
      <c r="BT165" s="848"/>
      <c r="BU165" s="848"/>
      <c r="BV165" s="848"/>
      <c r="BW165" s="848"/>
      <c r="BX165" s="848"/>
      <c r="BY165" s="848"/>
      <c r="BZ165" s="848"/>
      <c r="CA165" s="848"/>
      <c r="CB165" s="848"/>
      <c r="CC165" s="848"/>
      <c r="CD165" s="848"/>
      <c r="CE165" s="848"/>
      <c r="CF165" s="848"/>
      <c r="CG165" s="848"/>
      <c r="CH165" s="848"/>
      <c r="CI165" s="848"/>
      <c r="CJ165" s="848"/>
      <c r="CK165" s="848"/>
      <c r="CL165" s="848"/>
      <c r="CM165" s="848"/>
      <c r="CN165" s="848"/>
      <c r="CO165" s="848"/>
      <c r="CP165" s="848"/>
      <c r="CQ165" s="848"/>
      <c r="CR165" s="848"/>
      <c r="CS165" s="848"/>
      <c r="CT165" s="848"/>
      <c r="CU165" s="848"/>
      <c r="CV165" s="848"/>
      <c r="CW165" s="848"/>
      <c r="CX165" s="848"/>
      <c r="CY165" s="848"/>
      <c r="CZ165" s="848"/>
      <c r="DA165" s="848"/>
      <c r="DB165" s="848"/>
      <c r="DC165" s="848"/>
      <c r="DD165" s="848"/>
      <c r="DE165" s="848"/>
      <c r="DF165" s="848"/>
      <c r="DG165" s="848"/>
      <c r="DH165" s="848"/>
      <c r="DI165" s="848"/>
      <c r="DJ165" s="848"/>
      <c r="DK165" s="848"/>
      <c r="DL165" s="848"/>
      <c r="DM165" s="848"/>
      <c r="DN165" s="848"/>
      <c r="DO165" s="848"/>
      <c r="DP165" s="848"/>
      <c r="DQ165" s="848"/>
      <c r="DR165" s="848"/>
      <c r="DS165" s="848"/>
      <c r="DT165" s="848"/>
      <c r="DU165" s="848"/>
      <c r="DV165" s="848"/>
      <c r="DW165" s="848"/>
      <c r="DX165" s="848"/>
      <c r="DY165" s="848"/>
      <c r="DZ165" s="848"/>
      <c r="EA165" s="848"/>
      <c r="EB165" s="848"/>
      <c r="EC165" s="848"/>
      <c r="ED165" s="848"/>
      <c r="EE165" s="848"/>
      <c r="EF165" s="848"/>
      <c r="EG165" s="848"/>
      <c r="EH165" s="848"/>
      <c r="EI165" s="848"/>
      <c r="EJ165" s="848"/>
      <c r="EK165" s="848"/>
      <c r="EL165" s="848"/>
    </row>
    <row r="166" spans="2:142" s="833" customFormat="1">
      <c r="B166" s="1013"/>
      <c r="C166" s="1014"/>
      <c r="D166" s="1014"/>
      <c r="E166" s="1014"/>
      <c r="F166" s="1014"/>
      <c r="G166" s="1014"/>
      <c r="H166" s="217"/>
      <c r="J166" s="217"/>
      <c r="K166" s="217"/>
      <c r="L166" s="217"/>
      <c r="M166" s="217"/>
      <c r="N166" s="217"/>
      <c r="O166" s="217"/>
      <c r="P166" s="217"/>
      <c r="Q166" s="217"/>
      <c r="R166" s="217"/>
      <c r="S166" s="217"/>
      <c r="T166" s="217"/>
      <c r="U166" s="217"/>
      <c r="V166" s="217"/>
      <c r="W166" s="217"/>
      <c r="X166" s="217"/>
      <c r="Y166" s="217"/>
      <c r="Z166" s="217"/>
      <c r="AA166" s="217"/>
      <c r="AB166" s="217"/>
      <c r="AC166" s="217"/>
      <c r="AD166" s="217"/>
      <c r="AE166" s="217"/>
      <c r="AF166" s="217"/>
      <c r="AG166" s="217"/>
      <c r="AH166" s="217"/>
      <c r="AI166" s="217"/>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c r="CW166" s="217"/>
      <c r="CX166" s="217"/>
      <c r="CY166" s="217"/>
      <c r="CZ166" s="217"/>
      <c r="DA166" s="217"/>
      <c r="DB166" s="217"/>
      <c r="DC166" s="217"/>
      <c r="DD166" s="217"/>
      <c r="DE166" s="217"/>
      <c r="DF166" s="217"/>
      <c r="DG166" s="217"/>
      <c r="DH166" s="217"/>
      <c r="DI166" s="217"/>
      <c r="DJ166" s="217"/>
      <c r="DK166" s="217"/>
      <c r="DL166" s="217"/>
      <c r="DM166" s="217"/>
      <c r="DN166" s="217"/>
      <c r="DO166" s="217"/>
      <c r="DP166" s="217"/>
      <c r="DQ166" s="217"/>
      <c r="DR166" s="217"/>
      <c r="DS166" s="217"/>
      <c r="DT166" s="217"/>
      <c r="DU166" s="217"/>
      <c r="DV166" s="217"/>
      <c r="DW166" s="217"/>
      <c r="DX166" s="217"/>
      <c r="DY166" s="217"/>
      <c r="DZ166" s="217"/>
      <c r="EA166" s="217"/>
      <c r="EB166" s="217"/>
      <c r="EC166" s="217"/>
      <c r="ED166" s="217"/>
      <c r="EE166" s="217"/>
      <c r="EF166" s="217"/>
      <c r="EG166" s="217"/>
      <c r="EH166" s="217"/>
      <c r="EI166" s="217"/>
      <c r="EJ166" s="217"/>
      <c r="EK166" s="217"/>
      <c r="EL166" s="217"/>
    </row>
    <row r="167" spans="2:142">
      <c r="I167" s="833"/>
      <c r="EA167" s="835"/>
      <c r="EB167" s="835"/>
      <c r="EC167" s="835"/>
      <c r="ED167" s="835"/>
      <c r="EE167" s="835"/>
      <c r="EF167" s="835"/>
      <c r="EG167" s="835"/>
      <c r="EH167" s="835"/>
      <c r="EI167" s="835"/>
      <c r="EJ167" s="835"/>
      <c r="EK167" s="835"/>
      <c r="EL167" s="835"/>
    </row>
    <row r="168" spans="2:142" s="833" customFormat="1">
      <c r="B168" s="1083"/>
      <c r="C168" s="1084"/>
      <c r="D168" s="1084"/>
      <c r="E168" s="1084"/>
      <c r="F168" s="1058"/>
      <c r="G168" s="1084"/>
      <c r="H168" s="527"/>
      <c r="J168" s="2345">
        <f>-SUM($J171:J171)*(J$7&lt;=$G$7)</f>
        <v>156800</v>
      </c>
      <c r="K168" s="2345">
        <f>-SUM($J171:K171)*(K$7&lt;=$G$7)</f>
        <v>156800</v>
      </c>
      <c r="L168" s="2345">
        <f>-SUM($J171:L171)*(L$7&lt;=$G$7)</f>
        <v>156800</v>
      </c>
      <c r="M168" s="2345">
        <f>-SUM($J171:M171)*(M$7&lt;=$G$7)</f>
        <v>156800</v>
      </c>
      <c r="N168" s="2345">
        <f>-SUM($J171:N171)*(N$7&lt;=$G$7)</f>
        <v>156800</v>
      </c>
      <c r="O168" s="2345">
        <f>-SUM($J171:O171)*(O$7&lt;=$G$7)</f>
        <v>156800</v>
      </c>
      <c r="P168" s="2345">
        <f>-SUM($J171:P171)*(P$7&lt;=$G$7)</f>
        <v>156800</v>
      </c>
      <c r="Q168" s="2345">
        <f>-SUM($J171:Q171)*(Q$7&lt;=$G$7)</f>
        <v>242800</v>
      </c>
      <c r="R168" s="2345">
        <f>-SUM($J171:R171)*(R$7&lt;=$G$7)</f>
        <v>242800</v>
      </c>
      <c r="S168" s="2345">
        <f>-SUM($J171:S171)*(S$7&lt;=$G$7)</f>
        <v>242800</v>
      </c>
      <c r="T168" s="2345">
        <f>-SUM($J171:T171)*(T$7&lt;=$G$7)</f>
        <v>242800</v>
      </c>
      <c r="U168" s="2345">
        <f>-SUM($J171:U171)*(U$7&lt;=$G$7)</f>
        <v>242800</v>
      </c>
      <c r="V168" s="2345">
        <f>-SUM($J171:V171)*(V$7&lt;=$G$7)</f>
        <v>242800</v>
      </c>
      <c r="W168" s="2345">
        <f>-SUM($J171:W171)*(W$7&lt;=$G$7)</f>
        <v>242800</v>
      </c>
      <c r="X168" s="2345">
        <f>-SUM($J171:X171)*(X$7&lt;=$G$7)</f>
        <v>242800</v>
      </c>
      <c r="Y168" s="2345">
        <f>-SUM($J171:Y171)*(Y$7&lt;=$G$7)</f>
        <v>242800</v>
      </c>
      <c r="Z168" s="2345">
        <f>-SUM($J171:Z171)*(Z$7&lt;=$G$7)</f>
        <v>242800</v>
      </c>
      <c r="AA168" s="2345">
        <f>-SUM($J171:AA171)*(AA$7&lt;=$G$7)</f>
        <v>242800</v>
      </c>
      <c r="AB168" s="2345">
        <f>-SUM($J171:AB171)*(AB$7&lt;=$G$7)</f>
        <v>242800</v>
      </c>
      <c r="AC168" s="2345">
        <f>-SUM($J171:AC171)*(AC$7&lt;=$G$7)</f>
        <v>242800</v>
      </c>
      <c r="AD168" s="2345">
        <f>-SUM($J171:AD171)*(AD$7&lt;=$G$7)</f>
        <v>242800</v>
      </c>
      <c r="AE168" s="2345">
        <f>-SUM($J171:AE171)*(AE$7&lt;=$G$7)</f>
        <v>242800</v>
      </c>
      <c r="AF168" s="2345">
        <f>-SUM($J171:AF171)*(AF$7&lt;=$G$7)</f>
        <v>242800</v>
      </c>
      <c r="AG168" s="2345">
        <f>-SUM($J171:AG171)*(AG$7&lt;=$G$7)</f>
        <v>242800</v>
      </c>
      <c r="AH168" s="2345">
        <f>-SUM($J171:AH171)*(AH$7&lt;=$G$7)</f>
        <v>242800</v>
      </c>
      <c r="AI168" s="2345">
        <f>-SUM($J171:AI171)*(AI$7&lt;=$G$7)</f>
        <v>242800</v>
      </c>
      <c r="AJ168" s="2345">
        <f>-SUM($J171:AJ171)*(AJ$7&lt;=$G$7)</f>
        <v>242800</v>
      </c>
      <c r="AK168" s="2345">
        <f>-SUM($J171:AK171)*(AK$7&lt;=$G$7)</f>
        <v>242800</v>
      </c>
      <c r="AL168" s="2345">
        <f>-SUM($J171:AL171)*(AL$7&lt;=$G$7)</f>
        <v>242800</v>
      </c>
      <c r="AM168" s="2345">
        <f>-SUM($J171:AM171)*(AM$7&lt;=$G$7)</f>
        <v>242800</v>
      </c>
      <c r="AN168" s="2345">
        <f>-SUM($J171:AN171)*(AN$7&lt;=$G$7)</f>
        <v>242800</v>
      </c>
      <c r="AO168" s="2345">
        <f>-SUM($J171:AO171)*(AO$7&lt;=$G$7)</f>
        <v>242800</v>
      </c>
      <c r="AP168" s="2345">
        <f>-SUM($J171:AP171)*(AP$7&lt;=$G$7)</f>
        <v>242800</v>
      </c>
      <c r="AQ168" s="2345">
        <f>-SUM($J171:AQ171)*(AQ$7&lt;=$G$7)</f>
        <v>242800</v>
      </c>
      <c r="AR168" s="2345">
        <f>-SUM($J171:AR171)*(AR$7&lt;=$G$7)</f>
        <v>242800</v>
      </c>
      <c r="AS168" s="2345">
        <f>-SUM($J171:AS171)*(AS$7&lt;=$G$7)</f>
        <v>242800</v>
      </c>
      <c r="AT168" s="2345">
        <f>-SUM($J171:AT171)*(AT$7&lt;=$G$7)</f>
        <v>242800</v>
      </c>
      <c r="AU168" s="2345">
        <f>-SUM($J171:AU171)*(AU$7&lt;=$G$7)</f>
        <v>242800</v>
      </c>
      <c r="AV168" s="2345">
        <f>-SUM($J171:AV171)*(AV$7&lt;=$G$7)</f>
        <v>242800</v>
      </c>
      <c r="AW168" s="2345">
        <f>-SUM($J171:AW171)*(AW$7&lt;=$G$7)</f>
        <v>242800</v>
      </c>
      <c r="AX168" s="2345">
        <f>-SUM($J171:AX171)*(AX$7&lt;=$G$7)</f>
        <v>242800</v>
      </c>
      <c r="AY168" s="2345">
        <f>-SUM($J171:AY171)*(AY$7&lt;=$G$7)</f>
        <v>242800</v>
      </c>
      <c r="AZ168" s="2345">
        <f>-SUM($J171:AZ171)*(AZ$7&lt;=$G$7)</f>
        <v>242800</v>
      </c>
      <c r="BA168" s="2345">
        <f>-SUM($J171:BA171)*(BA$7&lt;=$G$7)</f>
        <v>242800</v>
      </c>
      <c r="BB168" s="2345">
        <f>-SUM($J171:BB171)*(BB$7&lt;=$G$7)</f>
        <v>242800</v>
      </c>
      <c r="BC168" s="2345">
        <f>-SUM($J171:BC171)*(BC$7&lt;=$G$7)</f>
        <v>242800</v>
      </c>
      <c r="BD168" s="2345">
        <f>-SUM($J171:BD171)*(BD$7&lt;=$G$7)</f>
        <v>242800</v>
      </c>
      <c r="BE168" s="2345">
        <f>-SUM($J171:BE171)*(BE$7&lt;=$G$7)</f>
        <v>242800</v>
      </c>
      <c r="BF168" s="2345">
        <f>-SUM($J171:BF171)*(BF$7&lt;=$G$7)</f>
        <v>242800</v>
      </c>
      <c r="BG168" s="2345">
        <f>-SUM($J171:BG171)*(BG$7&lt;=$G$7)</f>
        <v>242800</v>
      </c>
      <c r="BH168" s="2345">
        <f>-SUM($J171:BH171)*(BH$7&lt;=$G$7)</f>
        <v>242800</v>
      </c>
      <c r="BI168" s="2345">
        <f>-SUM($J171:BI171)*(BI$7&lt;=$G$7)</f>
        <v>242800</v>
      </c>
      <c r="BJ168" s="2345">
        <f>-SUM($J171:BJ171)*(BJ$7&lt;=$G$7)</f>
        <v>242800</v>
      </c>
      <c r="BK168" s="2345">
        <f>-SUM($J171:BK171)*(BK$7&lt;=$G$7)</f>
        <v>242800</v>
      </c>
      <c r="BL168" s="2345">
        <f>-SUM($J171:BL171)*(BL$7&lt;=$G$7)</f>
        <v>242800</v>
      </c>
      <c r="BM168" s="2345">
        <f>-SUM($J171:BM171)*(BM$7&lt;=$G$7)</f>
        <v>242800</v>
      </c>
      <c r="BN168" s="2345">
        <f>-SUM($J171:BN171)*(BN$7&lt;=$G$7)</f>
        <v>242800</v>
      </c>
      <c r="BO168" s="2345">
        <f>-SUM($J171:BO171)*(BO$7&lt;=$G$7)</f>
        <v>242800</v>
      </c>
      <c r="BP168" s="2345">
        <f>-SUM($J171:BP171)*(BP$7&lt;=$G$7)</f>
        <v>242800</v>
      </c>
      <c r="BQ168" s="2345">
        <f>-SUM($J171:BQ171)*(BQ$7&lt;=$G$7)</f>
        <v>242800</v>
      </c>
      <c r="BR168" s="2345">
        <f>-SUM($J171:BR171)*(BR$7&lt;=$G$7)</f>
        <v>242800</v>
      </c>
      <c r="BS168" s="2345">
        <f>-SUM($J171:BS171)*(BS$7&lt;=$G$7)</f>
        <v>242800</v>
      </c>
      <c r="BT168" s="2345">
        <f>-SUM($J171:BT171)*(BT$7&lt;=$G$7)</f>
        <v>242800</v>
      </c>
      <c r="BU168" s="2345">
        <f>-SUM($J171:BU171)*(BU$7&lt;=$G$7)</f>
        <v>242800</v>
      </c>
      <c r="BV168" s="2345">
        <f>-SUM($J171:BV171)*(BV$7&lt;=$G$7)</f>
        <v>242800</v>
      </c>
      <c r="BW168" s="2345">
        <f>-SUM($J171:BW171)*(BW$7&lt;=$G$7)</f>
        <v>242800</v>
      </c>
      <c r="BX168" s="2345">
        <f>-SUM($J171:BX171)*(BX$7&lt;=$G$7)</f>
        <v>242800</v>
      </c>
      <c r="BY168" s="2345">
        <f>-SUM($J171:BY171)*(BY$7&lt;=$G$7)</f>
        <v>242800</v>
      </c>
      <c r="BZ168" s="2345">
        <f>-SUM($J171:BZ171)*(BZ$7&lt;=$G$7)</f>
        <v>242800</v>
      </c>
      <c r="CA168" s="2345">
        <f>-SUM($J171:CA171)*(CA$7&lt;=$G$7)</f>
        <v>242800</v>
      </c>
      <c r="CB168" s="2345">
        <f>-SUM($J171:CB171)*(CB$7&lt;=$G$7)</f>
        <v>242800</v>
      </c>
      <c r="CC168" s="2345">
        <f>-SUM($J171:CC171)*(CC$7&lt;=$G$7)</f>
        <v>242800</v>
      </c>
      <c r="CD168" s="2345">
        <f>-SUM($J171:CD171)*(CD$7&lt;=$G$7)</f>
        <v>242800</v>
      </c>
      <c r="CE168" s="2345">
        <f>-SUM($J171:CE171)*(CE$7&lt;=$G$7)</f>
        <v>242800</v>
      </c>
      <c r="CF168" s="2345">
        <f>-SUM($J171:CF171)*(CF$7&lt;=$G$7)</f>
        <v>242800</v>
      </c>
      <c r="CG168" s="2345">
        <f>-SUM($J171:CG171)*(CG$7&lt;=$G$7)</f>
        <v>242800</v>
      </c>
      <c r="CH168" s="2345">
        <f>-SUM($J171:CH171)*(CH$7&lt;=$G$7)</f>
        <v>242800</v>
      </c>
      <c r="CI168" s="2345">
        <f>-SUM($J171:CI171)*(CI$7&lt;=$G$7)</f>
        <v>242800</v>
      </c>
      <c r="CJ168" s="2345">
        <f>-SUM($J171:CJ171)*(CJ$7&lt;=$G$7)</f>
        <v>242800</v>
      </c>
      <c r="CK168" s="2345">
        <f>-SUM($J171:CK171)*(CK$7&lt;=$G$7)</f>
        <v>242800</v>
      </c>
      <c r="CL168" s="2345">
        <f>-SUM($J171:CL171)*(CL$7&lt;=$G$7)</f>
        <v>242800</v>
      </c>
      <c r="CM168" s="2345">
        <f>-SUM($J171:CM171)*(CM$7&lt;=$G$7)</f>
        <v>242800</v>
      </c>
      <c r="CN168" s="2345">
        <f>-SUM($J171:CN171)*(CN$7&lt;=$G$7)</f>
        <v>242800</v>
      </c>
      <c r="CO168" s="2345">
        <f>-SUM($J171:CO171)*(CO$7&lt;=$G$7)</f>
        <v>242800</v>
      </c>
      <c r="CP168" s="2345">
        <f>-SUM($J171:CP171)*(CP$7&lt;=$G$7)</f>
        <v>242800</v>
      </c>
      <c r="CQ168" s="2345">
        <f>-SUM($J171:CQ171)*(CQ$7&lt;=$G$7)</f>
        <v>242800</v>
      </c>
      <c r="CR168" s="2345">
        <f>-SUM($J171:CR171)*(CR$7&lt;=$G$7)</f>
        <v>242800</v>
      </c>
      <c r="CS168" s="2345">
        <f>-SUM($J171:CS171)*(CS$7&lt;=$G$7)</f>
        <v>242800</v>
      </c>
      <c r="CT168" s="2345">
        <f>-SUM($J171:CT171)*(CT$7&lt;=$G$7)</f>
        <v>242800</v>
      </c>
      <c r="CU168" s="2345">
        <f>-SUM($J171:CU171)*(CU$7&lt;=$G$7)</f>
        <v>242800</v>
      </c>
      <c r="CV168" s="2345">
        <f>-SUM($J171:CV171)*(CV$7&lt;=$G$7)</f>
        <v>242800</v>
      </c>
      <c r="CW168" s="2345">
        <f>-SUM($J171:CW171)*(CW$7&lt;=$G$7)</f>
        <v>242800</v>
      </c>
      <c r="CX168" s="2345">
        <f>-SUM($J171:CX171)*(CX$7&lt;=$G$7)</f>
        <v>242800</v>
      </c>
      <c r="CY168" s="2345">
        <f>-SUM($J171:CY171)*(CY$7&lt;=$G$7)</f>
        <v>242800</v>
      </c>
      <c r="CZ168" s="2345">
        <f>-SUM($J171:CZ171)*(CZ$7&lt;=$G$7)</f>
        <v>242800</v>
      </c>
      <c r="DA168" s="2345">
        <f>-SUM($J171:DA171)*(DA$7&lt;=$G$7)</f>
        <v>242800</v>
      </c>
      <c r="DB168" s="2345">
        <f>-SUM($J171:DB171)*(DB$7&lt;=$G$7)</f>
        <v>242800</v>
      </c>
      <c r="DC168" s="2345">
        <f>-SUM($J171:DC171)*(DC$7&lt;=$G$7)</f>
        <v>242800</v>
      </c>
      <c r="DD168" s="2345">
        <f>-SUM($J171:DD171)*(DD$7&lt;=$G$7)</f>
        <v>242800</v>
      </c>
      <c r="DE168" s="2345">
        <f>-SUM($J171:DE171)*(DE$7&lt;=$G$7)</f>
        <v>242800</v>
      </c>
      <c r="DF168" s="2345">
        <f>-SUM($J171:DF171)*(DF$7&lt;=$G$7)</f>
        <v>242800</v>
      </c>
      <c r="DG168" s="2345">
        <f>-SUM($J171:DG171)*(DG$7&lt;=$G$7)</f>
        <v>242800</v>
      </c>
      <c r="DH168" s="2345">
        <f>-SUM($J171:DH171)*(DH$7&lt;=$G$7)</f>
        <v>242800</v>
      </c>
      <c r="DI168" s="2345">
        <f>-SUM($J171:DI171)*(DI$7&lt;=$G$7)</f>
        <v>242800</v>
      </c>
      <c r="DJ168" s="2345">
        <f>-SUM($J171:DJ171)*(DJ$7&lt;=$G$7)</f>
        <v>242800</v>
      </c>
      <c r="DK168" s="2345">
        <f>-SUM($J171:DK171)*(DK$7&lt;=$G$7)</f>
        <v>242800</v>
      </c>
      <c r="DL168" s="2345">
        <f>-SUM($J171:DL171)*(DL$7&lt;=$G$7)</f>
        <v>242800</v>
      </c>
      <c r="DM168" s="2345">
        <f>-SUM($J171:DM171)*(DM$7&lt;=$G$7)</f>
        <v>242800</v>
      </c>
      <c r="DN168" s="2345">
        <f>-SUM($J171:DN171)*(DN$7&lt;=$G$7)</f>
        <v>242800</v>
      </c>
      <c r="DO168" s="2345">
        <f>-SUM($J171:DO171)*(DO$7&lt;=$G$7)</f>
        <v>242800</v>
      </c>
      <c r="DP168" s="2345">
        <f>-SUM($J171:DP171)*(DP$7&lt;=$G$7)</f>
        <v>242800</v>
      </c>
      <c r="DQ168" s="2345">
        <f>-SUM($J171:DQ171)*(DQ$7&lt;=$G$7)</f>
        <v>242800</v>
      </c>
      <c r="DR168" s="2345">
        <f>-SUM($J171:DR171)*(DR$7&lt;=$G$7)</f>
        <v>242800</v>
      </c>
      <c r="DS168" s="2345">
        <f>-SUM($J171:DS171)*(DS$7&lt;=$G$7)</f>
        <v>242800</v>
      </c>
      <c r="DT168" s="2345">
        <f>-SUM($J171:DT171)*(DT$7&lt;=$G$7)</f>
        <v>242800</v>
      </c>
      <c r="DU168" s="2345">
        <f>-SUM($J171:DU171)*(DU$7&lt;=$G$7)</f>
        <v>242800</v>
      </c>
      <c r="DV168" s="2345">
        <f>-SUM($J171:DV171)*(DV$7&lt;=$G$7)</f>
        <v>242800</v>
      </c>
      <c r="DW168" s="2345">
        <f>-SUM($J171:DW171)*(DW$7&lt;=$G$7)</f>
        <v>242800</v>
      </c>
      <c r="DX168" s="2345">
        <f>-SUM($J171:DX171)*(DX$7&lt;=$G$7)</f>
        <v>242800</v>
      </c>
      <c r="DY168" s="2345">
        <f>-SUM($J171:DY171)*(DY$7&lt;=$G$7)</f>
        <v>242800</v>
      </c>
      <c r="DZ168" s="2345">
        <f>-SUM($J171:DZ171)*(DZ$7&lt;=$G$7)</f>
        <v>242800</v>
      </c>
      <c r="EA168" s="2345">
        <f>-SUM($J171:EA171)*(EA$7&lt;=$G$7)</f>
        <v>0</v>
      </c>
      <c r="EB168" s="2345">
        <f>-SUM($J171:EB171)*(EB$7&lt;=$G$7)</f>
        <v>0</v>
      </c>
      <c r="EC168" s="2345">
        <f>-SUM($J171:EC171)*(EC$7&lt;=$G$7)</f>
        <v>0</v>
      </c>
      <c r="ED168" s="2345">
        <f>-SUM($J171:ED171)*(ED$7&lt;=$G$7)</f>
        <v>0</v>
      </c>
      <c r="EE168" s="2345">
        <f>-SUM($J171:EE171)*(EE$7&lt;=$G$7)</f>
        <v>0</v>
      </c>
      <c r="EF168" s="2345">
        <f>-SUM($J171:EF171)*(EF$7&lt;=$G$7)</f>
        <v>0</v>
      </c>
      <c r="EG168" s="2345">
        <f>-SUM($J171:EG171)*(EG$7&lt;=$G$7)</f>
        <v>0</v>
      </c>
      <c r="EH168" s="2345">
        <f>-SUM($J171:EH171)*(EH$7&lt;=$G$7)</f>
        <v>0</v>
      </c>
      <c r="EI168" s="2345">
        <f>-SUM($J171:EI171)*(EI$7&lt;=$G$7)</f>
        <v>0</v>
      </c>
      <c r="EJ168" s="2345">
        <f>-SUM($J171:EJ171)*(EJ$7&lt;=$G$7)</f>
        <v>0</v>
      </c>
      <c r="EK168" s="2345">
        <f>-SUM($J171:EK171)*(EK$7&lt;=$G$7)</f>
        <v>0</v>
      </c>
      <c r="EL168" s="2345">
        <f>-SUM($J171:EL171)*(EL$7&lt;=$G$7)</f>
        <v>0</v>
      </c>
    </row>
    <row r="169" spans="2:142" s="833" customFormat="1" ht="13.5">
      <c r="B169" s="1000"/>
      <c r="C169" s="822" t="s">
        <v>2075</v>
      </c>
      <c r="D169" s="1001"/>
      <c r="E169" s="1001"/>
      <c r="F169" s="1008"/>
      <c r="G169" s="1001"/>
      <c r="H169" s="848"/>
      <c r="I169" s="848"/>
      <c r="J169" s="848"/>
      <c r="K169" s="848"/>
      <c r="L169" s="848"/>
      <c r="M169" s="848"/>
      <c r="N169" s="848"/>
      <c r="O169" s="848"/>
      <c r="P169" s="848"/>
      <c r="Q169" s="848"/>
      <c r="R169" s="848"/>
      <c r="S169" s="848"/>
      <c r="T169" s="848"/>
      <c r="U169" s="848"/>
      <c r="V169" s="848"/>
      <c r="W169" s="848"/>
      <c r="X169" s="848"/>
      <c r="Y169" s="848"/>
      <c r="Z169" s="848"/>
      <c r="AA169" s="848"/>
      <c r="AB169" s="848"/>
      <c r="AC169" s="848"/>
      <c r="AD169" s="848"/>
      <c r="AE169" s="848"/>
      <c r="AF169" s="848"/>
      <c r="AG169" s="848"/>
      <c r="AH169" s="848"/>
      <c r="AI169" s="848"/>
      <c r="AJ169" s="848"/>
      <c r="AK169" s="848"/>
      <c r="AL169" s="848"/>
      <c r="AM169" s="848"/>
      <c r="AN169" s="848"/>
      <c r="AO169" s="848"/>
      <c r="AP169" s="848"/>
      <c r="AQ169" s="848"/>
      <c r="AR169" s="848"/>
      <c r="AS169" s="848"/>
      <c r="AT169" s="848"/>
      <c r="AU169" s="848"/>
      <c r="AV169" s="848"/>
      <c r="AW169" s="848"/>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c r="BU169" s="848"/>
      <c r="BV169" s="848"/>
      <c r="BW169" s="848"/>
      <c r="BX169" s="848"/>
      <c r="BY169" s="848"/>
      <c r="BZ169" s="848"/>
      <c r="CA169" s="848"/>
      <c r="CB169" s="848"/>
      <c r="CC169" s="848"/>
      <c r="CD169" s="848"/>
      <c r="CE169" s="848"/>
      <c r="CF169" s="848"/>
      <c r="CG169" s="848"/>
      <c r="CH169" s="848"/>
      <c r="CI169" s="848"/>
      <c r="CJ169" s="848"/>
      <c r="CK169" s="848"/>
      <c r="CL169" s="848"/>
      <c r="CM169" s="848"/>
      <c r="CN169" s="848"/>
      <c r="CO169" s="848"/>
      <c r="CP169" s="848"/>
      <c r="CQ169" s="848"/>
      <c r="CR169" s="848"/>
      <c r="CS169" s="848"/>
      <c r="CT169" s="848"/>
      <c r="CU169" s="848"/>
      <c r="CV169" s="848"/>
      <c r="CW169" s="848"/>
      <c r="CX169" s="848"/>
      <c r="CY169" s="848"/>
      <c r="CZ169" s="848"/>
      <c r="DA169" s="848"/>
      <c r="DB169" s="848"/>
      <c r="DC169" s="848"/>
      <c r="DD169" s="848"/>
      <c r="DE169" s="848"/>
      <c r="DF169" s="848"/>
      <c r="DG169" s="848"/>
      <c r="DH169" s="848"/>
      <c r="DI169" s="848"/>
      <c r="DJ169" s="848"/>
      <c r="DK169" s="848"/>
      <c r="DL169" s="848"/>
      <c r="DM169" s="848"/>
      <c r="DN169" s="848"/>
      <c r="DO169" s="848"/>
      <c r="DP169" s="848"/>
      <c r="DQ169" s="848"/>
      <c r="DR169" s="848"/>
      <c r="DS169" s="848"/>
      <c r="DT169" s="848"/>
      <c r="DU169" s="848"/>
      <c r="DV169" s="848"/>
      <c r="DW169" s="848"/>
      <c r="DX169" s="848"/>
      <c r="DY169" s="848"/>
      <c r="DZ169" s="848"/>
      <c r="EA169" s="848"/>
      <c r="EB169" s="848"/>
      <c r="EC169" s="848"/>
      <c r="ED169" s="848"/>
      <c r="EE169" s="848"/>
      <c r="EF169" s="848"/>
      <c r="EG169" s="848"/>
      <c r="EH169" s="848"/>
      <c r="EI169" s="848"/>
      <c r="EJ169" s="848"/>
      <c r="EK169" s="848"/>
      <c r="EL169" s="848"/>
    </row>
    <row r="170" spans="2:142" s="833" customFormat="1">
      <c r="B170" s="1000"/>
      <c r="C170" s="1001"/>
      <c r="D170" s="1001"/>
      <c r="E170" s="1001"/>
      <c r="F170" s="1008"/>
      <c r="G170" s="1001"/>
      <c r="H170" s="848"/>
      <c r="I170" s="848"/>
      <c r="J170" s="848"/>
      <c r="K170" s="848"/>
      <c r="L170" s="848"/>
      <c r="M170" s="848"/>
      <c r="N170" s="848"/>
      <c r="O170" s="848"/>
      <c r="P170" s="848"/>
      <c r="Q170" s="848"/>
      <c r="R170" s="848"/>
      <c r="S170" s="848"/>
      <c r="T170" s="848"/>
      <c r="U170" s="848"/>
      <c r="V170" s="848"/>
      <c r="W170" s="848"/>
      <c r="X170" s="848"/>
      <c r="Y170" s="848"/>
      <c r="Z170" s="848"/>
      <c r="AA170" s="848"/>
      <c r="AB170" s="848"/>
      <c r="AC170" s="848"/>
      <c r="AD170" s="848"/>
      <c r="AE170" s="848"/>
      <c r="AF170" s="848"/>
      <c r="AG170" s="848"/>
      <c r="AH170" s="848"/>
      <c r="AI170" s="848"/>
      <c r="AJ170" s="848"/>
      <c r="AK170" s="848"/>
      <c r="AL170" s="848"/>
      <c r="AM170" s="848"/>
      <c r="AN170" s="848"/>
      <c r="AO170" s="848"/>
      <c r="AP170" s="848"/>
      <c r="AQ170" s="848"/>
      <c r="AR170" s="848"/>
      <c r="AS170" s="848"/>
      <c r="AT170" s="848"/>
      <c r="AU170" s="848"/>
      <c r="AV170" s="848"/>
      <c r="AW170" s="848"/>
      <c r="AX170" s="848"/>
      <c r="AY170" s="848"/>
      <c r="AZ170" s="848"/>
      <c r="BA170" s="848"/>
      <c r="BB170" s="848"/>
      <c r="BC170" s="848"/>
      <c r="BD170" s="848"/>
      <c r="BE170" s="848"/>
      <c r="BF170" s="848"/>
      <c r="BG170" s="848"/>
      <c r="BH170" s="848"/>
      <c r="BI170" s="848"/>
      <c r="BJ170" s="848"/>
      <c r="BK170" s="848"/>
      <c r="BL170" s="848"/>
      <c r="BM170" s="848"/>
      <c r="BN170" s="848"/>
      <c r="BO170" s="848"/>
      <c r="BP170" s="848"/>
      <c r="BQ170" s="848"/>
      <c r="BR170" s="848"/>
      <c r="BS170" s="848"/>
      <c r="BT170" s="848"/>
      <c r="BU170" s="848"/>
      <c r="BV170" s="848"/>
      <c r="BW170" s="848"/>
      <c r="BX170" s="848"/>
      <c r="BY170" s="848"/>
      <c r="BZ170" s="848"/>
      <c r="CA170" s="848"/>
      <c r="CB170" s="848"/>
      <c r="CC170" s="848"/>
      <c r="CD170" s="848"/>
      <c r="CE170" s="848"/>
      <c r="CF170" s="848"/>
      <c r="CG170" s="848"/>
      <c r="CH170" s="848"/>
      <c r="CI170" s="848"/>
      <c r="CJ170" s="848"/>
      <c r="CK170" s="848"/>
      <c r="CL170" s="848"/>
      <c r="CM170" s="848"/>
      <c r="CN170" s="848"/>
      <c r="CO170" s="848"/>
      <c r="CP170" s="848"/>
      <c r="CQ170" s="848"/>
      <c r="CR170" s="848"/>
      <c r="CS170" s="848"/>
      <c r="CT170" s="848"/>
      <c r="CU170" s="848"/>
      <c r="CV170" s="848"/>
      <c r="CW170" s="848"/>
      <c r="CX170" s="848"/>
      <c r="CY170" s="848"/>
      <c r="CZ170" s="848"/>
      <c r="DA170" s="848"/>
      <c r="DB170" s="848"/>
      <c r="DC170" s="848"/>
      <c r="DD170" s="848"/>
      <c r="DE170" s="848"/>
      <c r="DF170" s="848"/>
      <c r="DG170" s="848"/>
      <c r="DH170" s="848"/>
      <c r="DI170" s="848"/>
      <c r="DJ170" s="848"/>
      <c r="DK170" s="848"/>
      <c r="DL170" s="848"/>
      <c r="DM170" s="848"/>
      <c r="DN170" s="848"/>
      <c r="DO170" s="848"/>
      <c r="DP170" s="848"/>
      <c r="DQ170" s="848"/>
      <c r="DR170" s="848"/>
      <c r="DS170" s="848"/>
      <c r="DT170" s="848"/>
      <c r="DU170" s="848"/>
      <c r="DV170" s="848"/>
      <c r="DW170" s="848"/>
      <c r="DX170" s="848"/>
      <c r="DY170" s="848"/>
      <c r="DZ170" s="848"/>
      <c r="EA170" s="848"/>
      <c r="EB170" s="848"/>
      <c r="EC170" s="848"/>
      <c r="ED170" s="848"/>
      <c r="EE170" s="848"/>
      <c r="EF170" s="848"/>
      <c r="EG170" s="848"/>
      <c r="EH170" s="848"/>
      <c r="EI170" s="848"/>
      <c r="EJ170" s="848"/>
      <c r="EK170" s="848"/>
      <c r="EL170" s="848"/>
    </row>
    <row r="171" spans="2:142" s="833" customFormat="1" ht="13.5">
      <c r="B171" s="1000"/>
      <c r="D171" s="881" t="s">
        <v>388</v>
      </c>
      <c r="E171" s="1001"/>
      <c r="F171" s="1008"/>
      <c r="G171" s="917">
        <v>-237783.33333333334</v>
      </c>
      <c r="H171" s="848">
        <f t="shared" ref="H171:H179" si="108">SUM(J171:EL171)</f>
        <v>-242800</v>
      </c>
      <c r="I171" s="848"/>
      <c r="J171" s="1858">
        <v>-156800</v>
      </c>
      <c r="K171" s="1858">
        <v>0</v>
      </c>
      <c r="L171" s="1858">
        <v>0</v>
      </c>
      <c r="M171" s="1858">
        <v>0</v>
      </c>
      <c r="N171" s="1858">
        <v>0</v>
      </c>
      <c r="O171" s="1858">
        <v>0</v>
      </c>
      <c r="P171" s="1858">
        <v>0</v>
      </c>
      <c r="Q171" s="1858">
        <v>-86000</v>
      </c>
      <c r="R171" s="1858">
        <v>0</v>
      </c>
      <c r="S171" s="1858">
        <v>0</v>
      </c>
      <c r="T171" s="1858">
        <v>0</v>
      </c>
      <c r="U171" s="1858">
        <v>0</v>
      </c>
      <c r="V171" s="1858">
        <v>0</v>
      </c>
      <c r="W171" s="1858">
        <v>0</v>
      </c>
      <c r="X171" s="1858">
        <v>0</v>
      </c>
      <c r="Y171" s="1858">
        <v>0</v>
      </c>
      <c r="Z171" s="1858">
        <v>0</v>
      </c>
      <c r="AA171" s="1858">
        <v>0</v>
      </c>
      <c r="AB171" s="1858">
        <v>0</v>
      </c>
      <c r="AC171" s="1858">
        <v>0</v>
      </c>
      <c r="AD171" s="1858">
        <v>0</v>
      </c>
      <c r="AE171" s="1858">
        <v>0</v>
      </c>
      <c r="AF171" s="1858">
        <v>0</v>
      </c>
      <c r="AG171" s="1858">
        <v>0</v>
      </c>
      <c r="AH171" s="1858">
        <v>0</v>
      </c>
      <c r="AI171" s="1858">
        <v>0</v>
      </c>
      <c r="AJ171" s="1858">
        <v>0</v>
      </c>
      <c r="AK171" s="1858">
        <v>0</v>
      </c>
      <c r="AL171" s="1858">
        <v>0</v>
      </c>
      <c r="AM171" s="1858">
        <v>0</v>
      </c>
      <c r="AN171" s="1858">
        <v>0</v>
      </c>
      <c r="AO171" s="1858">
        <v>0</v>
      </c>
      <c r="AP171" s="1858">
        <v>0</v>
      </c>
      <c r="AQ171" s="1858">
        <v>0</v>
      </c>
      <c r="AR171" s="1858">
        <v>0</v>
      </c>
      <c r="AS171" s="1858">
        <v>0</v>
      </c>
      <c r="AT171" s="1858">
        <v>0</v>
      </c>
      <c r="AU171" s="1858">
        <v>0</v>
      </c>
      <c r="AV171" s="1858">
        <v>0</v>
      </c>
      <c r="AW171" s="1858">
        <v>0</v>
      </c>
      <c r="AX171" s="1858">
        <v>0</v>
      </c>
      <c r="AY171" s="1858">
        <v>0</v>
      </c>
      <c r="AZ171" s="1858">
        <v>0</v>
      </c>
      <c r="BA171" s="1858">
        <v>0</v>
      </c>
      <c r="BB171" s="1858">
        <v>0</v>
      </c>
      <c r="BC171" s="1858">
        <v>0</v>
      </c>
      <c r="BD171" s="1858">
        <v>0</v>
      </c>
      <c r="BE171" s="1858">
        <v>0</v>
      </c>
      <c r="BF171" s="1858">
        <v>0</v>
      </c>
      <c r="BG171" s="1858">
        <v>0</v>
      </c>
      <c r="BH171" s="1858">
        <v>0</v>
      </c>
      <c r="BI171" s="1858">
        <v>0</v>
      </c>
      <c r="BJ171" s="1858">
        <v>0</v>
      </c>
      <c r="BK171" s="1858">
        <v>0</v>
      </c>
      <c r="BL171" s="1858">
        <v>0</v>
      </c>
      <c r="BM171" s="1858">
        <v>0</v>
      </c>
      <c r="BN171" s="1858">
        <v>0</v>
      </c>
      <c r="BO171" s="1858">
        <v>0</v>
      </c>
      <c r="BP171" s="1858">
        <v>0</v>
      </c>
      <c r="BQ171" s="1858">
        <v>0</v>
      </c>
      <c r="BR171" s="1858">
        <v>0</v>
      </c>
      <c r="BS171" s="1858">
        <v>0</v>
      </c>
      <c r="BT171" s="1858">
        <v>0</v>
      </c>
      <c r="BU171" s="1858">
        <v>0</v>
      </c>
      <c r="BV171" s="1858">
        <v>0</v>
      </c>
      <c r="BW171" s="1858">
        <v>0</v>
      </c>
      <c r="BX171" s="1858">
        <v>0</v>
      </c>
      <c r="BY171" s="1858">
        <v>0</v>
      </c>
      <c r="BZ171" s="1858">
        <v>0</v>
      </c>
      <c r="CA171" s="1858">
        <v>0</v>
      </c>
      <c r="CB171" s="1858">
        <v>0</v>
      </c>
      <c r="CC171" s="1858">
        <v>0</v>
      </c>
      <c r="CD171" s="1858">
        <v>0</v>
      </c>
      <c r="CE171" s="1858">
        <v>0</v>
      </c>
      <c r="CF171" s="1858">
        <v>0</v>
      </c>
      <c r="CG171" s="1858">
        <v>0</v>
      </c>
      <c r="CH171" s="1858">
        <v>0</v>
      </c>
      <c r="CI171" s="1858">
        <v>0</v>
      </c>
      <c r="CJ171" s="1858">
        <v>0</v>
      </c>
      <c r="CK171" s="1858">
        <v>0</v>
      </c>
      <c r="CL171" s="1858">
        <v>0</v>
      </c>
      <c r="CM171" s="1858">
        <v>0</v>
      </c>
      <c r="CN171" s="1858">
        <v>0</v>
      </c>
      <c r="CO171" s="1858">
        <v>0</v>
      </c>
      <c r="CP171" s="1858">
        <v>0</v>
      </c>
      <c r="CQ171" s="1858">
        <v>0</v>
      </c>
      <c r="CR171" s="1858">
        <v>0</v>
      </c>
      <c r="CS171" s="1858">
        <v>0</v>
      </c>
      <c r="CT171" s="1858">
        <v>0</v>
      </c>
      <c r="CU171" s="1858">
        <v>0</v>
      </c>
      <c r="CV171" s="1858">
        <v>0</v>
      </c>
      <c r="CW171" s="1858">
        <v>0</v>
      </c>
      <c r="CX171" s="1858">
        <v>0</v>
      </c>
      <c r="CY171" s="1858">
        <v>0</v>
      </c>
      <c r="CZ171" s="1858">
        <v>0</v>
      </c>
      <c r="DA171" s="1858">
        <v>0</v>
      </c>
      <c r="DB171" s="1858">
        <v>0</v>
      </c>
      <c r="DC171" s="1858">
        <v>0</v>
      </c>
      <c r="DD171" s="1858">
        <v>0</v>
      </c>
      <c r="DE171" s="1858">
        <v>0</v>
      </c>
      <c r="DF171" s="1858">
        <v>0</v>
      </c>
      <c r="DG171" s="1858">
        <v>0</v>
      </c>
      <c r="DH171" s="1858">
        <v>0</v>
      </c>
      <c r="DI171" s="1858">
        <v>0</v>
      </c>
      <c r="DJ171" s="1858">
        <v>0</v>
      </c>
      <c r="DK171" s="1858">
        <v>0</v>
      </c>
      <c r="DL171" s="1858">
        <v>0</v>
      </c>
      <c r="DM171" s="1858">
        <v>0</v>
      </c>
      <c r="DN171" s="1858">
        <v>0</v>
      </c>
      <c r="DO171" s="1858">
        <v>0</v>
      </c>
      <c r="DP171" s="1858">
        <v>0</v>
      </c>
      <c r="DQ171" s="1858">
        <v>0</v>
      </c>
      <c r="DR171" s="1858">
        <v>0</v>
      </c>
      <c r="DS171" s="1858">
        <v>0</v>
      </c>
      <c r="DT171" s="1858">
        <v>0</v>
      </c>
      <c r="DU171" s="1858">
        <v>0</v>
      </c>
      <c r="DV171" s="1858">
        <v>0</v>
      </c>
      <c r="DW171" s="1858">
        <v>0</v>
      </c>
      <c r="DX171" s="1858">
        <v>0</v>
      </c>
      <c r="DY171" s="1858">
        <v>0</v>
      </c>
      <c r="DZ171" s="1858">
        <v>0</v>
      </c>
      <c r="EA171" s="1858">
        <v>0</v>
      </c>
      <c r="EB171" s="1858">
        <v>0</v>
      </c>
      <c r="EC171" s="1858">
        <v>0</v>
      </c>
      <c r="ED171" s="1858">
        <v>0</v>
      </c>
      <c r="EE171" s="1858">
        <v>0</v>
      </c>
      <c r="EF171" s="1858">
        <v>0</v>
      </c>
      <c r="EG171" s="1858">
        <v>0</v>
      </c>
      <c r="EH171" s="1858">
        <v>0</v>
      </c>
      <c r="EI171" s="1858">
        <v>0</v>
      </c>
      <c r="EJ171" s="1858">
        <v>0</v>
      </c>
      <c r="EK171" s="1858">
        <v>0</v>
      </c>
      <c r="EL171" s="1858">
        <v>0</v>
      </c>
    </row>
    <row r="172" spans="2:142" s="833" customFormat="1" ht="13.5">
      <c r="B172" s="1000"/>
      <c r="D172" s="2344" t="s">
        <v>2078</v>
      </c>
      <c r="E172" s="1001"/>
      <c r="F172" s="1008"/>
      <c r="G172" s="1001"/>
      <c r="H172" s="848">
        <f t="shared" ref="H172" si="109">SUM(J172:EL172)</f>
        <v>31798.927429000003</v>
      </c>
      <c r="I172" s="848"/>
      <c r="J172" s="901">
        <v>0</v>
      </c>
      <c r="K172" s="901">
        <v>0</v>
      </c>
      <c r="L172" s="901">
        <v>0</v>
      </c>
      <c r="M172" s="901">
        <v>0</v>
      </c>
      <c r="N172" s="901">
        <v>0</v>
      </c>
      <c r="O172" s="901">
        <v>0</v>
      </c>
      <c r="P172" s="901">
        <v>0</v>
      </c>
      <c r="Q172" s="901">
        <v>3302.6805479999998</v>
      </c>
      <c r="R172" s="901">
        <v>0</v>
      </c>
      <c r="S172" s="901">
        <v>0</v>
      </c>
      <c r="T172" s="901">
        <v>0</v>
      </c>
      <c r="U172" s="901">
        <v>0</v>
      </c>
      <c r="V172" s="901">
        <v>0</v>
      </c>
      <c r="W172" s="901">
        <v>6219.1806189999998</v>
      </c>
      <c r="X172" s="901">
        <v>0</v>
      </c>
      <c r="Y172" s="901">
        <v>0</v>
      </c>
      <c r="Z172" s="901">
        <v>0</v>
      </c>
      <c r="AA172" s="901">
        <v>0</v>
      </c>
      <c r="AB172" s="901">
        <v>0</v>
      </c>
      <c r="AC172" s="901">
        <v>7466.2662870000004</v>
      </c>
      <c r="AD172" s="901">
        <v>0</v>
      </c>
      <c r="AE172" s="901">
        <v>0</v>
      </c>
      <c r="AF172" s="901">
        <v>0</v>
      </c>
      <c r="AG172" s="901">
        <v>0</v>
      </c>
      <c r="AH172" s="901">
        <v>0</v>
      </c>
      <c r="AI172" s="901">
        <v>7344.5336880000004</v>
      </c>
      <c r="AJ172" s="901">
        <v>0</v>
      </c>
      <c r="AK172" s="901">
        <v>0</v>
      </c>
      <c r="AL172" s="901">
        <v>0</v>
      </c>
      <c r="AM172" s="901">
        <v>0</v>
      </c>
      <c r="AN172" s="901">
        <v>0</v>
      </c>
      <c r="AO172" s="901">
        <v>7466.2662870000004</v>
      </c>
      <c r="AP172" s="901">
        <v>0</v>
      </c>
      <c r="AQ172" s="901">
        <v>0</v>
      </c>
      <c r="AR172" s="901">
        <v>0</v>
      </c>
      <c r="AS172" s="901">
        <v>0</v>
      </c>
      <c r="AT172" s="901">
        <v>0</v>
      </c>
      <c r="AU172" s="901">
        <v>0</v>
      </c>
      <c r="AV172" s="901">
        <v>0</v>
      </c>
      <c r="AW172" s="901">
        <v>0</v>
      </c>
      <c r="AX172" s="901">
        <v>0</v>
      </c>
      <c r="AY172" s="901">
        <v>0</v>
      </c>
      <c r="AZ172" s="901">
        <v>0</v>
      </c>
      <c r="BA172" s="901">
        <v>0</v>
      </c>
      <c r="BB172" s="901">
        <v>0</v>
      </c>
      <c r="BC172" s="901">
        <v>0</v>
      </c>
      <c r="BD172" s="901">
        <v>0</v>
      </c>
      <c r="BE172" s="901">
        <v>0</v>
      </c>
      <c r="BF172" s="901">
        <v>0</v>
      </c>
      <c r="BG172" s="901">
        <v>0</v>
      </c>
      <c r="BH172" s="901">
        <v>0</v>
      </c>
      <c r="BI172" s="901">
        <v>0</v>
      </c>
      <c r="BJ172" s="901">
        <v>0</v>
      </c>
      <c r="BK172" s="901">
        <v>0</v>
      </c>
      <c r="BL172" s="901">
        <v>0</v>
      </c>
      <c r="BM172" s="901">
        <v>0</v>
      </c>
      <c r="BN172" s="901">
        <v>0</v>
      </c>
      <c r="BO172" s="901">
        <v>0</v>
      </c>
      <c r="BP172" s="901">
        <v>0</v>
      </c>
      <c r="BQ172" s="901">
        <v>0</v>
      </c>
      <c r="BR172" s="901">
        <v>0</v>
      </c>
      <c r="BS172" s="901">
        <v>0</v>
      </c>
      <c r="BT172" s="901">
        <v>0</v>
      </c>
      <c r="BU172" s="901">
        <v>0</v>
      </c>
      <c r="BV172" s="901">
        <v>0</v>
      </c>
      <c r="BW172" s="901">
        <v>0</v>
      </c>
      <c r="BX172" s="901">
        <v>0</v>
      </c>
      <c r="BY172" s="901">
        <v>0</v>
      </c>
      <c r="BZ172" s="901">
        <v>0</v>
      </c>
      <c r="CA172" s="901">
        <v>0</v>
      </c>
      <c r="CB172" s="901">
        <v>0</v>
      </c>
      <c r="CC172" s="901">
        <v>0</v>
      </c>
      <c r="CD172" s="901">
        <v>0</v>
      </c>
      <c r="CE172" s="901">
        <v>0</v>
      </c>
      <c r="CF172" s="901">
        <v>0</v>
      </c>
      <c r="CG172" s="901">
        <v>0</v>
      </c>
      <c r="CH172" s="901">
        <v>0</v>
      </c>
      <c r="CI172" s="901">
        <v>0</v>
      </c>
      <c r="CJ172" s="901">
        <v>0</v>
      </c>
      <c r="CK172" s="901">
        <v>0</v>
      </c>
      <c r="CL172" s="901">
        <v>0</v>
      </c>
      <c r="CM172" s="901">
        <v>0</v>
      </c>
      <c r="CN172" s="901">
        <v>0</v>
      </c>
      <c r="CO172" s="901">
        <v>0</v>
      </c>
      <c r="CP172" s="901">
        <v>0</v>
      </c>
      <c r="CQ172" s="901">
        <v>0</v>
      </c>
      <c r="CR172" s="901">
        <v>0</v>
      </c>
      <c r="CS172" s="901">
        <v>0</v>
      </c>
      <c r="CT172" s="901">
        <v>0</v>
      </c>
      <c r="CU172" s="901">
        <v>0</v>
      </c>
      <c r="CV172" s="901">
        <v>0</v>
      </c>
      <c r="CW172" s="901">
        <v>0</v>
      </c>
      <c r="CX172" s="901">
        <v>0</v>
      </c>
      <c r="CY172" s="901">
        <v>0</v>
      </c>
      <c r="CZ172" s="901">
        <v>0</v>
      </c>
      <c r="DA172" s="901">
        <v>0</v>
      </c>
      <c r="DB172" s="901">
        <v>0</v>
      </c>
      <c r="DC172" s="901">
        <v>0</v>
      </c>
      <c r="DD172" s="901">
        <v>0</v>
      </c>
      <c r="DE172" s="901">
        <v>0</v>
      </c>
      <c r="DF172" s="901">
        <v>0</v>
      </c>
      <c r="DG172" s="901">
        <v>0</v>
      </c>
      <c r="DH172" s="901">
        <v>0</v>
      </c>
      <c r="DI172" s="901">
        <v>0</v>
      </c>
      <c r="DJ172" s="901">
        <v>0</v>
      </c>
      <c r="DK172" s="901">
        <v>0</v>
      </c>
      <c r="DL172" s="901">
        <v>0</v>
      </c>
      <c r="DM172" s="901">
        <v>0</v>
      </c>
      <c r="DN172" s="901">
        <v>0</v>
      </c>
      <c r="DO172" s="901">
        <v>0</v>
      </c>
      <c r="DP172" s="901">
        <v>0</v>
      </c>
      <c r="DQ172" s="901">
        <v>0</v>
      </c>
      <c r="DR172" s="901">
        <v>0</v>
      </c>
      <c r="DS172" s="901">
        <v>0</v>
      </c>
      <c r="DT172" s="901">
        <v>0</v>
      </c>
      <c r="DU172" s="901">
        <v>0</v>
      </c>
      <c r="DV172" s="901">
        <v>0</v>
      </c>
      <c r="DW172" s="901">
        <v>0</v>
      </c>
      <c r="DX172" s="901">
        <v>0</v>
      </c>
      <c r="DY172" s="901">
        <v>0</v>
      </c>
      <c r="DZ172" s="901">
        <v>0</v>
      </c>
      <c r="EA172" s="901">
        <v>0</v>
      </c>
      <c r="EB172" s="901">
        <v>0</v>
      </c>
      <c r="EC172" s="901">
        <v>0</v>
      </c>
      <c r="ED172" s="901">
        <v>0</v>
      </c>
      <c r="EE172" s="901">
        <v>0</v>
      </c>
      <c r="EF172" s="901">
        <v>0</v>
      </c>
      <c r="EG172" s="901">
        <v>0</v>
      </c>
      <c r="EH172" s="901">
        <v>0</v>
      </c>
      <c r="EI172" s="901">
        <v>0</v>
      </c>
      <c r="EJ172" s="901">
        <v>0</v>
      </c>
      <c r="EK172" s="901">
        <v>0</v>
      </c>
      <c r="EL172" s="901">
        <v>0</v>
      </c>
    </row>
    <row r="173" spans="2:142" s="833" customFormat="1" ht="13.5">
      <c r="B173" s="1000"/>
      <c r="D173" s="881" t="s">
        <v>771</v>
      </c>
      <c r="E173" s="1001"/>
      <c r="F173" s="1008"/>
      <c r="G173" s="1001"/>
      <c r="H173" s="848">
        <f t="shared" si="108"/>
        <v>103340.58979366333</v>
      </c>
      <c r="I173" s="848"/>
      <c r="J173" s="848">
        <v>0</v>
      </c>
      <c r="K173" s="848">
        <v>0</v>
      </c>
      <c r="L173" s="848">
        <v>0</v>
      </c>
      <c r="M173" s="848">
        <v>0</v>
      </c>
      <c r="N173" s="848">
        <v>0</v>
      </c>
      <c r="O173" s="848">
        <v>0</v>
      </c>
      <c r="P173" s="848">
        <v>0</v>
      </c>
      <c r="Q173" s="848">
        <v>0</v>
      </c>
      <c r="R173" s="848">
        <v>0</v>
      </c>
      <c r="S173" s="848">
        <v>0</v>
      </c>
      <c r="T173" s="848">
        <v>0</v>
      </c>
      <c r="U173" s="848">
        <v>0</v>
      </c>
      <c r="V173" s="848">
        <v>0</v>
      </c>
      <c r="W173" s="848">
        <v>0</v>
      </c>
      <c r="X173" s="848">
        <v>0</v>
      </c>
      <c r="Y173" s="848">
        <v>0</v>
      </c>
      <c r="Z173" s="848">
        <v>0</v>
      </c>
      <c r="AA173" s="848">
        <v>0</v>
      </c>
      <c r="AB173" s="848">
        <v>0</v>
      </c>
      <c r="AC173" s="848">
        <v>0</v>
      </c>
      <c r="AD173" s="848">
        <v>0</v>
      </c>
      <c r="AE173" s="848">
        <v>0</v>
      </c>
      <c r="AF173" s="848">
        <v>0</v>
      </c>
      <c r="AG173" s="848">
        <v>0</v>
      </c>
      <c r="AH173" s="848">
        <v>0</v>
      </c>
      <c r="AI173" s="848">
        <v>0</v>
      </c>
      <c r="AJ173" s="848">
        <v>0</v>
      </c>
      <c r="AK173" s="848">
        <v>0</v>
      </c>
      <c r="AL173" s="848">
        <v>0</v>
      </c>
      <c r="AM173" s="848">
        <v>0</v>
      </c>
      <c r="AN173" s="848">
        <v>0</v>
      </c>
      <c r="AO173" s="848">
        <v>0</v>
      </c>
      <c r="AP173" s="848">
        <v>0</v>
      </c>
      <c r="AQ173" s="848">
        <v>0</v>
      </c>
      <c r="AR173" s="848">
        <v>0</v>
      </c>
      <c r="AS173" s="848">
        <v>0</v>
      </c>
      <c r="AT173" s="848">
        <v>0</v>
      </c>
      <c r="AU173" s="848">
        <v>4860</v>
      </c>
      <c r="AV173" s="848">
        <v>0</v>
      </c>
      <c r="AW173" s="848">
        <v>0</v>
      </c>
      <c r="AX173" s="848">
        <v>0</v>
      </c>
      <c r="AY173" s="848">
        <v>0</v>
      </c>
      <c r="AZ173" s="848">
        <v>0</v>
      </c>
      <c r="BA173" s="848">
        <v>4860</v>
      </c>
      <c r="BB173" s="848">
        <v>0</v>
      </c>
      <c r="BC173" s="848">
        <v>0</v>
      </c>
      <c r="BD173" s="848">
        <v>0</v>
      </c>
      <c r="BE173" s="848">
        <v>0</v>
      </c>
      <c r="BF173" s="848">
        <v>0</v>
      </c>
      <c r="BG173" s="848">
        <v>4860.0000000000009</v>
      </c>
      <c r="BH173" s="848">
        <v>0</v>
      </c>
      <c r="BI173" s="848">
        <v>0</v>
      </c>
      <c r="BJ173" s="848">
        <v>0</v>
      </c>
      <c r="BK173" s="848">
        <v>0</v>
      </c>
      <c r="BL173" s="848">
        <v>0</v>
      </c>
      <c r="BM173" s="848">
        <v>4860.0000000000009</v>
      </c>
      <c r="BN173" s="848">
        <v>0</v>
      </c>
      <c r="BO173" s="848">
        <v>0</v>
      </c>
      <c r="BP173" s="848">
        <v>0</v>
      </c>
      <c r="BQ173" s="848">
        <v>0</v>
      </c>
      <c r="BR173" s="848">
        <v>0</v>
      </c>
      <c r="BS173" s="848">
        <v>4860.0000000000009</v>
      </c>
      <c r="BT173" s="848">
        <v>0</v>
      </c>
      <c r="BU173" s="848">
        <v>0</v>
      </c>
      <c r="BV173" s="848">
        <v>0</v>
      </c>
      <c r="BW173" s="848">
        <v>0</v>
      </c>
      <c r="BX173" s="848">
        <v>0</v>
      </c>
      <c r="BY173" s="848">
        <v>5943</v>
      </c>
      <c r="BZ173" s="848">
        <v>0</v>
      </c>
      <c r="CA173" s="848">
        <v>0</v>
      </c>
      <c r="CB173" s="848">
        <v>0</v>
      </c>
      <c r="CC173" s="848">
        <v>0</v>
      </c>
      <c r="CD173" s="848">
        <v>0</v>
      </c>
      <c r="CE173" s="848">
        <v>5943</v>
      </c>
      <c r="CF173" s="848">
        <v>0</v>
      </c>
      <c r="CG173" s="848">
        <v>0</v>
      </c>
      <c r="CH173" s="848">
        <v>0</v>
      </c>
      <c r="CI173" s="848">
        <v>0</v>
      </c>
      <c r="CJ173" s="848">
        <v>0</v>
      </c>
      <c r="CK173" s="848">
        <v>6100.8872171842304</v>
      </c>
      <c r="CL173" s="848">
        <v>0</v>
      </c>
      <c r="CM173" s="848">
        <v>0</v>
      </c>
      <c r="CN173" s="848">
        <v>0</v>
      </c>
      <c r="CO173" s="848">
        <v>0</v>
      </c>
      <c r="CP173" s="848">
        <v>0</v>
      </c>
      <c r="CQ173" s="848">
        <v>5943</v>
      </c>
      <c r="CR173" s="848">
        <v>0</v>
      </c>
      <c r="CS173" s="848">
        <v>0</v>
      </c>
      <c r="CT173" s="848">
        <v>0</v>
      </c>
      <c r="CU173" s="848">
        <v>0</v>
      </c>
      <c r="CV173" s="848">
        <v>0</v>
      </c>
      <c r="CW173" s="848">
        <v>5943.0000000000009</v>
      </c>
      <c r="CX173" s="848">
        <v>0</v>
      </c>
      <c r="CY173" s="848">
        <v>0</v>
      </c>
      <c r="CZ173" s="848">
        <v>0</v>
      </c>
      <c r="DA173" s="848">
        <v>0</v>
      </c>
      <c r="DB173" s="848">
        <v>0</v>
      </c>
      <c r="DC173" s="848">
        <v>8059.4802109788416</v>
      </c>
      <c r="DD173" s="848">
        <v>0</v>
      </c>
      <c r="DE173" s="848">
        <v>0</v>
      </c>
      <c r="DF173" s="848">
        <v>0</v>
      </c>
      <c r="DG173" s="848">
        <v>0</v>
      </c>
      <c r="DH173" s="848">
        <v>0</v>
      </c>
      <c r="DI173" s="848">
        <v>9744.8104223767532</v>
      </c>
      <c r="DJ173" s="848">
        <v>0</v>
      </c>
      <c r="DK173" s="848">
        <v>0</v>
      </c>
      <c r="DL173" s="848">
        <v>0</v>
      </c>
      <c r="DM173" s="848">
        <v>0</v>
      </c>
      <c r="DN173" s="848">
        <v>0</v>
      </c>
      <c r="DO173" s="848">
        <v>8546.9776538911428</v>
      </c>
      <c r="DP173" s="848">
        <v>0</v>
      </c>
      <c r="DQ173" s="848">
        <v>0</v>
      </c>
      <c r="DR173" s="848">
        <v>0</v>
      </c>
      <c r="DS173" s="848">
        <v>0</v>
      </c>
      <c r="DT173" s="848">
        <v>0</v>
      </c>
      <c r="DU173" s="848">
        <v>10258.353380260729</v>
      </c>
      <c r="DV173" s="848">
        <v>0</v>
      </c>
      <c r="DW173" s="848">
        <v>0</v>
      </c>
      <c r="DX173" s="848">
        <v>0</v>
      </c>
      <c r="DY173" s="848">
        <v>0</v>
      </c>
      <c r="DZ173" s="848">
        <v>12558.080908971639</v>
      </c>
      <c r="EA173" s="848">
        <v>0</v>
      </c>
      <c r="EB173" s="848">
        <v>0</v>
      </c>
      <c r="EC173" s="848">
        <v>0</v>
      </c>
      <c r="ED173" s="848">
        <v>0</v>
      </c>
      <c r="EE173" s="848">
        <v>0</v>
      </c>
      <c r="EF173" s="848">
        <v>0</v>
      </c>
      <c r="EG173" s="848">
        <v>0</v>
      </c>
      <c r="EH173" s="848">
        <v>0</v>
      </c>
      <c r="EI173" s="848">
        <v>0</v>
      </c>
      <c r="EJ173" s="848">
        <v>0</v>
      </c>
      <c r="EK173" s="848">
        <v>0</v>
      </c>
      <c r="EL173" s="848">
        <v>0</v>
      </c>
    </row>
    <row r="174" spans="2:142" s="833" customFormat="1" ht="13.5">
      <c r="B174" s="1000"/>
      <c r="D174" s="881" t="s">
        <v>775</v>
      </c>
      <c r="E174" s="1001"/>
      <c r="F174" s="1008"/>
      <c r="G174" s="1001"/>
      <c r="H174" s="848">
        <f>SUM(J174:EL174)</f>
        <v>12070.343539670037</v>
      </c>
      <c r="I174" s="848"/>
      <c r="J174" s="848">
        <v>0</v>
      </c>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12070.343539670037</v>
      </c>
      <c r="EA174" s="848">
        <v>0</v>
      </c>
      <c r="EB174" s="848">
        <v>0</v>
      </c>
      <c r="EC174" s="848">
        <v>0</v>
      </c>
      <c r="ED174" s="848">
        <v>0</v>
      </c>
      <c r="EE174" s="848">
        <v>0</v>
      </c>
      <c r="EF174" s="848">
        <v>0</v>
      </c>
      <c r="EG174" s="848">
        <v>0</v>
      </c>
      <c r="EH174" s="848">
        <v>0</v>
      </c>
      <c r="EI174" s="848">
        <v>0</v>
      </c>
      <c r="EJ174" s="848">
        <v>0</v>
      </c>
      <c r="EK174" s="848">
        <v>0</v>
      </c>
      <c r="EL174" s="848">
        <v>0</v>
      </c>
    </row>
    <row r="175" spans="2:142" s="833" customFormat="1" ht="13.5">
      <c r="B175" s="1000"/>
      <c r="D175" s="881" t="s">
        <v>777</v>
      </c>
      <c r="E175" s="1001"/>
      <c r="F175" s="1008"/>
      <c r="G175" s="1001"/>
      <c r="H175" s="848">
        <f t="shared" si="108"/>
        <v>161049.54084027937</v>
      </c>
      <c r="I175" s="848"/>
      <c r="J175" s="848">
        <v>0</v>
      </c>
      <c r="K175" s="848">
        <v>0</v>
      </c>
      <c r="L175" s="848">
        <v>0</v>
      </c>
      <c r="M175" s="848">
        <v>0</v>
      </c>
      <c r="N175" s="848">
        <v>0</v>
      </c>
      <c r="O175" s="848">
        <v>0</v>
      </c>
      <c r="P175" s="848">
        <v>0</v>
      </c>
      <c r="Q175" s="848">
        <v>0</v>
      </c>
      <c r="R175" s="848">
        <v>0</v>
      </c>
      <c r="S175" s="848">
        <v>0</v>
      </c>
      <c r="T175" s="848">
        <v>0</v>
      </c>
      <c r="U175" s="848">
        <v>0</v>
      </c>
      <c r="V175" s="848">
        <v>0</v>
      </c>
      <c r="W175" s="848">
        <v>0</v>
      </c>
      <c r="X175" s="848">
        <v>0</v>
      </c>
      <c r="Y175" s="848">
        <v>0</v>
      </c>
      <c r="Z175" s="848">
        <v>0</v>
      </c>
      <c r="AA175" s="848">
        <v>0</v>
      </c>
      <c r="AB175" s="848">
        <v>0</v>
      </c>
      <c r="AC175" s="848">
        <v>0</v>
      </c>
      <c r="AD175" s="848">
        <v>0</v>
      </c>
      <c r="AE175" s="848">
        <v>0</v>
      </c>
      <c r="AF175" s="848">
        <v>0</v>
      </c>
      <c r="AG175" s="848">
        <v>0</v>
      </c>
      <c r="AH175" s="848">
        <v>0</v>
      </c>
      <c r="AI175" s="848">
        <v>0</v>
      </c>
      <c r="AJ175" s="848">
        <v>0</v>
      </c>
      <c r="AK175" s="848">
        <v>0</v>
      </c>
      <c r="AL175" s="848">
        <v>0</v>
      </c>
      <c r="AM175" s="848">
        <v>0</v>
      </c>
      <c r="AN175" s="848">
        <v>0</v>
      </c>
      <c r="AO175" s="848">
        <v>0</v>
      </c>
      <c r="AP175" s="848">
        <v>0</v>
      </c>
      <c r="AQ175" s="848">
        <v>0</v>
      </c>
      <c r="AR175" s="848">
        <v>0</v>
      </c>
      <c r="AS175" s="848">
        <v>0</v>
      </c>
      <c r="AT175" s="848">
        <v>0</v>
      </c>
      <c r="AU175" s="848">
        <v>0</v>
      </c>
      <c r="AV175" s="848">
        <v>0</v>
      </c>
      <c r="AW175" s="848">
        <v>0</v>
      </c>
      <c r="AX175" s="848">
        <v>0</v>
      </c>
      <c r="AY175" s="848">
        <v>0</v>
      </c>
      <c r="AZ175" s="848">
        <v>0</v>
      </c>
      <c r="BA175" s="848">
        <v>0</v>
      </c>
      <c r="BB175" s="848">
        <v>0</v>
      </c>
      <c r="BC175" s="848">
        <v>0</v>
      </c>
      <c r="BD175" s="848">
        <v>0</v>
      </c>
      <c r="BE175" s="848">
        <v>0</v>
      </c>
      <c r="BF175" s="848">
        <v>0</v>
      </c>
      <c r="BG175" s="848">
        <v>0</v>
      </c>
      <c r="BH175" s="848">
        <v>0</v>
      </c>
      <c r="BI175" s="848">
        <v>0</v>
      </c>
      <c r="BJ175" s="848">
        <v>0</v>
      </c>
      <c r="BK175" s="848">
        <v>0</v>
      </c>
      <c r="BL175" s="848">
        <v>0</v>
      </c>
      <c r="BM175" s="848">
        <v>0</v>
      </c>
      <c r="BN175" s="848">
        <v>0</v>
      </c>
      <c r="BO175" s="848">
        <v>0</v>
      </c>
      <c r="BP175" s="848">
        <v>0</v>
      </c>
      <c r="BQ175" s="848">
        <v>0</v>
      </c>
      <c r="BR175" s="848">
        <v>0</v>
      </c>
      <c r="BS175" s="848">
        <v>0</v>
      </c>
      <c r="BT175" s="848">
        <v>0</v>
      </c>
      <c r="BU175" s="848">
        <v>0</v>
      </c>
      <c r="BV175" s="848">
        <v>0</v>
      </c>
      <c r="BW175" s="848">
        <v>0</v>
      </c>
      <c r="BX175" s="848">
        <v>0</v>
      </c>
      <c r="BY175" s="848">
        <v>0</v>
      </c>
      <c r="BZ175" s="848">
        <v>0</v>
      </c>
      <c r="CA175" s="848">
        <v>0</v>
      </c>
      <c r="CB175" s="848">
        <v>0</v>
      </c>
      <c r="CC175" s="848">
        <v>0</v>
      </c>
      <c r="CD175" s="848">
        <v>0</v>
      </c>
      <c r="CE175" s="848">
        <v>0</v>
      </c>
      <c r="CF175" s="848">
        <v>0</v>
      </c>
      <c r="CG175" s="848">
        <v>0</v>
      </c>
      <c r="CH175" s="848">
        <v>0</v>
      </c>
      <c r="CI175" s="848">
        <v>0</v>
      </c>
      <c r="CJ175" s="848">
        <v>0</v>
      </c>
      <c r="CK175" s="848">
        <v>0</v>
      </c>
      <c r="CL175" s="848">
        <v>0</v>
      </c>
      <c r="CM175" s="848">
        <v>0</v>
      </c>
      <c r="CN175" s="848">
        <v>0</v>
      </c>
      <c r="CO175" s="848">
        <v>0</v>
      </c>
      <c r="CP175" s="848">
        <v>0</v>
      </c>
      <c r="CQ175" s="848">
        <v>0</v>
      </c>
      <c r="CR175" s="848">
        <v>0</v>
      </c>
      <c r="CS175" s="848">
        <v>0</v>
      </c>
      <c r="CT175" s="848">
        <v>0</v>
      </c>
      <c r="CU175" s="848">
        <v>0</v>
      </c>
      <c r="CV175" s="848">
        <v>0</v>
      </c>
      <c r="CW175" s="848">
        <v>0</v>
      </c>
      <c r="CX175" s="848">
        <v>0</v>
      </c>
      <c r="CY175" s="848">
        <v>0</v>
      </c>
      <c r="CZ175" s="848">
        <v>0</v>
      </c>
      <c r="DA175" s="848">
        <v>0</v>
      </c>
      <c r="DB175" s="848">
        <v>0</v>
      </c>
      <c r="DC175" s="848">
        <v>0</v>
      </c>
      <c r="DD175" s="848">
        <v>0</v>
      </c>
      <c r="DE175" s="848">
        <v>0</v>
      </c>
      <c r="DF175" s="848">
        <v>0</v>
      </c>
      <c r="DG175" s="848">
        <v>0</v>
      </c>
      <c r="DH175" s="848">
        <v>0</v>
      </c>
      <c r="DI175" s="848">
        <v>0</v>
      </c>
      <c r="DJ175" s="848">
        <v>0</v>
      </c>
      <c r="DK175" s="848">
        <v>0</v>
      </c>
      <c r="DL175" s="848">
        <v>0</v>
      </c>
      <c r="DM175" s="848">
        <v>0</v>
      </c>
      <c r="DN175" s="848">
        <v>0</v>
      </c>
      <c r="DO175" s="848">
        <v>0</v>
      </c>
      <c r="DP175" s="848">
        <v>0</v>
      </c>
      <c r="DQ175" s="848">
        <v>0</v>
      </c>
      <c r="DR175" s="848">
        <v>0</v>
      </c>
      <c r="DS175" s="848">
        <v>0</v>
      </c>
      <c r="DT175" s="848">
        <v>0</v>
      </c>
      <c r="DU175" s="848">
        <v>0</v>
      </c>
      <c r="DV175" s="848">
        <v>0</v>
      </c>
      <c r="DW175" s="848">
        <v>0</v>
      </c>
      <c r="DX175" s="848">
        <v>0</v>
      </c>
      <c r="DY175" s="848">
        <v>0</v>
      </c>
      <c r="DZ175" s="848">
        <v>161049.54084027937</v>
      </c>
      <c r="EA175" s="848">
        <v>0</v>
      </c>
      <c r="EB175" s="848">
        <v>0</v>
      </c>
      <c r="EC175" s="848">
        <v>0</v>
      </c>
      <c r="ED175" s="848">
        <v>0</v>
      </c>
      <c r="EE175" s="848">
        <v>0</v>
      </c>
      <c r="EF175" s="848">
        <v>0</v>
      </c>
      <c r="EG175" s="848">
        <v>0</v>
      </c>
      <c r="EH175" s="848">
        <v>0</v>
      </c>
      <c r="EI175" s="848">
        <v>0</v>
      </c>
      <c r="EJ175" s="848">
        <v>0</v>
      </c>
      <c r="EK175" s="848">
        <v>0</v>
      </c>
      <c r="EL175" s="848">
        <v>0</v>
      </c>
    </row>
    <row r="176" spans="2:142" s="833" customFormat="1" ht="13.5">
      <c r="B176" s="1000"/>
      <c r="D176" s="881" t="str">
        <f>C96</f>
        <v>감자대금의 지급 [1종 종류주 의제배당]</v>
      </c>
      <c r="E176" s="1001"/>
      <c r="F176" s="1008"/>
      <c r="G176" s="1001"/>
      <c r="H176" s="848">
        <f>SUM(J176:EL176)</f>
        <v>0</v>
      </c>
      <c r="I176" s="848"/>
      <c r="J176" s="848">
        <f t="shared" ref="J176:BU177" si="110">J96</f>
        <v>0</v>
      </c>
      <c r="K176" s="848">
        <f t="shared" si="110"/>
        <v>0</v>
      </c>
      <c r="L176" s="848">
        <f t="shared" si="110"/>
        <v>0</v>
      </c>
      <c r="M176" s="848">
        <f t="shared" si="110"/>
        <v>0</v>
      </c>
      <c r="N176" s="848">
        <f t="shared" si="110"/>
        <v>0</v>
      </c>
      <c r="O176" s="848">
        <f t="shared" si="110"/>
        <v>0</v>
      </c>
      <c r="P176" s="848">
        <f t="shared" si="110"/>
        <v>0</v>
      </c>
      <c r="Q176" s="848">
        <f t="shared" si="110"/>
        <v>0</v>
      </c>
      <c r="R176" s="848">
        <f t="shared" si="110"/>
        <v>0</v>
      </c>
      <c r="S176" s="848">
        <f t="shared" si="110"/>
        <v>0</v>
      </c>
      <c r="T176" s="848">
        <f t="shared" si="110"/>
        <v>0</v>
      </c>
      <c r="U176" s="848">
        <f t="shared" si="110"/>
        <v>0</v>
      </c>
      <c r="V176" s="848">
        <f t="shared" si="110"/>
        <v>0</v>
      </c>
      <c r="W176" s="848">
        <f t="shared" si="110"/>
        <v>0</v>
      </c>
      <c r="X176" s="848">
        <f t="shared" si="110"/>
        <v>0</v>
      </c>
      <c r="Y176" s="848">
        <f t="shared" si="110"/>
        <v>0</v>
      </c>
      <c r="Z176" s="848">
        <f t="shared" si="110"/>
        <v>0</v>
      </c>
      <c r="AA176" s="848">
        <f t="shared" si="110"/>
        <v>0</v>
      </c>
      <c r="AB176" s="848">
        <f t="shared" si="110"/>
        <v>0</v>
      </c>
      <c r="AC176" s="848">
        <f t="shared" si="110"/>
        <v>0</v>
      </c>
      <c r="AD176" s="848">
        <f t="shared" si="110"/>
        <v>0</v>
      </c>
      <c r="AE176" s="848">
        <f t="shared" si="110"/>
        <v>0</v>
      </c>
      <c r="AF176" s="848">
        <f t="shared" si="110"/>
        <v>0</v>
      </c>
      <c r="AG176" s="848">
        <f t="shared" si="110"/>
        <v>0</v>
      </c>
      <c r="AH176" s="848">
        <f t="shared" si="110"/>
        <v>0</v>
      </c>
      <c r="AI176" s="848">
        <f t="shared" si="110"/>
        <v>0</v>
      </c>
      <c r="AJ176" s="848">
        <f t="shared" si="110"/>
        <v>0</v>
      </c>
      <c r="AK176" s="848">
        <f t="shared" si="110"/>
        <v>0</v>
      </c>
      <c r="AL176" s="848">
        <f t="shared" si="110"/>
        <v>0</v>
      </c>
      <c r="AM176" s="848">
        <f t="shared" si="110"/>
        <v>0</v>
      </c>
      <c r="AN176" s="848">
        <f t="shared" si="110"/>
        <v>0</v>
      </c>
      <c r="AO176" s="848">
        <f t="shared" si="110"/>
        <v>0</v>
      </c>
      <c r="AP176" s="848">
        <f t="shared" si="110"/>
        <v>0</v>
      </c>
      <c r="AQ176" s="848">
        <f t="shared" si="110"/>
        <v>0</v>
      </c>
      <c r="AR176" s="848">
        <f t="shared" si="110"/>
        <v>0</v>
      </c>
      <c r="AS176" s="848">
        <f t="shared" si="110"/>
        <v>0</v>
      </c>
      <c r="AT176" s="848">
        <f t="shared" si="110"/>
        <v>0</v>
      </c>
      <c r="AU176" s="848">
        <f t="shared" si="110"/>
        <v>0</v>
      </c>
      <c r="AV176" s="848">
        <f t="shared" si="110"/>
        <v>0</v>
      </c>
      <c r="AW176" s="848">
        <f t="shared" si="110"/>
        <v>0</v>
      </c>
      <c r="AX176" s="848">
        <f t="shared" si="110"/>
        <v>0</v>
      </c>
      <c r="AY176" s="848">
        <f t="shared" si="110"/>
        <v>0</v>
      </c>
      <c r="AZ176" s="848">
        <f t="shared" si="110"/>
        <v>0</v>
      </c>
      <c r="BA176" s="848">
        <f t="shared" si="110"/>
        <v>0</v>
      </c>
      <c r="BB176" s="848">
        <f t="shared" si="110"/>
        <v>0</v>
      </c>
      <c r="BC176" s="848">
        <f t="shared" si="110"/>
        <v>0</v>
      </c>
      <c r="BD176" s="848">
        <f t="shared" si="110"/>
        <v>0</v>
      </c>
      <c r="BE176" s="848">
        <f t="shared" si="110"/>
        <v>0</v>
      </c>
      <c r="BF176" s="848">
        <f t="shared" si="110"/>
        <v>0</v>
      </c>
      <c r="BG176" s="848">
        <f t="shared" si="110"/>
        <v>0</v>
      </c>
      <c r="BH176" s="848">
        <f t="shared" si="110"/>
        <v>0</v>
      </c>
      <c r="BI176" s="848">
        <f t="shared" si="110"/>
        <v>0</v>
      </c>
      <c r="BJ176" s="848">
        <f t="shared" si="110"/>
        <v>0</v>
      </c>
      <c r="BK176" s="848">
        <f t="shared" si="110"/>
        <v>0</v>
      </c>
      <c r="BL176" s="848">
        <f t="shared" si="110"/>
        <v>0</v>
      </c>
      <c r="BM176" s="848">
        <f t="shared" si="110"/>
        <v>0</v>
      </c>
      <c r="BN176" s="848">
        <f t="shared" si="110"/>
        <v>0</v>
      </c>
      <c r="BO176" s="848">
        <f t="shared" si="110"/>
        <v>0</v>
      </c>
      <c r="BP176" s="848">
        <f t="shared" si="110"/>
        <v>0</v>
      </c>
      <c r="BQ176" s="848">
        <f t="shared" si="110"/>
        <v>0</v>
      </c>
      <c r="BR176" s="848">
        <f t="shared" si="110"/>
        <v>0</v>
      </c>
      <c r="BS176" s="848">
        <f t="shared" si="110"/>
        <v>0</v>
      </c>
      <c r="BT176" s="848">
        <f t="shared" si="110"/>
        <v>0</v>
      </c>
      <c r="BU176" s="848">
        <f t="shared" si="110"/>
        <v>0</v>
      </c>
      <c r="BV176" s="848">
        <f t="shared" ref="BV176:EG177" si="111">BV96</f>
        <v>0</v>
      </c>
      <c r="BW176" s="848">
        <f t="shared" si="111"/>
        <v>0</v>
      </c>
      <c r="BX176" s="848">
        <f t="shared" si="111"/>
        <v>0</v>
      </c>
      <c r="BY176" s="848">
        <f t="shared" si="111"/>
        <v>0</v>
      </c>
      <c r="BZ176" s="848">
        <f t="shared" si="111"/>
        <v>0</v>
      </c>
      <c r="CA176" s="848">
        <f t="shared" si="111"/>
        <v>0</v>
      </c>
      <c r="CB176" s="848">
        <f t="shared" si="111"/>
        <v>0</v>
      </c>
      <c r="CC176" s="848">
        <f t="shared" si="111"/>
        <v>0</v>
      </c>
      <c r="CD176" s="848">
        <f t="shared" si="111"/>
        <v>0</v>
      </c>
      <c r="CE176" s="848">
        <f t="shared" si="111"/>
        <v>0</v>
      </c>
      <c r="CF176" s="848">
        <f t="shared" si="111"/>
        <v>0</v>
      </c>
      <c r="CG176" s="848">
        <f t="shared" si="111"/>
        <v>0</v>
      </c>
      <c r="CH176" s="848">
        <f t="shared" si="111"/>
        <v>0</v>
      </c>
      <c r="CI176" s="848">
        <f t="shared" si="111"/>
        <v>0</v>
      </c>
      <c r="CJ176" s="848">
        <f t="shared" si="111"/>
        <v>0</v>
      </c>
      <c r="CK176" s="848">
        <f t="shared" si="111"/>
        <v>0</v>
      </c>
      <c r="CL176" s="848">
        <f t="shared" si="111"/>
        <v>0</v>
      </c>
      <c r="CM176" s="848">
        <f t="shared" si="111"/>
        <v>0</v>
      </c>
      <c r="CN176" s="848">
        <f t="shared" si="111"/>
        <v>0</v>
      </c>
      <c r="CO176" s="848">
        <f t="shared" si="111"/>
        <v>0</v>
      </c>
      <c r="CP176" s="848">
        <f t="shared" si="111"/>
        <v>0</v>
      </c>
      <c r="CQ176" s="848">
        <f t="shared" si="111"/>
        <v>0</v>
      </c>
      <c r="CR176" s="848">
        <f t="shared" si="111"/>
        <v>0</v>
      </c>
      <c r="CS176" s="848">
        <f t="shared" si="111"/>
        <v>0</v>
      </c>
      <c r="CT176" s="848">
        <f t="shared" si="111"/>
        <v>0</v>
      </c>
      <c r="CU176" s="848">
        <f t="shared" si="111"/>
        <v>0</v>
      </c>
      <c r="CV176" s="848">
        <f t="shared" si="111"/>
        <v>0</v>
      </c>
      <c r="CW176" s="848">
        <f t="shared" si="111"/>
        <v>0</v>
      </c>
      <c r="CX176" s="848">
        <f t="shared" si="111"/>
        <v>0</v>
      </c>
      <c r="CY176" s="848">
        <f t="shared" si="111"/>
        <v>0</v>
      </c>
      <c r="CZ176" s="848">
        <f t="shared" si="111"/>
        <v>0</v>
      </c>
      <c r="DA176" s="848">
        <f t="shared" si="111"/>
        <v>0</v>
      </c>
      <c r="DB176" s="848">
        <f t="shared" si="111"/>
        <v>0</v>
      </c>
      <c r="DC176" s="848">
        <f t="shared" si="111"/>
        <v>0</v>
      </c>
      <c r="DD176" s="848">
        <f t="shared" si="111"/>
        <v>0</v>
      </c>
      <c r="DE176" s="848">
        <f t="shared" si="111"/>
        <v>0</v>
      </c>
      <c r="DF176" s="848">
        <f t="shared" si="111"/>
        <v>0</v>
      </c>
      <c r="DG176" s="848">
        <f t="shared" si="111"/>
        <v>0</v>
      </c>
      <c r="DH176" s="848">
        <f t="shared" si="111"/>
        <v>0</v>
      </c>
      <c r="DI176" s="848">
        <f t="shared" si="111"/>
        <v>0</v>
      </c>
      <c r="DJ176" s="848">
        <f t="shared" si="111"/>
        <v>0</v>
      </c>
      <c r="DK176" s="848">
        <f t="shared" si="111"/>
        <v>0</v>
      </c>
      <c r="DL176" s="848">
        <f t="shared" si="111"/>
        <v>0</v>
      </c>
      <c r="DM176" s="848">
        <f t="shared" si="111"/>
        <v>0</v>
      </c>
      <c r="DN176" s="848">
        <f t="shared" si="111"/>
        <v>0</v>
      </c>
      <c r="DO176" s="848">
        <f t="shared" si="111"/>
        <v>0</v>
      </c>
      <c r="DP176" s="848">
        <f t="shared" si="111"/>
        <v>0</v>
      </c>
      <c r="DQ176" s="848">
        <f t="shared" si="111"/>
        <v>0</v>
      </c>
      <c r="DR176" s="848">
        <f t="shared" si="111"/>
        <v>0</v>
      </c>
      <c r="DS176" s="848">
        <f t="shared" si="111"/>
        <v>0</v>
      </c>
      <c r="DT176" s="848">
        <f t="shared" si="111"/>
        <v>0</v>
      </c>
      <c r="DU176" s="848">
        <f t="shared" si="111"/>
        <v>0</v>
      </c>
      <c r="DV176" s="848">
        <f t="shared" si="111"/>
        <v>0</v>
      </c>
      <c r="DW176" s="848">
        <f t="shared" si="111"/>
        <v>0</v>
      </c>
      <c r="DX176" s="848">
        <f t="shared" si="111"/>
        <v>0</v>
      </c>
      <c r="DY176" s="848">
        <f t="shared" si="111"/>
        <v>0</v>
      </c>
      <c r="DZ176" s="848">
        <f t="shared" si="111"/>
        <v>0</v>
      </c>
      <c r="EA176" s="848">
        <f t="shared" si="111"/>
        <v>0</v>
      </c>
      <c r="EB176" s="848">
        <f t="shared" si="111"/>
        <v>0</v>
      </c>
      <c r="EC176" s="848">
        <f t="shared" si="111"/>
        <v>0</v>
      </c>
      <c r="ED176" s="848">
        <f t="shared" si="111"/>
        <v>0</v>
      </c>
      <c r="EE176" s="848">
        <f t="shared" si="111"/>
        <v>0</v>
      </c>
      <c r="EF176" s="848">
        <f t="shared" si="111"/>
        <v>0</v>
      </c>
      <c r="EG176" s="848">
        <f t="shared" si="111"/>
        <v>0</v>
      </c>
      <c r="EH176" s="848">
        <f t="shared" ref="EH176:EL177" si="112">EH96</f>
        <v>0</v>
      </c>
      <c r="EI176" s="848">
        <f t="shared" si="112"/>
        <v>0</v>
      </c>
      <c r="EJ176" s="848">
        <f t="shared" si="112"/>
        <v>0</v>
      </c>
      <c r="EK176" s="848">
        <f t="shared" si="112"/>
        <v>0</v>
      </c>
      <c r="EL176" s="848">
        <f t="shared" si="112"/>
        <v>0</v>
      </c>
    </row>
    <row r="177" spans="2:142" s="833" customFormat="1" ht="13.5">
      <c r="B177" s="1000"/>
      <c r="D177" s="881" t="str">
        <f>C97</f>
        <v>감자대금의 지급 [1종 종류주 납입원본]</v>
      </c>
      <c r="E177" s="1001"/>
      <c r="F177" s="1008"/>
      <c r="G177" s="1001"/>
      <c r="H177" s="848">
        <f>SUM(J177:EL177)</f>
        <v>0</v>
      </c>
      <c r="I177" s="848"/>
      <c r="J177" s="848">
        <f t="shared" si="110"/>
        <v>0</v>
      </c>
      <c r="K177" s="848">
        <f t="shared" si="110"/>
        <v>0</v>
      </c>
      <c r="L177" s="848">
        <f t="shared" si="110"/>
        <v>0</v>
      </c>
      <c r="M177" s="848">
        <f t="shared" si="110"/>
        <v>0</v>
      </c>
      <c r="N177" s="848">
        <f t="shared" si="110"/>
        <v>0</v>
      </c>
      <c r="O177" s="848">
        <f t="shared" si="110"/>
        <v>0</v>
      </c>
      <c r="P177" s="848">
        <f t="shared" si="110"/>
        <v>0</v>
      </c>
      <c r="Q177" s="848">
        <f t="shared" si="110"/>
        <v>0</v>
      </c>
      <c r="R177" s="848">
        <f t="shared" si="110"/>
        <v>0</v>
      </c>
      <c r="S177" s="848">
        <f t="shared" si="110"/>
        <v>0</v>
      </c>
      <c r="T177" s="848">
        <f t="shared" si="110"/>
        <v>0</v>
      </c>
      <c r="U177" s="848">
        <f t="shared" si="110"/>
        <v>0</v>
      </c>
      <c r="V177" s="848">
        <f t="shared" si="110"/>
        <v>0</v>
      </c>
      <c r="W177" s="848">
        <f t="shared" si="110"/>
        <v>0</v>
      </c>
      <c r="X177" s="848">
        <f t="shared" si="110"/>
        <v>0</v>
      </c>
      <c r="Y177" s="848">
        <f t="shared" si="110"/>
        <v>0</v>
      </c>
      <c r="Z177" s="848">
        <f t="shared" si="110"/>
        <v>0</v>
      </c>
      <c r="AA177" s="848">
        <f t="shared" si="110"/>
        <v>0</v>
      </c>
      <c r="AB177" s="848">
        <f t="shared" si="110"/>
        <v>0</v>
      </c>
      <c r="AC177" s="848">
        <f t="shared" si="110"/>
        <v>0</v>
      </c>
      <c r="AD177" s="848">
        <f t="shared" si="110"/>
        <v>0</v>
      </c>
      <c r="AE177" s="848">
        <f t="shared" si="110"/>
        <v>0</v>
      </c>
      <c r="AF177" s="848">
        <f t="shared" si="110"/>
        <v>0</v>
      </c>
      <c r="AG177" s="848">
        <f t="shared" si="110"/>
        <v>0</v>
      </c>
      <c r="AH177" s="848">
        <f t="shared" si="110"/>
        <v>0</v>
      </c>
      <c r="AI177" s="848">
        <f t="shared" si="110"/>
        <v>0</v>
      </c>
      <c r="AJ177" s="848">
        <f t="shared" si="110"/>
        <v>0</v>
      </c>
      <c r="AK177" s="848">
        <f t="shared" si="110"/>
        <v>0</v>
      </c>
      <c r="AL177" s="848">
        <f t="shared" si="110"/>
        <v>0</v>
      </c>
      <c r="AM177" s="848">
        <f t="shared" si="110"/>
        <v>0</v>
      </c>
      <c r="AN177" s="848">
        <f t="shared" si="110"/>
        <v>0</v>
      </c>
      <c r="AO177" s="848">
        <f t="shared" si="110"/>
        <v>0</v>
      </c>
      <c r="AP177" s="848">
        <f t="shared" si="110"/>
        <v>0</v>
      </c>
      <c r="AQ177" s="848">
        <f t="shared" si="110"/>
        <v>0</v>
      </c>
      <c r="AR177" s="848">
        <f t="shared" si="110"/>
        <v>0</v>
      </c>
      <c r="AS177" s="848">
        <f t="shared" si="110"/>
        <v>0</v>
      </c>
      <c r="AT177" s="848">
        <f t="shared" si="110"/>
        <v>0</v>
      </c>
      <c r="AU177" s="848">
        <f t="shared" si="110"/>
        <v>0</v>
      </c>
      <c r="AV177" s="848">
        <f t="shared" si="110"/>
        <v>0</v>
      </c>
      <c r="AW177" s="848">
        <f t="shared" si="110"/>
        <v>0</v>
      </c>
      <c r="AX177" s="848">
        <f t="shared" si="110"/>
        <v>0</v>
      </c>
      <c r="AY177" s="848">
        <f t="shared" si="110"/>
        <v>0</v>
      </c>
      <c r="AZ177" s="848">
        <f t="shared" si="110"/>
        <v>0</v>
      </c>
      <c r="BA177" s="848">
        <f t="shared" si="110"/>
        <v>0</v>
      </c>
      <c r="BB177" s="848">
        <f t="shared" si="110"/>
        <v>0</v>
      </c>
      <c r="BC177" s="848">
        <f t="shared" si="110"/>
        <v>0</v>
      </c>
      <c r="BD177" s="848">
        <f t="shared" si="110"/>
        <v>0</v>
      </c>
      <c r="BE177" s="848">
        <f t="shared" si="110"/>
        <v>0</v>
      </c>
      <c r="BF177" s="848">
        <f t="shared" si="110"/>
        <v>0</v>
      </c>
      <c r="BG177" s="848">
        <f t="shared" si="110"/>
        <v>0</v>
      </c>
      <c r="BH177" s="848">
        <f t="shared" si="110"/>
        <v>0</v>
      </c>
      <c r="BI177" s="848">
        <f t="shared" si="110"/>
        <v>0</v>
      </c>
      <c r="BJ177" s="848">
        <f t="shared" si="110"/>
        <v>0</v>
      </c>
      <c r="BK177" s="848">
        <f t="shared" si="110"/>
        <v>0</v>
      </c>
      <c r="BL177" s="848">
        <f t="shared" si="110"/>
        <v>0</v>
      </c>
      <c r="BM177" s="848">
        <f t="shared" si="110"/>
        <v>0</v>
      </c>
      <c r="BN177" s="848">
        <f t="shared" si="110"/>
        <v>0</v>
      </c>
      <c r="BO177" s="848">
        <f t="shared" si="110"/>
        <v>0</v>
      </c>
      <c r="BP177" s="848">
        <f t="shared" si="110"/>
        <v>0</v>
      </c>
      <c r="BQ177" s="848">
        <f t="shared" si="110"/>
        <v>0</v>
      </c>
      <c r="BR177" s="848">
        <f t="shared" si="110"/>
        <v>0</v>
      </c>
      <c r="BS177" s="848">
        <f t="shared" si="110"/>
        <v>0</v>
      </c>
      <c r="BT177" s="848">
        <f t="shared" si="110"/>
        <v>0</v>
      </c>
      <c r="BU177" s="848">
        <f t="shared" si="110"/>
        <v>0</v>
      </c>
      <c r="BV177" s="848">
        <f t="shared" si="111"/>
        <v>0</v>
      </c>
      <c r="BW177" s="848">
        <f t="shared" si="111"/>
        <v>0</v>
      </c>
      <c r="BX177" s="848">
        <f t="shared" si="111"/>
        <v>0</v>
      </c>
      <c r="BY177" s="848">
        <f t="shared" si="111"/>
        <v>0</v>
      </c>
      <c r="BZ177" s="848">
        <f t="shared" si="111"/>
        <v>0</v>
      </c>
      <c r="CA177" s="848">
        <f t="shared" si="111"/>
        <v>0</v>
      </c>
      <c r="CB177" s="848">
        <f t="shared" si="111"/>
        <v>0</v>
      </c>
      <c r="CC177" s="848">
        <f t="shared" si="111"/>
        <v>0</v>
      </c>
      <c r="CD177" s="848">
        <f t="shared" si="111"/>
        <v>0</v>
      </c>
      <c r="CE177" s="848">
        <f t="shared" si="111"/>
        <v>0</v>
      </c>
      <c r="CF177" s="848">
        <f t="shared" si="111"/>
        <v>0</v>
      </c>
      <c r="CG177" s="848">
        <f t="shared" si="111"/>
        <v>0</v>
      </c>
      <c r="CH177" s="848">
        <f t="shared" si="111"/>
        <v>0</v>
      </c>
      <c r="CI177" s="848">
        <f t="shared" si="111"/>
        <v>0</v>
      </c>
      <c r="CJ177" s="848">
        <f t="shared" si="111"/>
        <v>0</v>
      </c>
      <c r="CK177" s="848">
        <f t="shared" si="111"/>
        <v>0</v>
      </c>
      <c r="CL177" s="848">
        <f t="shared" si="111"/>
        <v>0</v>
      </c>
      <c r="CM177" s="848">
        <f t="shared" si="111"/>
        <v>0</v>
      </c>
      <c r="CN177" s="848">
        <f t="shared" si="111"/>
        <v>0</v>
      </c>
      <c r="CO177" s="848">
        <f t="shared" si="111"/>
        <v>0</v>
      </c>
      <c r="CP177" s="848">
        <f t="shared" si="111"/>
        <v>0</v>
      </c>
      <c r="CQ177" s="848">
        <f t="shared" si="111"/>
        <v>0</v>
      </c>
      <c r="CR177" s="848">
        <f t="shared" si="111"/>
        <v>0</v>
      </c>
      <c r="CS177" s="848">
        <f t="shared" si="111"/>
        <v>0</v>
      </c>
      <c r="CT177" s="848">
        <f t="shared" si="111"/>
        <v>0</v>
      </c>
      <c r="CU177" s="848">
        <f t="shared" si="111"/>
        <v>0</v>
      </c>
      <c r="CV177" s="848">
        <f t="shared" si="111"/>
        <v>0</v>
      </c>
      <c r="CW177" s="848">
        <f t="shared" si="111"/>
        <v>0</v>
      </c>
      <c r="CX177" s="848">
        <f t="shared" si="111"/>
        <v>0</v>
      </c>
      <c r="CY177" s="848">
        <f t="shared" si="111"/>
        <v>0</v>
      </c>
      <c r="CZ177" s="848">
        <f t="shared" si="111"/>
        <v>0</v>
      </c>
      <c r="DA177" s="848">
        <f t="shared" si="111"/>
        <v>0</v>
      </c>
      <c r="DB177" s="848">
        <f t="shared" si="111"/>
        <v>0</v>
      </c>
      <c r="DC177" s="848">
        <f t="shared" si="111"/>
        <v>0</v>
      </c>
      <c r="DD177" s="848">
        <f t="shared" si="111"/>
        <v>0</v>
      </c>
      <c r="DE177" s="848">
        <f t="shared" si="111"/>
        <v>0</v>
      </c>
      <c r="DF177" s="848">
        <f t="shared" si="111"/>
        <v>0</v>
      </c>
      <c r="DG177" s="848">
        <f t="shared" si="111"/>
        <v>0</v>
      </c>
      <c r="DH177" s="848">
        <f t="shared" si="111"/>
        <v>0</v>
      </c>
      <c r="DI177" s="848">
        <f t="shared" si="111"/>
        <v>0</v>
      </c>
      <c r="DJ177" s="848">
        <f t="shared" si="111"/>
        <v>0</v>
      </c>
      <c r="DK177" s="848">
        <f t="shared" si="111"/>
        <v>0</v>
      </c>
      <c r="DL177" s="848">
        <f t="shared" si="111"/>
        <v>0</v>
      </c>
      <c r="DM177" s="848">
        <f t="shared" si="111"/>
        <v>0</v>
      </c>
      <c r="DN177" s="848">
        <f t="shared" si="111"/>
        <v>0</v>
      </c>
      <c r="DO177" s="848">
        <f t="shared" si="111"/>
        <v>0</v>
      </c>
      <c r="DP177" s="848">
        <f t="shared" si="111"/>
        <v>0</v>
      </c>
      <c r="DQ177" s="848">
        <f t="shared" si="111"/>
        <v>0</v>
      </c>
      <c r="DR177" s="848">
        <f t="shared" si="111"/>
        <v>0</v>
      </c>
      <c r="DS177" s="848">
        <f t="shared" si="111"/>
        <v>0</v>
      </c>
      <c r="DT177" s="848">
        <f t="shared" si="111"/>
        <v>0</v>
      </c>
      <c r="DU177" s="848">
        <f t="shared" si="111"/>
        <v>0</v>
      </c>
      <c r="DV177" s="848">
        <f t="shared" si="111"/>
        <v>0</v>
      </c>
      <c r="DW177" s="848">
        <f t="shared" si="111"/>
        <v>0</v>
      </c>
      <c r="DX177" s="848">
        <f t="shared" si="111"/>
        <v>0</v>
      </c>
      <c r="DY177" s="848">
        <f t="shared" si="111"/>
        <v>0</v>
      </c>
      <c r="DZ177" s="848">
        <f t="shared" si="111"/>
        <v>0</v>
      </c>
      <c r="EA177" s="848">
        <f t="shared" si="111"/>
        <v>0</v>
      </c>
      <c r="EB177" s="848">
        <f t="shared" si="111"/>
        <v>0</v>
      </c>
      <c r="EC177" s="848">
        <f t="shared" si="111"/>
        <v>0</v>
      </c>
      <c r="ED177" s="848">
        <f t="shared" si="111"/>
        <v>0</v>
      </c>
      <c r="EE177" s="848">
        <f t="shared" si="111"/>
        <v>0</v>
      </c>
      <c r="EF177" s="848">
        <f t="shared" si="111"/>
        <v>0</v>
      </c>
      <c r="EG177" s="848">
        <f t="shared" si="111"/>
        <v>0</v>
      </c>
      <c r="EH177" s="848">
        <f t="shared" si="112"/>
        <v>0</v>
      </c>
      <c r="EI177" s="848">
        <f t="shared" si="112"/>
        <v>0</v>
      </c>
      <c r="EJ177" s="848">
        <f t="shared" si="112"/>
        <v>0</v>
      </c>
      <c r="EK177" s="848">
        <f t="shared" si="112"/>
        <v>0</v>
      </c>
      <c r="EL177" s="848">
        <f t="shared" si="112"/>
        <v>0</v>
      </c>
    </row>
    <row r="178" spans="2:142" s="833" customFormat="1" ht="13.5">
      <c r="B178" s="1000"/>
      <c r="D178" s="881" t="s">
        <v>2193</v>
      </c>
      <c r="E178" s="1001"/>
      <c r="F178" s="1008"/>
      <c r="G178" s="1001"/>
      <c r="H178" s="848">
        <f t="shared" si="108"/>
        <v>242800</v>
      </c>
      <c r="I178" s="848"/>
      <c r="J178" s="848">
        <f t="shared" ref="J178:BU178" si="113">(-$H171-$H177)*(J$7=$G$7)</f>
        <v>0</v>
      </c>
      <c r="K178" s="848">
        <f t="shared" si="113"/>
        <v>0</v>
      </c>
      <c r="L178" s="848">
        <f t="shared" si="113"/>
        <v>0</v>
      </c>
      <c r="M178" s="848">
        <f t="shared" si="113"/>
        <v>0</v>
      </c>
      <c r="N178" s="848">
        <f t="shared" si="113"/>
        <v>0</v>
      </c>
      <c r="O178" s="848">
        <f t="shared" si="113"/>
        <v>0</v>
      </c>
      <c r="P178" s="848">
        <f t="shared" si="113"/>
        <v>0</v>
      </c>
      <c r="Q178" s="848">
        <f t="shared" si="113"/>
        <v>0</v>
      </c>
      <c r="R178" s="848">
        <f t="shared" si="113"/>
        <v>0</v>
      </c>
      <c r="S178" s="848">
        <f t="shared" si="113"/>
        <v>0</v>
      </c>
      <c r="T178" s="848">
        <f t="shared" si="113"/>
        <v>0</v>
      </c>
      <c r="U178" s="848">
        <f t="shared" si="113"/>
        <v>0</v>
      </c>
      <c r="V178" s="848">
        <f t="shared" si="113"/>
        <v>0</v>
      </c>
      <c r="W178" s="848">
        <f t="shared" si="113"/>
        <v>0</v>
      </c>
      <c r="X178" s="848">
        <f t="shared" si="113"/>
        <v>0</v>
      </c>
      <c r="Y178" s="848">
        <f t="shared" si="113"/>
        <v>0</v>
      </c>
      <c r="Z178" s="848">
        <f t="shared" si="113"/>
        <v>0</v>
      </c>
      <c r="AA178" s="848">
        <f t="shared" si="113"/>
        <v>0</v>
      </c>
      <c r="AB178" s="848">
        <f t="shared" si="113"/>
        <v>0</v>
      </c>
      <c r="AC178" s="848">
        <f t="shared" si="113"/>
        <v>0</v>
      </c>
      <c r="AD178" s="848">
        <f t="shared" si="113"/>
        <v>0</v>
      </c>
      <c r="AE178" s="848">
        <f t="shared" si="113"/>
        <v>0</v>
      </c>
      <c r="AF178" s="848">
        <f t="shared" si="113"/>
        <v>0</v>
      </c>
      <c r="AG178" s="848">
        <f t="shared" si="113"/>
        <v>0</v>
      </c>
      <c r="AH178" s="848">
        <f t="shared" si="113"/>
        <v>0</v>
      </c>
      <c r="AI178" s="848">
        <f t="shared" si="113"/>
        <v>0</v>
      </c>
      <c r="AJ178" s="848">
        <f t="shared" si="113"/>
        <v>0</v>
      </c>
      <c r="AK178" s="848">
        <f t="shared" si="113"/>
        <v>0</v>
      </c>
      <c r="AL178" s="848">
        <f t="shared" si="113"/>
        <v>0</v>
      </c>
      <c r="AM178" s="848">
        <f t="shared" si="113"/>
        <v>0</v>
      </c>
      <c r="AN178" s="848">
        <f t="shared" si="113"/>
        <v>0</v>
      </c>
      <c r="AO178" s="848">
        <f t="shared" si="113"/>
        <v>0</v>
      </c>
      <c r="AP178" s="848">
        <f t="shared" si="113"/>
        <v>0</v>
      </c>
      <c r="AQ178" s="848">
        <f t="shared" si="113"/>
        <v>0</v>
      </c>
      <c r="AR178" s="848">
        <f t="shared" si="113"/>
        <v>0</v>
      </c>
      <c r="AS178" s="848">
        <f t="shared" si="113"/>
        <v>0</v>
      </c>
      <c r="AT178" s="848">
        <f t="shared" si="113"/>
        <v>0</v>
      </c>
      <c r="AU178" s="848">
        <f t="shared" si="113"/>
        <v>0</v>
      </c>
      <c r="AV178" s="848">
        <f t="shared" si="113"/>
        <v>0</v>
      </c>
      <c r="AW178" s="848">
        <f t="shared" si="113"/>
        <v>0</v>
      </c>
      <c r="AX178" s="848">
        <f t="shared" si="113"/>
        <v>0</v>
      </c>
      <c r="AY178" s="848">
        <f t="shared" si="113"/>
        <v>0</v>
      </c>
      <c r="AZ178" s="848">
        <f t="shared" si="113"/>
        <v>0</v>
      </c>
      <c r="BA178" s="848">
        <f t="shared" si="113"/>
        <v>0</v>
      </c>
      <c r="BB178" s="848">
        <f t="shared" si="113"/>
        <v>0</v>
      </c>
      <c r="BC178" s="848">
        <f t="shared" si="113"/>
        <v>0</v>
      </c>
      <c r="BD178" s="848">
        <f t="shared" si="113"/>
        <v>0</v>
      </c>
      <c r="BE178" s="848">
        <f t="shared" si="113"/>
        <v>0</v>
      </c>
      <c r="BF178" s="848">
        <f t="shared" si="113"/>
        <v>0</v>
      </c>
      <c r="BG178" s="848">
        <f t="shared" si="113"/>
        <v>0</v>
      </c>
      <c r="BH178" s="848">
        <f t="shared" si="113"/>
        <v>0</v>
      </c>
      <c r="BI178" s="848">
        <f t="shared" si="113"/>
        <v>0</v>
      </c>
      <c r="BJ178" s="848">
        <f t="shared" si="113"/>
        <v>0</v>
      </c>
      <c r="BK178" s="848">
        <f t="shared" si="113"/>
        <v>0</v>
      </c>
      <c r="BL178" s="848">
        <f t="shared" si="113"/>
        <v>0</v>
      </c>
      <c r="BM178" s="848">
        <f t="shared" si="113"/>
        <v>0</v>
      </c>
      <c r="BN178" s="848">
        <f t="shared" si="113"/>
        <v>0</v>
      </c>
      <c r="BO178" s="848">
        <f t="shared" si="113"/>
        <v>0</v>
      </c>
      <c r="BP178" s="848">
        <f t="shared" si="113"/>
        <v>0</v>
      </c>
      <c r="BQ178" s="848">
        <f t="shared" si="113"/>
        <v>0</v>
      </c>
      <c r="BR178" s="848">
        <f t="shared" si="113"/>
        <v>0</v>
      </c>
      <c r="BS178" s="848">
        <f t="shared" si="113"/>
        <v>0</v>
      </c>
      <c r="BT178" s="848">
        <f t="shared" si="113"/>
        <v>0</v>
      </c>
      <c r="BU178" s="848">
        <f t="shared" si="113"/>
        <v>0</v>
      </c>
      <c r="BV178" s="848">
        <f t="shared" ref="BV178:EG178" si="114">(-$H171-$H177)*(BV$7=$G$7)</f>
        <v>0</v>
      </c>
      <c r="BW178" s="848">
        <f t="shared" si="114"/>
        <v>0</v>
      </c>
      <c r="BX178" s="848">
        <f t="shared" si="114"/>
        <v>0</v>
      </c>
      <c r="BY178" s="848">
        <f t="shared" si="114"/>
        <v>0</v>
      </c>
      <c r="BZ178" s="848">
        <f t="shared" si="114"/>
        <v>0</v>
      </c>
      <c r="CA178" s="848">
        <f t="shared" si="114"/>
        <v>0</v>
      </c>
      <c r="CB178" s="848">
        <f t="shared" si="114"/>
        <v>0</v>
      </c>
      <c r="CC178" s="848">
        <f t="shared" si="114"/>
        <v>0</v>
      </c>
      <c r="CD178" s="848">
        <f t="shared" si="114"/>
        <v>0</v>
      </c>
      <c r="CE178" s="848">
        <f t="shared" si="114"/>
        <v>0</v>
      </c>
      <c r="CF178" s="848">
        <f t="shared" si="114"/>
        <v>0</v>
      </c>
      <c r="CG178" s="848">
        <f t="shared" si="114"/>
        <v>0</v>
      </c>
      <c r="CH178" s="848">
        <f t="shared" si="114"/>
        <v>0</v>
      </c>
      <c r="CI178" s="848">
        <f t="shared" si="114"/>
        <v>0</v>
      </c>
      <c r="CJ178" s="848">
        <f t="shared" si="114"/>
        <v>0</v>
      </c>
      <c r="CK178" s="848">
        <f t="shared" si="114"/>
        <v>0</v>
      </c>
      <c r="CL178" s="848">
        <f t="shared" si="114"/>
        <v>0</v>
      </c>
      <c r="CM178" s="848">
        <f t="shared" si="114"/>
        <v>0</v>
      </c>
      <c r="CN178" s="848">
        <f t="shared" si="114"/>
        <v>0</v>
      </c>
      <c r="CO178" s="848">
        <f t="shared" si="114"/>
        <v>0</v>
      </c>
      <c r="CP178" s="848">
        <f t="shared" si="114"/>
        <v>0</v>
      </c>
      <c r="CQ178" s="848">
        <f t="shared" si="114"/>
        <v>0</v>
      </c>
      <c r="CR178" s="848">
        <f t="shared" si="114"/>
        <v>0</v>
      </c>
      <c r="CS178" s="848">
        <f t="shared" si="114"/>
        <v>0</v>
      </c>
      <c r="CT178" s="848">
        <f t="shared" si="114"/>
        <v>0</v>
      </c>
      <c r="CU178" s="848">
        <f t="shared" si="114"/>
        <v>0</v>
      </c>
      <c r="CV178" s="848">
        <f t="shared" si="114"/>
        <v>0</v>
      </c>
      <c r="CW178" s="848">
        <f t="shared" si="114"/>
        <v>0</v>
      </c>
      <c r="CX178" s="848">
        <f t="shared" si="114"/>
        <v>0</v>
      </c>
      <c r="CY178" s="848">
        <f t="shared" si="114"/>
        <v>0</v>
      </c>
      <c r="CZ178" s="848">
        <f t="shared" si="114"/>
        <v>0</v>
      </c>
      <c r="DA178" s="848">
        <f t="shared" si="114"/>
        <v>0</v>
      </c>
      <c r="DB178" s="848">
        <f t="shared" si="114"/>
        <v>0</v>
      </c>
      <c r="DC178" s="848">
        <f t="shared" si="114"/>
        <v>0</v>
      </c>
      <c r="DD178" s="848">
        <f t="shared" si="114"/>
        <v>0</v>
      </c>
      <c r="DE178" s="848">
        <f t="shared" si="114"/>
        <v>0</v>
      </c>
      <c r="DF178" s="848">
        <f t="shared" si="114"/>
        <v>0</v>
      </c>
      <c r="DG178" s="848">
        <f t="shared" si="114"/>
        <v>0</v>
      </c>
      <c r="DH178" s="848">
        <f t="shared" si="114"/>
        <v>0</v>
      </c>
      <c r="DI178" s="848">
        <f t="shared" si="114"/>
        <v>0</v>
      </c>
      <c r="DJ178" s="848">
        <f t="shared" si="114"/>
        <v>0</v>
      </c>
      <c r="DK178" s="848">
        <f t="shared" si="114"/>
        <v>0</v>
      </c>
      <c r="DL178" s="848">
        <f t="shared" si="114"/>
        <v>0</v>
      </c>
      <c r="DM178" s="848">
        <f t="shared" si="114"/>
        <v>0</v>
      </c>
      <c r="DN178" s="848">
        <f t="shared" si="114"/>
        <v>0</v>
      </c>
      <c r="DO178" s="848">
        <f t="shared" si="114"/>
        <v>0</v>
      </c>
      <c r="DP178" s="848">
        <f t="shared" si="114"/>
        <v>0</v>
      </c>
      <c r="DQ178" s="848">
        <f t="shared" si="114"/>
        <v>0</v>
      </c>
      <c r="DR178" s="848">
        <f t="shared" si="114"/>
        <v>0</v>
      </c>
      <c r="DS178" s="848">
        <f t="shared" si="114"/>
        <v>0</v>
      </c>
      <c r="DT178" s="848">
        <f t="shared" si="114"/>
        <v>0</v>
      </c>
      <c r="DU178" s="848">
        <f t="shared" si="114"/>
        <v>0</v>
      </c>
      <c r="DV178" s="848">
        <f t="shared" si="114"/>
        <v>0</v>
      </c>
      <c r="DW178" s="848">
        <f t="shared" si="114"/>
        <v>0</v>
      </c>
      <c r="DX178" s="848">
        <f t="shared" si="114"/>
        <v>0</v>
      </c>
      <c r="DY178" s="848">
        <f t="shared" si="114"/>
        <v>0</v>
      </c>
      <c r="DZ178" s="848">
        <f t="shared" si="114"/>
        <v>242800</v>
      </c>
      <c r="EA178" s="848">
        <f t="shared" si="114"/>
        <v>0</v>
      </c>
      <c r="EB178" s="848">
        <f t="shared" si="114"/>
        <v>0</v>
      </c>
      <c r="EC178" s="848">
        <f t="shared" si="114"/>
        <v>0</v>
      </c>
      <c r="ED178" s="848">
        <f t="shared" si="114"/>
        <v>0</v>
      </c>
      <c r="EE178" s="848">
        <f t="shared" si="114"/>
        <v>0</v>
      </c>
      <c r="EF178" s="848">
        <f t="shared" si="114"/>
        <v>0</v>
      </c>
      <c r="EG178" s="848">
        <f t="shared" si="114"/>
        <v>0</v>
      </c>
      <c r="EH178" s="848">
        <f t="shared" ref="EH178:EL178" si="115">(-$H171-$H177)*(EH$7=$G$7)</f>
        <v>0</v>
      </c>
      <c r="EI178" s="848">
        <f t="shared" si="115"/>
        <v>0</v>
      </c>
      <c r="EJ178" s="848">
        <f t="shared" si="115"/>
        <v>0</v>
      </c>
      <c r="EK178" s="848">
        <f t="shared" si="115"/>
        <v>0</v>
      </c>
      <c r="EL178" s="848">
        <f t="shared" si="115"/>
        <v>0</v>
      </c>
    </row>
    <row r="179" spans="2:142" s="833" customFormat="1" ht="13.5">
      <c r="B179" s="1000"/>
      <c r="D179" s="1001" t="s">
        <v>2194</v>
      </c>
      <c r="E179" s="1001"/>
      <c r="F179" s="1008"/>
      <c r="G179" s="1001"/>
      <c r="H179" s="848">
        <f t="shared" si="108"/>
        <v>308259.40160261269</v>
      </c>
      <c r="I179" s="848"/>
      <c r="J179" s="848">
        <f t="shared" ref="J179:AO179" si="116">SUM(J171:J178)</f>
        <v>-156800</v>
      </c>
      <c r="K179" s="848">
        <f t="shared" si="116"/>
        <v>0</v>
      </c>
      <c r="L179" s="848">
        <f t="shared" si="116"/>
        <v>0</v>
      </c>
      <c r="M179" s="848">
        <f t="shared" si="116"/>
        <v>0</v>
      </c>
      <c r="N179" s="848">
        <f t="shared" si="116"/>
        <v>0</v>
      </c>
      <c r="O179" s="848">
        <f t="shared" si="116"/>
        <v>0</v>
      </c>
      <c r="P179" s="848">
        <f t="shared" si="116"/>
        <v>0</v>
      </c>
      <c r="Q179" s="848">
        <f t="shared" si="116"/>
        <v>-82697.319451999996</v>
      </c>
      <c r="R179" s="848">
        <f t="shared" si="116"/>
        <v>0</v>
      </c>
      <c r="S179" s="848">
        <f t="shared" si="116"/>
        <v>0</v>
      </c>
      <c r="T179" s="848">
        <f t="shared" si="116"/>
        <v>0</v>
      </c>
      <c r="U179" s="848">
        <f t="shared" si="116"/>
        <v>0</v>
      </c>
      <c r="V179" s="848">
        <f t="shared" si="116"/>
        <v>0</v>
      </c>
      <c r="W179" s="848">
        <f t="shared" si="116"/>
        <v>6219.1806189999998</v>
      </c>
      <c r="X179" s="848">
        <f t="shared" si="116"/>
        <v>0</v>
      </c>
      <c r="Y179" s="848">
        <f t="shared" si="116"/>
        <v>0</v>
      </c>
      <c r="Z179" s="848">
        <f t="shared" si="116"/>
        <v>0</v>
      </c>
      <c r="AA179" s="848">
        <f t="shared" si="116"/>
        <v>0</v>
      </c>
      <c r="AB179" s="848">
        <f t="shared" si="116"/>
        <v>0</v>
      </c>
      <c r="AC179" s="848">
        <f t="shared" si="116"/>
        <v>7466.2662870000004</v>
      </c>
      <c r="AD179" s="848">
        <f t="shared" si="116"/>
        <v>0</v>
      </c>
      <c r="AE179" s="848">
        <f t="shared" si="116"/>
        <v>0</v>
      </c>
      <c r="AF179" s="848">
        <f t="shared" si="116"/>
        <v>0</v>
      </c>
      <c r="AG179" s="848">
        <f t="shared" si="116"/>
        <v>0</v>
      </c>
      <c r="AH179" s="848">
        <f t="shared" si="116"/>
        <v>0</v>
      </c>
      <c r="AI179" s="848">
        <f t="shared" si="116"/>
        <v>7344.5336880000004</v>
      </c>
      <c r="AJ179" s="848">
        <f t="shared" si="116"/>
        <v>0</v>
      </c>
      <c r="AK179" s="848">
        <f t="shared" si="116"/>
        <v>0</v>
      </c>
      <c r="AL179" s="848">
        <f t="shared" si="116"/>
        <v>0</v>
      </c>
      <c r="AM179" s="848">
        <f t="shared" si="116"/>
        <v>0</v>
      </c>
      <c r="AN179" s="848">
        <f t="shared" si="116"/>
        <v>0</v>
      </c>
      <c r="AO179" s="848">
        <f t="shared" si="116"/>
        <v>7466.2662870000004</v>
      </c>
      <c r="AP179" s="848">
        <f t="shared" ref="AP179:DA179" si="117">SUM(AP171:AP178)</f>
        <v>0</v>
      </c>
      <c r="AQ179" s="848">
        <f t="shared" si="117"/>
        <v>0</v>
      </c>
      <c r="AR179" s="848">
        <f t="shared" si="117"/>
        <v>0</v>
      </c>
      <c r="AS179" s="848">
        <f t="shared" si="117"/>
        <v>0</v>
      </c>
      <c r="AT179" s="848">
        <f t="shared" si="117"/>
        <v>0</v>
      </c>
      <c r="AU179" s="848">
        <f t="shared" si="117"/>
        <v>4860</v>
      </c>
      <c r="AV179" s="848">
        <f t="shared" si="117"/>
        <v>0</v>
      </c>
      <c r="AW179" s="848">
        <f t="shared" si="117"/>
        <v>0</v>
      </c>
      <c r="AX179" s="848">
        <f t="shared" si="117"/>
        <v>0</v>
      </c>
      <c r="AY179" s="848">
        <f t="shared" si="117"/>
        <v>0</v>
      </c>
      <c r="AZ179" s="848">
        <f t="shared" si="117"/>
        <v>0</v>
      </c>
      <c r="BA179" s="848">
        <f t="shared" si="117"/>
        <v>4860</v>
      </c>
      <c r="BB179" s="848">
        <f t="shared" si="117"/>
        <v>0</v>
      </c>
      <c r="BC179" s="848">
        <f t="shared" si="117"/>
        <v>0</v>
      </c>
      <c r="BD179" s="848">
        <f t="shared" si="117"/>
        <v>0</v>
      </c>
      <c r="BE179" s="848">
        <f t="shared" si="117"/>
        <v>0</v>
      </c>
      <c r="BF179" s="848">
        <f t="shared" si="117"/>
        <v>0</v>
      </c>
      <c r="BG179" s="848">
        <f t="shared" si="117"/>
        <v>4860.0000000000009</v>
      </c>
      <c r="BH179" s="848">
        <f t="shared" si="117"/>
        <v>0</v>
      </c>
      <c r="BI179" s="848">
        <f t="shared" si="117"/>
        <v>0</v>
      </c>
      <c r="BJ179" s="848">
        <f t="shared" si="117"/>
        <v>0</v>
      </c>
      <c r="BK179" s="848">
        <f t="shared" si="117"/>
        <v>0</v>
      </c>
      <c r="BL179" s="848">
        <f t="shared" si="117"/>
        <v>0</v>
      </c>
      <c r="BM179" s="848">
        <f t="shared" si="117"/>
        <v>4860.0000000000009</v>
      </c>
      <c r="BN179" s="848">
        <f t="shared" si="117"/>
        <v>0</v>
      </c>
      <c r="BO179" s="848">
        <f t="shared" si="117"/>
        <v>0</v>
      </c>
      <c r="BP179" s="848">
        <f t="shared" si="117"/>
        <v>0</v>
      </c>
      <c r="BQ179" s="848">
        <f t="shared" si="117"/>
        <v>0</v>
      </c>
      <c r="BR179" s="848">
        <f t="shared" si="117"/>
        <v>0</v>
      </c>
      <c r="BS179" s="848">
        <f t="shared" si="117"/>
        <v>4860.0000000000009</v>
      </c>
      <c r="BT179" s="848">
        <f t="shared" si="117"/>
        <v>0</v>
      </c>
      <c r="BU179" s="848">
        <f t="shared" si="117"/>
        <v>0</v>
      </c>
      <c r="BV179" s="848">
        <f t="shared" si="117"/>
        <v>0</v>
      </c>
      <c r="BW179" s="848">
        <f t="shared" si="117"/>
        <v>0</v>
      </c>
      <c r="BX179" s="848">
        <f t="shared" si="117"/>
        <v>0</v>
      </c>
      <c r="BY179" s="848">
        <f t="shared" si="117"/>
        <v>5943</v>
      </c>
      <c r="BZ179" s="848">
        <f t="shared" si="117"/>
        <v>0</v>
      </c>
      <c r="CA179" s="848">
        <f t="shared" si="117"/>
        <v>0</v>
      </c>
      <c r="CB179" s="848">
        <f t="shared" si="117"/>
        <v>0</v>
      </c>
      <c r="CC179" s="848">
        <f t="shared" si="117"/>
        <v>0</v>
      </c>
      <c r="CD179" s="848">
        <f t="shared" si="117"/>
        <v>0</v>
      </c>
      <c r="CE179" s="848">
        <f t="shared" si="117"/>
        <v>5943</v>
      </c>
      <c r="CF179" s="848">
        <f t="shared" si="117"/>
        <v>0</v>
      </c>
      <c r="CG179" s="848">
        <f t="shared" si="117"/>
        <v>0</v>
      </c>
      <c r="CH179" s="848">
        <f t="shared" si="117"/>
        <v>0</v>
      </c>
      <c r="CI179" s="848">
        <f t="shared" si="117"/>
        <v>0</v>
      </c>
      <c r="CJ179" s="848">
        <f t="shared" si="117"/>
        <v>0</v>
      </c>
      <c r="CK179" s="848">
        <f t="shared" si="117"/>
        <v>6100.8872171842304</v>
      </c>
      <c r="CL179" s="848">
        <f t="shared" si="117"/>
        <v>0</v>
      </c>
      <c r="CM179" s="848">
        <f t="shared" si="117"/>
        <v>0</v>
      </c>
      <c r="CN179" s="848">
        <f t="shared" si="117"/>
        <v>0</v>
      </c>
      <c r="CO179" s="848">
        <f t="shared" si="117"/>
        <v>0</v>
      </c>
      <c r="CP179" s="848">
        <f t="shared" si="117"/>
        <v>0</v>
      </c>
      <c r="CQ179" s="848">
        <f t="shared" si="117"/>
        <v>5943</v>
      </c>
      <c r="CR179" s="848">
        <f t="shared" si="117"/>
        <v>0</v>
      </c>
      <c r="CS179" s="848">
        <f t="shared" si="117"/>
        <v>0</v>
      </c>
      <c r="CT179" s="848">
        <f t="shared" si="117"/>
        <v>0</v>
      </c>
      <c r="CU179" s="848">
        <f t="shared" si="117"/>
        <v>0</v>
      </c>
      <c r="CV179" s="848">
        <f t="shared" si="117"/>
        <v>0</v>
      </c>
      <c r="CW179" s="848">
        <f t="shared" si="117"/>
        <v>5943.0000000000009</v>
      </c>
      <c r="CX179" s="848">
        <f t="shared" si="117"/>
        <v>0</v>
      </c>
      <c r="CY179" s="848">
        <f t="shared" si="117"/>
        <v>0</v>
      </c>
      <c r="CZ179" s="848">
        <f t="shared" si="117"/>
        <v>0</v>
      </c>
      <c r="DA179" s="848">
        <f t="shared" si="117"/>
        <v>0</v>
      </c>
      <c r="DB179" s="848">
        <f t="shared" ref="DB179:EL179" si="118">SUM(DB171:DB178)</f>
        <v>0</v>
      </c>
      <c r="DC179" s="848">
        <f t="shared" si="118"/>
        <v>8059.4802109788416</v>
      </c>
      <c r="DD179" s="848">
        <f t="shared" si="118"/>
        <v>0</v>
      </c>
      <c r="DE179" s="848">
        <f t="shared" si="118"/>
        <v>0</v>
      </c>
      <c r="DF179" s="848">
        <f t="shared" si="118"/>
        <v>0</v>
      </c>
      <c r="DG179" s="848">
        <f t="shared" si="118"/>
        <v>0</v>
      </c>
      <c r="DH179" s="848">
        <f t="shared" si="118"/>
        <v>0</v>
      </c>
      <c r="DI179" s="848">
        <f t="shared" si="118"/>
        <v>9744.8104223767532</v>
      </c>
      <c r="DJ179" s="848">
        <f t="shared" si="118"/>
        <v>0</v>
      </c>
      <c r="DK179" s="848">
        <f t="shared" si="118"/>
        <v>0</v>
      </c>
      <c r="DL179" s="848">
        <f t="shared" si="118"/>
        <v>0</v>
      </c>
      <c r="DM179" s="848">
        <f t="shared" si="118"/>
        <v>0</v>
      </c>
      <c r="DN179" s="848">
        <f t="shared" si="118"/>
        <v>0</v>
      </c>
      <c r="DO179" s="848">
        <f t="shared" si="118"/>
        <v>8546.9776538911428</v>
      </c>
      <c r="DP179" s="848">
        <f t="shared" si="118"/>
        <v>0</v>
      </c>
      <c r="DQ179" s="848">
        <f t="shared" si="118"/>
        <v>0</v>
      </c>
      <c r="DR179" s="848">
        <f t="shared" si="118"/>
        <v>0</v>
      </c>
      <c r="DS179" s="848">
        <f t="shared" si="118"/>
        <v>0</v>
      </c>
      <c r="DT179" s="848">
        <f t="shared" si="118"/>
        <v>0</v>
      </c>
      <c r="DU179" s="848">
        <f t="shared" si="118"/>
        <v>10258.353380260729</v>
      </c>
      <c r="DV179" s="848">
        <f t="shared" si="118"/>
        <v>0</v>
      </c>
      <c r="DW179" s="848">
        <f t="shared" si="118"/>
        <v>0</v>
      </c>
      <c r="DX179" s="848">
        <f t="shared" si="118"/>
        <v>0</v>
      </c>
      <c r="DY179" s="848">
        <f t="shared" si="118"/>
        <v>0</v>
      </c>
      <c r="DZ179" s="848">
        <f t="shared" si="118"/>
        <v>428477.96528892103</v>
      </c>
      <c r="EA179" s="848">
        <f t="shared" si="118"/>
        <v>0</v>
      </c>
      <c r="EB179" s="848">
        <f t="shared" si="118"/>
        <v>0</v>
      </c>
      <c r="EC179" s="848">
        <f t="shared" si="118"/>
        <v>0</v>
      </c>
      <c r="ED179" s="848">
        <f t="shared" si="118"/>
        <v>0</v>
      </c>
      <c r="EE179" s="848">
        <f t="shared" si="118"/>
        <v>0</v>
      </c>
      <c r="EF179" s="848">
        <f t="shared" si="118"/>
        <v>0</v>
      </c>
      <c r="EG179" s="848">
        <f t="shared" si="118"/>
        <v>0</v>
      </c>
      <c r="EH179" s="848">
        <f t="shared" si="118"/>
        <v>0</v>
      </c>
      <c r="EI179" s="848">
        <f t="shared" si="118"/>
        <v>0</v>
      </c>
      <c r="EJ179" s="848">
        <f t="shared" si="118"/>
        <v>0</v>
      </c>
      <c r="EK179" s="848">
        <f t="shared" si="118"/>
        <v>0</v>
      </c>
      <c r="EL179" s="848">
        <f t="shared" si="118"/>
        <v>0</v>
      </c>
    </row>
    <row r="180" spans="2:142" s="833" customFormat="1" ht="13.5">
      <c r="B180" s="1000"/>
      <c r="D180" s="1085" t="s">
        <v>2076</v>
      </c>
      <c r="E180" s="1085"/>
      <c r="F180" s="1086"/>
      <c r="G180" s="528">
        <v>0.12963877546896169</v>
      </c>
      <c r="H180" s="528">
        <f>IFERROR(((1+IRR(J179:EL179,1%))^12-1)*(ABS((1+IRR(J179:EL179,1%))^12-1)&gt;0.000001),)</f>
        <v>0.10129371830148037</v>
      </c>
      <c r="J180" s="214"/>
      <c r="K180" s="214"/>
      <c r="L180" s="214"/>
      <c r="M180" s="214"/>
      <c r="N180" s="214"/>
      <c r="O180" s="21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214"/>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row>
    <row r="181" spans="2:142" s="833" customFormat="1">
      <c r="B181" s="1000"/>
      <c r="D181" s="1091"/>
      <c r="E181" s="1091"/>
      <c r="F181" s="1092"/>
      <c r="G181" s="529"/>
      <c r="H181" s="534"/>
      <c r="J181" s="214"/>
      <c r="K181" s="214"/>
      <c r="L181" s="214"/>
      <c r="M181" s="214"/>
      <c r="N181" s="214"/>
      <c r="O181" s="21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214"/>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row>
    <row r="182" spans="2:142" s="833" customFormat="1" ht="13.5">
      <c r="B182" s="1000"/>
      <c r="D182" s="881" t="s">
        <v>2195</v>
      </c>
      <c r="E182" s="1001"/>
      <c r="F182" s="1008"/>
      <c r="G182" s="917"/>
      <c r="H182" s="848">
        <f>SUM(J182:EL182)</f>
        <v>173119.88437994942</v>
      </c>
      <c r="J182" s="848">
        <f t="shared" ref="J182:BU182" si="119">SUM(J174:J175)</f>
        <v>0</v>
      </c>
      <c r="K182" s="848">
        <f t="shared" si="119"/>
        <v>0</v>
      </c>
      <c r="L182" s="848">
        <f t="shared" si="119"/>
        <v>0</v>
      </c>
      <c r="M182" s="848">
        <f t="shared" si="119"/>
        <v>0</v>
      </c>
      <c r="N182" s="848">
        <f t="shared" si="119"/>
        <v>0</v>
      </c>
      <c r="O182" s="848">
        <f t="shared" si="119"/>
        <v>0</v>
      </c>
      <c r="P182" s="848">
        <f t="shared" si="119"/>
        <v>0</v>
      </c>
      <c r="Q182" s="848">
        <f t="shared" si="119"/>
        <v>0</v>
      </c>
      <c r="R182" s="848">
        <f t="shared" si="119"/>
        <v>0</v>
      </c>
      <c r="S182" s="848">
        <f t="shared" si="119"/>
        <v>0</v>
      </c>
      <c r="T182" s="848">
        <f t="shared" si="119"/>
        <v>0</v>
      </c>
      <c r="U182" s="848">
        <f t="shared" si="119"/>
        <v>0</v>
      </c>
      <c r="V182" s="848">
        <f t="shared" si="119"/>
        <v>0</v>
      </c>
      <c r="W182" s="848">
        <f t="shared" si="119"/>
        <v>0</v>
      </c>
      <c r="X182" s="848">
        <f t="shared" si="119"/>
        <v>0</v>
      </c>
      <c r="Y182" s="848">
        <f t="shared" si="119"/>
        <v>0</v>
      </c>
      <c r="Z182" s="848">
        <f t="shared" si="119"/>
        <v>0</v>
      </c>
      <c r="AA182" s="848">
        <f t="shared" si="119"/>
        <v>0</v>
      </c>
      <c r="AB182" s="848">
        <f t="shared" si="119"/>
        <v>0</v>
      </c>
      <c r="AC182" s="848">
        <f t="shared" si="119"/>
        <v>0</v>
      </c>
      <c r="AD182" s="848">
        <f t="shared" si="119"/>
        <v>0</v>
      </c>
      <c r="AE182" s="848">
        <f t="shared" si="119"/>
        <v>0</v>
      </c>
      <c r="AF182" s="848">
        <f t="shared" si="119"/>
        <v>0</v>
      </c>
      <c r="AG182" s="848">
        <f t="shared" si="119"/>
        <v>0</v>
      </c>
      <c r="AH182" s="848">
        <f t="shared" si="119"/>
        <v>0</v>
      </c>
      <c r="AI182" s="848">
        <f t="shared" si="119"/>
        <v>0</v>
      </c>
      <c r="AJ182" s="848">
        <f t="shared" si="119"/>
        <v>0</v>
      </c>
      <c r="AK182" s="848">
        <f t="shared" si="119"/>
        <v>0</v>
      </c>
      <c r="AL182" s="848">
        <f t="shared" si="119"/>
        <v>0</v>
      </c>
      <c r="AM182" s="848">
        <f t="shared" si="119"/>
        <v>0</v>
      </c>
      <c r="AN182" s="848">
        <f t="shared" si="119"/>
        <v>0</v>
      </c>
      <c r="AO182" s="848">
        <f t="shared" si="119"/>
        <v>0</v>
      </c>
      <c r="AP182" s="848">
        <f t="shared" si="119"/>
        <v>0</v>
      </c>
      <c r="AQ182" s="848">
        <f t="shared" si="119"/>
        <v>0</v>
      </c>
      <c r="AR182" s="848">
        <f t="shared" si="119"/>
        <v>0</v>
      </c>
      <c r="AS182" s="848">
        <f t="shared" si="119"/>
        <v>0</v>
      </c>
      <c r="AT182" s="848">
        <f t="shared" si="119"/>
        <v>0</v>
      </c>
      <c r="AU182" s="848">
        <f t="shared" si="119"/>
        <v>0</v>
      </c>
      <c r="AV182" s="848">
        <f t="shared" si="119"/>
        <v>0</v>
      </c>
      <c r="AW182" s="848">
        <f t="shared" si="119"/>
        <v>0</v>
      </c>
      <c r="AX182" s="848">
        <f t="shared" si="119"/>
        <v>0</v>
      </c>
      <c r="AY182" s="848">
        <f t="shared" si="119"/>
        <v>0</v>
      </c>
      <c r="AZ182" s="848">
        <f t="shared" si="119"/>
        <v>0</v>
      </c>
      <c r="BA182" s="848">
        <f t="shared" si="119"/>
        <v>0</v>
      </c>
      <c r="BB182" s="848">
        <f t="shared" si="119"/>
        <v>0</v>
      </c>
      <c r="BC182" s="848">
        <f t="shared" si="119"/>
        <v>0</v>
      </c>
      <c r="BD182" s="848">
        <f t="shared" si="119"/>
        <v>0</v>
      </c>
      <c r="BE182" s="848">
        <f t="shared" si="119"/>
        <v>0</v>
      </c>
      <c r="BF182" s="848">
        <f t="shared" si="119"/>
        <v>0</v>
      </c>
      <c r="BG182" s="848">
        <f t="shared" si="119"/>
        <v>0</v>
      </c>
      <c r="BH182" s="848">
        <f t="shared" si="119"/>
        <v>0</v>
      </c>
      <c r="BI182" s="848">
        <f t="shared" si="119"/>
        <v>0</v>
      </c>
      <c r="BJ182" s="848">
        <f t="shared" si="119"/>
        <v>0</v>
      </c>
      <c r="BK182" s="848">
        <f t="shared" si="119"/>
        <v>0</v>
      </c>
      <c r="BL182" s="848">
        <f t="shared" si="119"/>
        <v>0</v>
      </c>
      <c r="BM182" s="848">
        <f t="shared" si="119"/>
        <v>0</v>
      </c>
      <c r="BN182" s="848">
        <f t="shared" si="119"/>
        <v>0</v>
      </c>
      <c r="BO182" s="848">
        <f t="shared" si="119"/>
        <v>0</v>
      </c>
      <c r="BP182" s="848">
        <f t="shared" si="119"/>
        <v>0</v>
      </c>
      <c r="BQ182" s="848">
        <f t="shared" si="119"/>
        <v>0</v>
      </c>
      <c r="BR182" s="848">
        <f t="shared" si="119"/>
        <v>0</v>
      </c>
      <c r="BS182" s="848">
        <f t="shared" si="119"/>
        <v>0</v>
      </c>
      <c r="BT182" s="848">
        <f t="shared" si="119"/>
        <v>0</v>
      </c>
      <c r="BU182" s="848">
        <f t="shared" si="119"/>
        <v>0</v>
      </c>
      <c r="BV182" s="848">
        <f t="shared" ref="BV182:EG182" si="120">SUM(BV174:BV175)</f>
        <v>0</v>
      </c>
      <c r="BW182" s="848">
        <f t="shared" si="120"/>
        <v>0</v>
      </c>
      <c r="BX182" s="848">
        <f t="shared" si="120"/>
        <v>0</v>
      </c>
      <c r="BY182" s="848">
        <f t="shared" si="120"/>
        <v>0</v>
      </c>
      <c r="BZ182" s="848">
        <f t="shared" si="120"/>
        <v>0</v>
      </c>
      <c r="CA182" s="848">
        <f t="shared" si="120"/>
        <v>0</v>
      </c>
      <c r="CB182" s="848">
        <f t="shared" si="120"/>
        <v>0</v>
      </c>
      <c r="CC182" s="848">
        <f t="shared" si="120"/>
        <v>0</v>
      </c>
      <c r="CD182" s="848">
        <f t="shared" si="120"/>
        <v>0</v>
      </c>
      <c r="CE182" s="848">
        <f t="shared" si="120"/>
        <v>0</v>
      </c>
      <c r="CF182" s="848">
        <f t="shared" si="120"/>
        <v>0</v>
      </c>
      <c r="CG182" s="848">
        <f t="shared" si="120"/>
        <v>0</v>
      </c>
      <c r="CH182" s="848">
        <f t="shared" si="120"/>
        <v>0</v>
      </c>
      <c r="CI182" s="848">
        <f t="shared" si="120"/>
        <v>0</v>
      </c>
      <c r="CJ182" s="848">
        <f t="shared" si="120"/>
        <v>0</v>
      </c>
      <c r="CK182" s="848">
        <f t="shared" si="120"/>
        <v>0</v>
      </c>
      <c r="CL182" s="848">
        <f t="shared" si="120"/>
        <v>0</v>
      </c>
      <c r="CM182" s="848">
        <f t="shared" si="120"/>
        <v>0</v>
      </c>
      <c r="CN182" s="848">
        <f t="shared" si="120"/>
        <v>0</v>
      </c>
      <c r="CO182" s="848">
        <f t="shared" si="120"/>
        <v>0</v>
      </c>
      <c r="CP182" s="848">
        <f t="shared" si="120"/>
        <v>0</v>
      </c>
      <c r="CQ182" s="848">
        <f t="shared" si="120"/>
        <v>0</v>
      </c>
      <c r="CR182" s="848">
        <f t="shared" si="120"/>
        <v>0</v>
      </c>
      <c r="CS182" s="848">
        <f t="shared" si="120"/>
        <v>0</v>
      </c>
      <c r="CT182" s="848">
        <f t="shared" si="120"/>
        <v>0</v>
      </c>
      <c r="CU182" s="848">
        <f t="shared" si="120"/>
        <v>0</v>
      </c>
      <c r="CV182" s="848">
        <f t="shared" si="120"/>
        <v>0</v>
      </c>
      <c r="CW182" s="848">
        <f t="shared" si="120"/>
        <v>0</v>
      </c>
      <c r="CX182" s="848">
        <f t="shared" si="120"/>
        <v>0</v>
      </c>
      <c r="CY182" s="848">
        <f t="shared" si="120"/>
        <v>0</v>
      </c>
      <c r="CZ182" s="848">
        <f t="shared" si="120"/>
        <v>0</v>
      </c>
      <c r="DA182" s="848">
        <f t="shared" si="120"/>
        <v>0</v>
      </c>
      <c r="DB182" s="848">
        <f t="shared" si="120"/>
        <v>0</v>
      </c>
      <c r="DC182" s="848">
        <f t="shared" si="120"/>
        <v>0</v>
      </c>
      <c r="DD182" s="848">
        <f t="shared" si="120"/>
        <v>0</v>
      </c>
      <c r="DE182" s="848">
        <f t="shared" si="120"/>
        <v>0</v>
      </c>
      <c r="DF182" s="848">
        <f t="shared" si="120"/>
        <v>0</v>
      </c>
      <c r="DG182" s="848">
        <f t="shared" si="120"/>
        <v>0</v>
      </c>
      <c r="DH182" s="848">
        <f t="shared" si="120"/>
        <v>0</v>
      </c>
      <c r="DI182" s="848">
        <f t="shared" si="120"/>
        <v>0</v>
      </c>
      <c r="DJ182" s="848">
        <f t="shared" si="120"/>
        <v>0</v>
      </c>
      <c r="DK182" s="848">
        <f t="shared" si="120"/>
        <v>0</v>
      </c>
      <c r="DL182" s="848">
        <f t="shared" si="120"/>
        <v>0</v>
      </c>
      <c r="DM182" s="848">
        <f t="shared" si="120"/>
        <v>0</v>
      </c>
      <c r="DN182" s="848">
        <f t="shared" si="120"/>
        <v>0</v>
      </c>
      <c r="DO182" s="848">
        <f t="shared" si="120"/>
        <v>0</v>
      </c>
      <c r="DP182" s="848">
        <f t="shared" si="120"/>
        <v>0</v>
      </c>
      <c r="DQ182" s="848">
        <f t="shared" si="120"/>
        <v>0</v>
      </c>
      <c r="DR182" s="848">
        <f t="shared" si="120"/>
        <v>0</v>
      </c>
      <c r="DS182" s="848">
        <f t="shared" si="120"/>
        <v>0</v>
      </c>
      <c r="DT182" s="848">
        <f t="shared" si="120"/>
        <v>0</v>
      </c>
      <c r="DU182" s="848">
        <f t="shared" si="120"/>
        <v>0</v>
      </c>
      <c r="DV182" s="848">
        <f t="shared" si="120"/>
        <v>0</v>
      </c>
      <c r="DW182" s="848">
        <f t="shared" si="120"/>
        <v>0</v>
      </c>
      <c r="DX182" s="848">
        <f t="shared" si="120"/>
        <v>0</v>
      </c>
      <c r="DY182" s="848">
        <f t="shared" si="120"/>
        <v>0</v>
      </c>
      <c r="DZ182" s="848">
        <f t="shared" si="120"/>
        <v>173119.88437994942</v>
      </c>
      <c r="EA182" s="848">
        <f t="shared" si="120"/>
        <v>0</v>
      </c>
      <c r="EB182" s="848">
        <f t="shared" si="120"/>
        <v>0</v>
      </c>
      <c r="EC182" s="848">
        <f t="shared" si="120"/>
        <v>0</v>
      </c>
      <c r="ED182" s="848">
        <f t="shared" si="120"/>
        <v>0</v>
      </c>
      <c r="EE182" s="848">
        <f t="shared" si="120"/>
        <v>0</v>
      </c>
      <c r="EF182" s="848">
        <f t="shared" si="120"/>
        <v>0</v>
      </c>
      <c r="EG182" s="848">
        <f t="shared" si="120"/>
        <v>0</v>
      </c>
      <c r="EH182" s="848">
        <f t="shared" ref="EH182:EL182" si="121">SUM(EH174:EH175)</f>
        <v>0</v>
      </c>
      <c r="EI182" s="848">
        <f t="shared" si="121"/>
        <v>0</v>
      </c>
      <c r="EJ182" s="848">
        <f t="shared" si="121"/>
        <v>0</v>
      </c>
      <c r="EK182" s="848">
        <f t="shared" si="121"/>
        <v>0</v>
      </c>
      <c r="EL182" s="848">
        <f t="shared" si="121"/>
        <v>0</v>
      </c>
    </row>
    <row r="183" spans="2:142" s="833" customFormat="1" ht="13.5">
      <c r="B183" s="1000"/>
      <c r="D183" s="1001" t="s">
        <v>972</v>
      </c>
      <c r="E183" s="1001"/>
      <c r="F183" s="1008"/>
      <c r="G183" s="917"/>
      <c r="H183" s="848">
        <f>SUM(J183:EL183)</f>
        <v>135139.5172226633</v>
      </c>
      <c r="J183" s="848">
        <f>J179-J182</f>
        <v>-156800</v>
      </c>
      <c r="K183" s="848">
        <f t="shared" ref="K183:BV183" si="122">K179-K182</f>
        <v>0</v>
      </c>
      <c r="L183" s="848">
        <f t="shared" si="122"/>
        <v>0</v>
      </c>
      <c r="M183" s="848">
        <f t="shared" si="122"/>
        <v>0</v>
      </c>
      <c r="N183" s="848">
        <f t="shared" si="122"/>
        <v>0</v>
      </c>
      <c r="O183" s="848">
        <f t="shared" si="122"/>
        <v>0</v>
      </c>
      <c r="P183" s="848">
        <f t="shared" si="122"/>
        <v>0</v>
      </c>
      <c r="Q183" s="848">
        <f t="shared" si="122"/>
        <v>-82697.319451999996</v>
      </c>
      <c r="R183" s="848">
        <f t="shared" si="122"/>
        <v>0</v>
      </c>
      <c r="S183" s="848">
        <f t="shared" si="122"/>
        <v>0</v>
      </c>
      <c r="T183" s="848">
        <f t="shared" si="122"/>
        <v>0</v>
      </c>
      <c r="U183" s="848">
        <f t="shared" si="122"/>
        <v>0</v>
      </c>
      <c r="V183" s="848">
        <f t="shared" si="122"/>
        <v>0</v>
      </c>
      <c r="W183" s="848">
        <f t="shared" si="122"/>
        <v>6219.1806189999998</v>
      </c>
      <c r="X183" s="848">
        <f t="shared" si="122"/>
        <v>0</v>
      </c>
      <c r="Y183" s="848">
        <f t="shared" si="122"/>
        <v>0</v>
      </c>
      <c r="Z183" s="848">
        <f t="shared" si="122"/>
        <v>0</v>
      </c>
      <c r="AA183" s="848">
        <f t="shared" si="122"/>
        <v>0</v>
      </c>
      <c r="AB183" s="848">
        <f t="shared" si="122"/>
        <v>0</v>
      </c>
      <c r="AC183" s="848">
        <f t="shared" si="122"/>
        <v>7466.2662870000004</v>
      </c>
      <c r="AD183" s="848">
        <f t="shared" si="122"/>
        <v>0</v>
      </c>
      <c r="AE183" s="848">
        <f t="shared" si="122"/>
        <v>0</v>
      </c>
      <c r="AF183" s="848">
        <f t="shared" si="122"/>
        <v>0</v>
      </c>
      <c r="AG183" s="848">
        <f t="shared" si="122"/>
        <v>0</v>
      </c>
      <c r="AH183" s="848">
        <f t="shared" si="122"/>
        <v>0</v>
      </c>
      <c r="AI183" s="848">
        <f t="shared" si="122"/>
        <v>7344.5336880000004</v>
      </c>
      <c r="AJ183" s="848">
        <f t="shared" si="122"/>
        <v>0</v>
      </c>
      <c r="AK183" s="848">
        <f t="shared" si="122"/>
        <v>0</v>
      </c>
      <c r="AL183" s="848">
        <f t="shared" si="122"/>
        <v>0</v>
      </c>
      <c r="AM183" s="848">
        <f t="shared" si="122"/>
        <v>0</v>
      </c>
      <c r="AN183" s="848">
        <f t="shared" si="122"/>
        <v>0</v>
      </c>
      <c r="AO183" s="848">
        <f t="shared" si="122"/>
        <v>7466.2662870000004</v>
      </c>
      <c r="AP183" s="848">
        <f t="shared" si="122"/>
        <v>0</v>
      </c>
      <c r="AQ183" s="848">
        <f t="shared" si="122"/>
        <v>0</v>
      </c>
      <c r="AR183" s="848">
        <f t="shared" si="122"/>
        <v>0</v>
      </c>
      <c r="AS183" s="848">
        <f t="shared" si="122"/>
        <v>0</v>
      </c>
      <c r="AT183" s="848">
        <f t="shared" si="122"/>
        <v>0</v>
      </c>
      <c r="AU183" s="848">
        <f t="shared" si="122"/>
        <v>4860</v>
      </c>
      <c r="AV183" s="848">
        <f t="shared" si="122"/>
        <v>0</v>
      </c>
      <c r="AW183" s="848">
        <f t="shared" si="122"/>
        <v>0</v>
      </c>
      <c r="AX183" s="848">
        <f t="shared" si="122"/>
        <v>0</v>
      </c>
      <c r="AY183" s="848">
        <f t="shared" si="122"/>
        <v>0</v>
      </c>
      <c r="AZ183" s="848">
        <f t="shared" si="122"/>
        <v>0</v>
      </c>
      <c r="BA183" s="848">
        <f t="shared" si="122"/>
        <v>4860</v>
      </c>
      <c r="BB183" s="848">
        <f t="shared" si="122"/>
        <v>0</v>
      </c>
      <c r="BC183" s="848">
        <f t="shared" si="122"/>
        <v>0</v>
      </c>
      <c r="BD183" s="848">
        <f t="shared" si="122"/>
        <v>0</v>
      </c>
      <c r="BE183" s="848">
        <f t="shared" si="122"/>
        <v>0</v>
      </c>
      <c r="BF183" s="848">
        <f t="shared" si="122"/>
        <v>0</v>
      </c>
      <c r="BG183" s="848">
        <f t="shared" si="122"/>
        <v>4860.0000000000009</v>
      </c>
      <c r="BH183" s="848">
        <f t="shared" si="122"/>
        <v>0</v>
      </c>
      <c r="BI183" s="848">
        <f t="shared" si="122"/>
        <v>0</v>
      </c>
      <c r="BJ183" s="848">
        <f t="shared" si="122"/>
        <v>0</v>
      </c>
      <c r="BK183" s="848">
        <f t="shared" si="122"/>
        <v>0</v>
      </c>
      <c r="BL183" s="848">
        <f t="shared" si="122"/>
        <v>0</v>
      </c>
      <c r="BM183" s="848">
        <f t="shared" si="122"/>
        <v>4860.0000000000009</v>
      </c>
      <c r="BN183" s="848">
        <f t="shared" si="122"/>
        <v>0</v>
      </c>
      <c r="BO183" s="848">
        <f t="shared" si="122"/>
        <v>0</v>
      </c>
      <c r="BP183" s="848">
        <f t="shared" si="122"/>
        <v>0</v>
      </c>
      <c r="BQ183" s="848">
        <f t="shared" si="122"/>
        <v>0</v>
      </c>
      <c r="BR183" s="848">
        <f t="shared" si="122"/>
        <v>0</v>
      </c>
      <c r="BS183" s="848">
        <f t="shared" si="122"/>
        <v>4860.0000000000009</v>
      </c>
      <c r="BT183" s="848">
        <f t="shared" si="122"/>
        <v>0</v>
      </c>
      <c r="BU183" s="848">
        <f t="shared" si="122"/>
        <v>0</v>
      </c>
      <c r="BV183" s="848">
        <f t="shared" si="122"/>
        <v>0</v>
      </c>
      <c r="BW183" s="848">
        <f t="shared" ref="BW183:EH183" si="123">BW179-BW182</f>
        <v>0</v>
      </c>
      <c r="BX183" s="848">
        <f t="shared" si="123"/>
        <v>0</v>
      </c>
      <c r="BY183" s="848">
        <f t="shared" si="123"/>
        <v>5943</v>
      </c>
      <c r="BZ183" s="848">
        <f t="shared" si="123"/>
        <v>0</v>
      </c>
      <c r="CA183" s="848">
        <f t="shared" si="123"/>
        <v>0</v>
      </c>
      <c r="CB183" s="848">
        <f t="shared" si="123"/>
        <v>0</v>
      </c>
      <c r="CC183" s="848">
        <f t="shared" si="123"/>
        <v>0</v>
      </c>
      <c r="CD183" s="848">
        <f t="shared" si="123"/>
        <v>0</v>
      </c>
      <c r="CE183" s="848">
        <f t="shared" si="123"/>
        <v>5943</v>
      </c>
      <c r="CF183" s="848">
        <f t="shared" si="123"/>
        <v>0</v>
      </c>
      <c r="CG183" s="848">
        <f t="shared" si="123"/>
        <v>0</v>
      </c>
      <c r="CH183" s="848">
        <f t="shared" si="123"/>
        <v>0</v>
      </c>
      <c r="CI183" s="848">
        <f t="shared" si="123"/>
        <v>0</v>
      </c>
      <c r="CJ183" s="848">
        <f t="shared" si="123"/>
        <v>0</v>
      </c>
      <c r="CK183" s="848">
        <f t="shared" si="123"/>
        <v>6100.8872171842304</v>
      </c>
      <c r="CL183" s="848">
        <f t="shared" si="123"/>
        <v>0</v>
      </c>
      <c r="CM183" s="848">
        <f t="shared" si="123"/>
        <v>0</v>
      </c>
      <c r="CN183" s="848">
        <f t="shared" si="123"/>
        <v>0</v>
      </c>
      <c r="CO183" s="848">
        <f t="shared" si="123"/>
        <v>0</v>
      </c>
      <c r="CP183" s="848">
        <f t="shared" si="123"/>
        <v>0</v>
      </c>
      <c r="CQ183" s="848">
        <f t="shared" si="123"/>
        <v>5943</v>
      </c>
      <c r="CR183" s="848">
        <f t="shared" si="123"/>
        <v>0</v>
      </c>
      <c r="CS183" s="848">
        <f t="shared" si="123"/>
        <v>0</v>
      </c>
      <c r="CT183" s="848">
        <f t="shared" si="123"/>
        <v>0</v>
      </c>
      <c r="CU183" s="848">
        <f t="shared" si="123"/>
        <v>0</v>
      </c>
      <c r="CV183" s="848">
        <f t="shared" si="123"/>
        <v>0</v>
      </c>
      <c r="CW183" s="848">
        <f t="shared" si="123"/>
        <v>5943.0000000000009</v>
      </c>
      <c r="CX183" s="848">
        <f t="shared" si="123"/>
        <v>0</v>
      </c>
      <c r="CY183" s="848">
        <f t="shared" si="123"/>
        <v>0</v>
      </c>
      <c r="CZ183" s="848">
        <f t="shared" si="123"/>
        <v>0</v>
      </c>
      <c r="DA183" s="848">
        <f t="shared" si="123"/>
        <v>0</v>
      </c>
      <c r="DB183" s="848">
        <f t="shared" si="123"/>
        <v>0</v>
      </c>
      <c r="DC183" s="848">
        <f t="shared" si="123"/>
        <v>8059.4802109788416</v>
      </c>
      <c r="DD183" s="848">
        <f t="shared" si="123"/>
        <v>0</v>
      </c>
      <c r="DE183" s="848">
        <f t="shared" si="123"/>
        <v>0</v>
      </c>
      <c r="DF183" s="848">
        <f t="shared" si="123"/>
        <v>0</v>
      </c>
      <c r="DG183" s="848">
        <f t="shared" si="123"/>
        <v>0</v>
      </c>
      <c r="DH183" s="848">
        <f t="shared" si="123"/>
        <v>0</v>
      </c>
      <c r="DI183" s="848">
        <f t="shared" si="123"/>
        <v>9744.8104223767532</v>
      </c>
      <c r="DJ183" s="848">
        <f t="shared" si="123"/>
        <v>0</v>
      </c>
      <c r="DK183" s="848">
        <f t="shared" si="123"/>
        <v>0</v>
      </c>
      <c r="DL183" s="848">
        <f t="shared" si="123"/>
        <v>0</v>
      </c>
      <c r="DM183" s="848">
        <f t="shared" si="123"/>
        <v>0</v>
      </c>
      <c r="DN183" s="848">
        <f t="shared" si="123"/>
        <v>0</v>
      </c>
      <c r="DO183" s="848">
        <f t="shared" si="123"/>
        <v>8546.9776538911428</v>
      </c>
      <c r="DP183" s="848">
        <f t="shared" si="123"/>
        <v>0</v>
      </c>
      <c r="DQ183" s="848">
        <f t="shared" si="123"/>
        <v>0</v>
      </c>
      <c r="DR183" s="848">
        <f t="shared" si="123"/>
        <v>0</v>
      </c>
      <c r="DS183" s="848">
        <f t="shared" si="123"/>
        <v>0</v>
      </c>
      <c r="DT183" s="848">
        <f t="shared" si="123"/>
        <v>0</v>
      </c>
      <c r="DU183" s="848">
        <f t="shared" si="123"/>
        <v>10258.353380260729</v>
      </c>
      <c r="DV183" s="848">
        <f t="shared" si="123"/>
        <v>0</v>
      </c>
      <c r="DW183" s="848">
        <f t="shared" si="123"/>
        <v>0</v>
      </c>
      <c r="DX183" s="848">
        <f t="shared" si="123"/>
        <v>0</v>
      </c>
      <c r="DY183" s="848">
        <f t="shared" si="123"/>
        <v>0</v>
      </c>
      <c r="DZ183" s="848">
        <f t="shared" si="123"/>
        <v>255358.08090897161</v>
      </c>
      <c r="EA183" s="848">
        <f t="shared" si="123"/>
        <v>0</v>
      </c>
      <c r="EB183" s="848">
        <f t="shared" si="123"/>
        <v>0</v>
      </c>
      <c r="EC183" s="848">
        <f t="shared" si="123"/>
        <v>0</v>
      </c>
      <c r="ED183" s="848">
        <f t="shared" si="123"/>
        <v>0</v>
      </c>
      <c r="EE183" s="848">
        <f t="shared" si="123"/>
        <v>0</v>
      </c>
      <c r="EF183" s="848">
        <f t="shared" si="123"/>
        <v>0</v>
      </c>
      <c r="EG183" s="848">
        <f t="shared" si="123"/>
        <v>0</v>
      </c>
      <c r="EH183" s="848">
        <f t="shared" si="123"/>
        <v>0</v>
      </c>
      <c r="EI183" s="848">
        <f>EI179-EI182</f>
        <v>0</v>
      </c>
      <c r="EJ183" s="848">
        <f>EJ179-EJ182</f>
        <v>0</v>
      </c>
      <c r="EK183" s="848">
        <f>EK179-EK182</f>
        <v>0</v>
      </c>
      <c r="EL183" s="848">
        <f>EL179-EL182</f>
        <v>0</v>
      </c>
    </row>
    <row r="184" spans="2:142" s="833" customFormat="1" ht="13.5">
      <c r="B184" s="1000"/>
      <c r="D184" s="1087" t="s">
        <v>2196</v>
      </c>
      <c r="E184" s="1087"/>
      <c r="F184" s="1088"/>
      <c r="G184" s="530">
        <v>5.6833048527089071E-2</v>
      </c>
      <c r="H184" s="530">
        <f>IFERROR(((1+IRR(J183:EL183,1%))^12-1)*(ABS((1+IRR(J183:EL183,1%))^12-1)&gt;0.000001),)</f>
        <v>5.5926822442910806E-2</v>
      </c>
      <c r="J184" s="214"/>
      <c r="K184" s="214"/>
      <c r="L184" s="214"/>
      <c r="M184" s="214"/>
      <c r="N184" s="214"/>
      <c r="O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214"/>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row>
    <row r="185" spans="2:142" s="833" customFormat="1">
      <c r="B185" s="1000"/>
      <c r="D185" s="1001"/>
      <c r="E185" s="1001"/>
      <c r="F185" s="1008"/>
      <c r="G185" s="531"/>
      <c r="H185" s="214"/>
      <c r="J185" s="214"/>
      <c r="K185" s="214"/>
      <c r="L185" s="214"/>
      <c r="M185" s="214"/>
      <c r="N185" s="214"/>
      <c r="O185" s="214"/>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214"/>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row>
    <row r="186" spans="2:142" s="833" customFormat="1" ht="13.5">
      <c r="B186" s="1000"/>
      <c r="D186" s="881" t="str">
        <f>D174</f>
        <v>1종 종류주 C.G 배당 [운영배당 부족분]</v>
      </c>
      <c r="E186" s="1001"/>
      <c r="F186" s="1008"/>
      <c r="G186" s="917"/>
      <c r="H186" s="848">
        <f>SUM(J186:EL186)</f>
        <v>12070.343539670037</v>
      </c>
      <c r="J186" s="848">
        <f t="shared" ref="J186:BU186" si="124">J174</f>
        <v>0</v>
      </c>
      <c r="K186" s="848">
        <f t="shared" si="124"/>
        <v>0</v>
      </c>
      <c r="L186" s="848">
        <f t="shared" si="124"/>
        <v>0</v>
      </c>
      <c r="M186" s="848">
        <f t="shared" si="124"/>
        <v>0</v>
      </c>
      <c r="N186" s="848">
        <f t="shared" si="124"/>
        <v>0</v>
      </c>
      <c r="O186" s="848">
        <f t="shared" si="124"/>
        <v>0</v>
      </c>
      <c r="P186" s="848">
        <f t="shared" si="124"/>
        <v>0</v>
      </c>
      <c r="Q186" s="848">
        <f t="shared" si="124"/>
        <v>0</v>
      </c>
      <c r="R186" s="848">
        <f t="shared" si="124"/>
        <v>0</v>
      </c>
      <c r="S186" s="848">
        <f t="shared" si="124"/>
        <v>0</v>
      </c>
      <c r="T186" s="848">
        <f t="shared" si="124"/>
        <v>0</v>
      </c>
      <c r="U186" s="848">
        <f t="shared" si="124"/>
        <v>0</v>
      </c>
      <c r="V186" s="848">
        <f t="shared" si="124"/>
        <v>0</v>
      </c>
      <c r="W186" s="848">
        <f t="shared" si="124"/>
        <v>0</v>
      </c>
      <c r="X186" s="848">
        <f t="shared" si="124"/>
        <v>0</v>
      </c>
      <c r="Y186" s="848">
        <f t="shared" si="124"/>
        <v>0</v>
      </c>
      <c r="Z186" s="848">
        <f t="shared" si="124"/>
        <v>0</v>
      </c>
      <c r="AA186" s="848">
        <f t="shared" si="124"/>
        <v>0</v>
      </c>
      <c r="AB186" s="848">
        <f t="shared" si="124"/>
        <v>0</v>
      </c>
      <c r="AC186" s="848">
        <f t="shared" si="124"/>
        <v>0</v>
      </c>
      <c r="AD186" s="848">
        <f t="shared" si="124"/>
        <v>0</v>
      </c>
      <c r="AE186" s="848">
        <f t="shared" si="124"/>
        <v>0</v>
      </c>
      <c r="AF186" s="848">
        <f t="shared" si="124"/>
        <v>0</v>
      </c>
      <c r="AG186" s="848">
        <f t="shared" si="124"/>
        <v>0</v>
      </c>
      <c r="AH186" s="848">
        <f t="shared" si="124"/>
        <v>0</v>
      </c>
      <c r="AI186" s="848">
        <f t="shared" si="124"/>
        <v>0</v>
      </c>
      <c r="AJ186" s="848">
        <f t="shared" si="124"/>
        <v>0</v>
      </c>
      <c r="AK186" s="848">
        <f t="shared" si="124"/>
        <v>0</v>
      </c>
      <c r="AL186" s="848">
        <f t="shared" si="124"/>
        <v>0</v>
      </c>
      <c r="AM186" s="848">
        <f t="shared" si="124"/>
        <v>0</v>
      </c>
      <c r="AN186" s="848">
        <f t="shared" si="124"/>
        <v>0</v>
      </c>
      <c r="AO186" s="848">
        <f t="shared" si="124"/>
        <v>0</v>
      </c>
      <c r="AP186" s="848">
        <f t="shared" si="124"/>
        <v>0</v>
      </c>
      <c r="AQ186" s="848">
        <f t="shared" si="124"/>
        <v>0</v>
      </c>
      <c r="AR186" s="848">
        <f t="shared" si="124"/>
        <v>0</v>
      </c>
      <c r="AS186" s="848">
        <f t="shared" si="124"/>
        <v>0</v>
      </c>
      <c r="AT186" s="848">
        <f t="shared" si="124"/>
        <v>0</v>
      </c>
      <c r="AU186" s="848">
        <f t="shared" si="124"/>
        <v>0</v>
      </c>
      <c r="AV186" s="848">
        <f t="shared" si="124"/>
        <v>0</v>
      </c>
      <c r="AW186" s="848">
        <f t="shared" si="124"/>
        <v>0</v>
      </c>
      <c r="AX186" s="848">
        <f t="shared" si="124"/>
        <v>0</v>
      </c>
      <c r="AY186" s="848">
        <f t="shared" si="124"/>
        <v>0</v>
      </c>
      <c r="AZ186" s="848">
        <f t="shared" si="124"/>
        <v>0</v>
      </c>
      <c r="BA186" s="848">
        <f t="shared" si="124"/>
        <v>0</v>
      </c>
      <c r="BB186" s="848">
        <f t="shared" si="124"/>
        <v>0</v>
      </c>
      <c r="BC186" s="848">
        <f t="shared" si="124"/>
        <v>0</v>
      </c>
      <c r="BD186" s="848">
        <f t="shared" si="124"/>
        <v>0</v>
      </c>
      <c r="BE186" s="848">
        <f t="shared" si="124"/>
        <v>0</v>
      </c>
      <c r="BF186" s="848">
        <f t="shared" si="124"/>
        <v>0</v>
      </c>
      <c r="BG186" s="848">
        <f t="shared" si="124"/>
        <v>0</v>
      </c>
      <c r="BH186" s="848">
        <f t="shared" si="124"/>
        <v>0</v>
      </c>
      <c r="BI186" s="848">
        <f t="shared" si="124"/>
        <v>0</v>
      </c>
      <c r="BJ186" s="848">
        <f t="shared" si="124"/>
        <v>0</v>
      </c>
      <c r="BK186" s="848">
        <f t="shared" si="124"/>
        <v>0</v>
      </c>
      <c r="BL186" s="848">
        <f t="shared" si="124"/>
        <v>0</v>
      </c>
      <c r="BM186" s="848">
        <f t="shared" si="124"/>
        <v>0</v>
      </c>
      <c r="BN186" s="848">
        <f t="shared" si="124"/>
        <v>0</v>
      </c>
      <c r="BO186" s="848">
        <f t="shared" si="124"/>
        <v>0</v>
      </c>
      <c r="BP186" s="848">
        <f t="shared" si="124"/>
        <v>0</v>
      </c>
      <c r="BQ186" s="848">
        <f t="shared" si="124"/>
        <v>0</v>
      </c>
      <c r="BR186" s="848">
        <f t="shared" si="124"/>
        <v>0</v>
      </c>
      <c r="BS186" s="848">
        <f t="shared" si="124"/>
        <v>0</v>
      </c>
      <c r="BT186" s="848">
        <f t="shared" si="124"/>
        <v>0</v>
      </c>
      <c r="BU186" s="848">
        <f t="shared" si="124"/>
        <v>0</v>
      </c>
      <c r="BV186" s="848">
        <f t="shared" ref="BV186:EG186" si="125">BV174</f>
        <v>0</v>
      </c>
      <c r="BW186" s="848">
        <f t="shared" si="125"/>
        <v>0</v>
      </c>
      <c r="BX186" s="848">
        <f t="shared" si="125"/>
        <v>0</v>
      </c>
      <c r="BY186" s="848">
        <f t="shared" si="125"/>
        <v>0</v>
      </c>
      <c r="BZ186" s="848">
        <f t="shared" si="125"/>
        <v>0</v>
      </c>
      <c r="CA186" s="848">
        <f t="shared" si="125"/>
        <v>0</v>
      </c>
      <c r="CB186" s="848">
        <f t="shared" si="125"/>
        <v>0</v>
      </c>
      <c r="CC186" s="848">
        <f t="shared" si="125"/>
        <v>0</v>
      </c>
      <c r="CD186" s="848">
        <f t="shared" si="125"/>
        <v>0</v>
      </c>
      <c r="CE186" s="848">
        <f t="shared" si="125"/>
        <v>0</v>
      </c>
      <c r="CF186" s="848">
        <f t="shared" si="125"/>
        <v>0</v>
      </c>
      <c r="CG186" s="848">
        <f t="shared" si="125"/>
        <v>0</v>
      </c>
      <c r="CH186" s="848">
        <f t="shared" si="125"/>
        <v>0</v>
      </c>
      <c r="CI186" s="848">
        <f t="shared" si="125"/>
        <v>0</v>
      </c>
      <c r="CJ186" s="848">
        <f t="shared" si="125"/>
        <v>0</v>
      </c>
      <c r="CK186" s="848">
        <f t="shared" si="125"/>
        <v>0</v>
      </c>
      <c r="CL186" s="848">
        <f t="shared" si="125"/>
        <v>0</v>
      </c>
      <c r="CM186" s="848">
        <f t="shared" si="125"/>
        <v>0</v>
      </c>
      <c r="CN186" s="848">
        <f t="shared" si="125"/>
        <v>0</v>
      </c>
      <c r="CO186" s="848">
        <f t="shared" si="125"/>
        <v>0</v>
      </c>
      <c r="CP186" s="848">
        <f t="shared" si="125"/>
        <v>0</v>
      </c>
      <c r="CQ186" s="848">
        <f t="shared" si="125"/>
        <v>0</v>
      </c>
      <c r="CR186" s="848">
        <f t="shared" si="125"/>
        <v>0</v>
      </c>
      <c r="CS186" s="848">
        <f t="shared" si="125"/>
        <v>0</v>
      </c>
      <c r="CT186" s="848">
        <f t="shared" si="125"/>
        <v>0</v>
      </c>
      <c r="CU186" s="848">
        <f t="shared" si="125"/>
        <v>0</v>
      </c>
      <c r="CV186" s="848">
        <f t="shared" si="125"/>
        <v>0</v>
      </c>
      <c r="CW186" s="848">
        <f t="shared" si="125"/>
        <v>0</v>
      </c>
      <c r="CX186" s="848">
        <f t="shared" si="125"/>
        <v>0</v>
      </c>
      <c r="CY186" s="848">
        <f t="shared" si="125"/>
        <v>0</v>
      </c>
      <c r="CZ186" s="848">
        <f t="shared" si="125"/>
        <v>0</v>
      </c>
      <c r="DA186" s="848">
        <f t="shared" si="125"/>
        <v>0</v>
      </c>
      <c r="DB186" s="848">
        <f t="shared" si="125"/>
        <v>0</v>
      </c>
      <c r="DC186" s="848">
        <f t="shared" si="125"/>
        <v>0</v>
      </c>
      <c r="DD186" s="848">
        <f t="shared" si="125"/>
        <v>0</v>
      </c>
      <c r="DE186" s="848">
        <f t="shared" si="125"/>
        <v>0</v>
      </c>
      <c r="DF186" s="848">
        <f t="shared" si="125"/>
        <v>0</v>
      </c>
      <c r="DG186" s="848">
        <f t="shared" si="125"/>
        <v>0</v>
      </c>
      <c r="DH186" s="848">
        <f t="shared" si="125"/>
        <v>0</v>
      </c>
      <c r="DI186" s="848">
        <f t="shared" si="125"/>
        <v>0</v>
      </c>
      <c r="DJ186" s="848">
        <f t="shared" si="125"/>
        <v>0</v>
      </c>
      <c r="DK186" s="848">
        <f t="shared" si="125"/>
        <v>0</v>
      </c>
      <c r="DL186" s="848">
        <f t="shared" si="125"/>
        <v>0</v>
      </c>
      <c r="DM186" s="848">
        <f t="shared" si="125"/>
        <v>0</v>
      </c>
      <c r="DN186" s="848">
        <f t="shared" si="125"/>
        <v>0</v>
      </c>
      <c r="DO186" s="848">
        <f t="shared" si="125"/>
        <v>0</v>
      </c>
      <c r="DP186" s="848">
        <f t="shared" si="125"/>
        <v>0</v>
      </c>
      <c r="DQ186" s="848">
        <f t="shared" si="125"/>
        <v>0</v>
      </c>
      <c r="DR186" s="848">
        <f t="shared" si="125"/>
        <v>0</v>
      </c>
      <c r="DS186" s="848">
        <f t="shared" si="125"/>
        <v>0</v>
      </c>
      <c r="DT186" s="848">
        <f t="shared" si="125"/>
        <v>0</v>
      </c>
      <c r="DU186" s="848">
        <f t="shared" si="125"/>
        <v>0</v>
      </c>
      <c r="DV186" s="848">
        <f t="shared" si="125"/>
        <v>0</v>
      </c>
      <c r="DW186" s="848">
        <f t="shared" si="125"/>
        <v>0</v>
      </c>
      <c r="DX186" s="848">
        <f t="shared" si="125"/>
        <v>0</v>
      </c>
      <c r="DY186" s="848">
        <f t="shared" si="125"/>
        <v>0</v>
      </c>
      <c r="DZ186" s="848">
        <f t="shared" si="125"/>
        <v>12070.343539670037</v>
      </c>
      <c r="EA186" s="848">
        <f t="shared" si="125"/>
        <v>0</v>
      </c>
      <c r="EB186" s="848">
        <f t="shared" si="125"/>
        <v>0</v>
      </c>
      <c r="EC186" s="848">
        <f t="shared" si="125"/>
        <v>0</v>
      </c>
      <c r="ED186" s="848">
        <f t="shared" si="125"/>
        <v>0</v>
      </c>
      <c r="EE186" s="848">
        <f t="shared" si="125"/>
        <v>0</v>
      </c>
      <c r="EF186" s="848">
        <f t="shared" si="125"/>
        <v>0</v>
      </c>
      <c r="EG186" s="848">
        <f t="shared" si="125"/>
        <v>0</v>
      </c>
      <c r="EH186" s="848">
        <f t="shared" ref="EH186:EL186" si="126">EH174</f>
        <v>0</v>
      </c>
      <c r="EI186" s="848">
        <f t="shared" si="126"/>
        <v>0</v>
      </c>
      <c r="EJ186" s="848">
        <f t="shared" si="126"/>
        <v>0</v>
      </c>
      <c r="EK186" s="848">
        <f t="shared" si="126"/>
        <v>0</v>
      </c>
      <c r="EL186" s="848">
        <f t="shared" si="126"/>
        <v>0</v>
      </c>
    </row>
    <row r="187" spans="2:142" s="833" customFormat="1" ht="13.5">
      <c r="B187" s="1000"/>
      <c r="D187" s="1075" t="s">
        <v>2197</v>
      </c>
      <c r="E187" s="1001"/>
      <c r="F187" s="1008"/>
      <c r="G187" s="917"/>
      <c r="H187" s="848">
        <f>SUM(J187:EL187)</f>
        <v>147209.86076233335</v>
      </c>
      <c r="J187" s="848">
        <f>J183+J186</f>
        <v>-156800</v>
      </c>
      <c r="K187" s="848">
        <f t="shared" ref="K187:BV187" si="127">K183+K186</f>
        <v>0</v>
      </c>
      <c r="L187" s="848">
        <f t="shared" si="127"/>
        <v>0</v>
      </c>
      <c r="M187" s="848">
        <f t="shared" si="127"/>
        <v>0</v>
      </c>
      <c r="N187" s="848">
        <f t="shared" si="127"/>
        <v>0</v>
      </c>
      <c r="O187" s="848">
        <f t="shared" si="127"/>
        <v>0</v>
      </c>
      <c r="P187" s="848">
        <f t="shared" si="127"/>
        <v>0</v>
      </c>
      <c r="Q187" s="848">
        <f t="shared" si="127"/>
        <v>-82697.319451999996</v>
      </c>
      <c r="R187" s="848">
        <f t="shared" si="127"/>
        <v>0</v>
      </c>
      <c r="S187" s="848">
        <f t="shared" si="127"/>
        <v>0</v>
      </c>
      <c r="T187" s="848">
        <f t="shared" si="127"/>
        <v>0</v>
      </c>
      <c r="U187" s="848">
        <f t="shared" si="127"/>
        <v>0</v>
      </c>
      <c r="V187" s="848">
        <f t="shared" si="127"/>
        <v>0</v>
      </c>
      <c r="W187" s="848">
        <f t="shared" si="127"/>
        <v>6219.1806189999998</v>
      </c>
      <c r="X187" s="848">
        <f t="shared" si="127"/>
        <v>0</v>
      </c>
      <c r="Y187" s="848">
        <f t="shared" si="127"/>
        <v>0</v>
      </c>
      <c r="Z187" s="848">
        <f t="shared" si="127"/>
        <v>0</v>
      </c>
      <c r="AA187" s="848">
        <f t="shared" si="127"/>
        <v>0</v>
      </c>
      <c r="AB187" s="848">
        <f t="shared" si="127"/>
        <v>0</v>
      </c>
      <c r="AC187" s="848">
        <f t="shared" si="127"/>
        <v>7466.2662870000004</v>
      </c>
      <c r="AD187" s="848">
        <f t="shared" si="127"/>
        <v>0</v>
      </c>
      <c r="AE187" s="848">
        <f t="shared" si="127"/>
        <v>0</v>
      </c>
      <c r="AF187" s="848">
        <f t="shared" si="127"/>
        <v>0</v>
      </c>
      <c r="AG187" s="848">
        <f t="shared" si="127"/>
        <v>0</v>
      </c>
      <c r="AH187" s="848">
        <f t="shared" si="127"/>
        <v>0</v>
      </c>
      <c r="AI187" s="848">
        <f t="shared" si="127"/>
        <v>7344.5336880000004</v>
      </c>
      <c r="AJ187" s="848">
        <f t="shared" si="127"/>
        <v>0</v>
      </c>
      <c r="AK187" s="848">
        <f t="shared" si="127"/>
        <v>0</v>
      </c>
      <c r="AL187" s="848">
        <f t="shared" si="127"/>
        <v>0</v>
      </c>
      <c r="AM187" s="848">
        <f t="shared" si="127"/>
        <v>0</v>
      </c>
      <c r="AN187" s="848">
        <f t="shared" si="127"/>
        <v>0</v>
      </c>
      <c r="AO187" s="848">
        <f t="shared" si="127"/>
        <v>7466.2662870000004</v>
      </c>
      <c r="AP187" s="848">
        <f t="shared" si="127"/>
        <v>0</v>
      </c>
      <c r="AQ187" s="848">
        <f t="shared" si="127"/>
        <v>0</v>
      </c>
      <c r="AR187" s="848">
        <f t="shared" si="127"/>
        <v>0</v>
      </c>
      <c r="AS187" s="848">
        <f t="shared" si="127"/>
        <v>0</v>
      </c>
      <c r="AT187" s="848">
        <f t="shared" si="127"/>
        <v>0</v>
      </c>
      <c r="AU187" s="848">
        <f t="shared" si="127"/>
        <v>4860</v>
      </c>
      <c r="AV187" s="848">
        <f t="shared" si="127"/>
        <v>0</v>
      </c>
      <c r="AW187" s="848">
        <f t="shared" si="127"/>
        <v>0</v>
      </c>
      <c r="AX187" s="848">
        <f t="shared" si="127"/>
        <v>0</v>
      </c>
      <c r="AY187" s="848">
        <f t="shared" si="127"/>
        <v>0</v>
      </c>
      <c r="AZ187" s="848">
        <f t="shared" si="127"/>
        <v>0</v>
      </c>
      <c r="BA187" s="848">
        <f t="shared" si="127"/>
        <v>4860</v>
      </c>
      <c r="BB187" s="848">
        <f t="shared" si="127"/>
        <v>0</v>
      </c>
      <c r="BC187" s="848">
        <f t="shared" si="127"/>
        <v>0</v>
      </c>
      <c r="BD187" s="848">
        <f t="shared" si="127"/>
        <v>0</v>
      </c>
      <c r="BE187" s="848">
        <f t="shared" si="127"/>
        <v>0</v>
      </c>
      <c r="BF187" s="848">
        <f t="shared" si="127"/>
        <v>0</v>
      </c>
      <c r="BG187" s="848">
        <f t="shared" si="127"/>
        <v>4860.0000000000009</v>
      </c>
      <c r="BH187" s="848">
        <f t="shared" si="127"/>
        <v>0</v>
      </c>
      <c r="BI187" s="848">
        <f t="shared" si="127"/>
        <v>0</v>
      </c>
      <c r="BJ187" s="848">
        <f t="shared" si="127"/>
        <v>0</v>
      </c>
      <c r="BK187" s="848">
        <f t="shared" si="127"/>
        <v>0</v>
      </c>
      <c r="BL187" s="848">
        <f t="shared" si="127"/>
        <v>0</v>
      </c>
      <c r="BM187" s="848">
        <f t="shared" si="127"/>
        <v>4860.0000000000009</v>
      </c>
      <c r="BN187" s="848">
        <f t="shared" si="127"/>
        <v>0</v>
      </c>
      <c r="BO187" s="848">
        <f t="shared" si="127"/>
        <v>0</v>
      </c>
      <c r="BP187" s="848">
        <f t="shared" si="127"/>
        <v>0</v>
      </c>
      <c r="BQ187" s="848">
        <f t="shared" si="127"/>
        <v>0</v>
      </c>
      <c r="BR187" s="848">
        <f t="shared" si="127"/>
        <v>0</v>
      </c>
      <c r="BS187" s="848">
        <f t="shared" si="127"/>
        <v>4860.0000000000009</v>
      </c>
      <c r="BT187" s="848">
        <f t="shared" si="127"/>
        <v>0</v>
      </c>
      <c r="BU187" s="848">
        <f t="shared" si="127"/>
        <v>0</v>
      </c>
      <c r="BV187" s="848">
        <f t="shared" si="127"/>
        <v>0</v>
      </c>
      <c r="BW187" s="848">
        <f t="shared" ref="BW187:EH187" si="128">BW183+BW186</f>
        <v>0</v>
      </c>
      <c r="BX187" s="848">
        <f t="shared" si="128"/>
        <v>0</v>
      </c>
      <c r="BY187" s="848">
        <f t="shared" si="128"/>
        <v>5943</v>
      </c>
      <c r="BZ187" s="848">
        <f t="shared" si="128"/>
        <v>0</v>
      </c>
      <c r="CA187" s="848">
        <f t="shared" si="128"/>
        <v>0</v>
      </c>
      <c r="CB187" s="848">
        <f t="shared" si="128"/>
        <v>0</v>
      </c>
      <c r="CC187" s="848">
        <f t="shared" si="128"/>
        <v>0</v>
      </c>
      <c r="CD187" s="848">
        <f t="shared" si="128"/>
        <v>0</v>
      </c>
      <c r="CE187" s="848">
        <f t="shared" si="128"/>
        <v>5943</v>
      </c>
      <c r="CF187" s="848">
        <f t="shared" si="128"/>
        <v>0</v>
      </c>
      <c r="CG187" s="848">
        <f t="shared" si="128"/>
        <v>0</v>
      </c>
      <c r="CH187" s="848">
        <f t="shared" si="128"/>
        <v>0</v>
      </c>
      <c r="CI187" s="848">
        <f t="shared" si="128"/>
        <v>0</v>
      </c>
      <c r="CJ187" s="848">
        <f t="shared" si="128"/>
        <v>0</v>
      </c>
      <c r="CK187" s="848">
        <f t="shared" si="128"/>
        <v>6100.8872171842304</v>
      </c>
      <c r="CL187" s="848">
        <f t="shared" si="128"/>
        <v>0</v>
      </c>
      <c r="CM187" s="848">
        <f t="shared" si="128"/>
        <v>0</v>
      </c>
      <c r="CN187" s="848">
        <f t="shared" si="128"/>
        <v>0</v>
      </c>
      <c r="CO187" s="848">
        <f t="shared" si="128"/>
        <v>0</v>
      </c>
      <c r="CP187" s="848">
        <f t="shared" si="128"/>
        <v>0</v>
      </c>
      <c r="CQ187" s="848">
        <f t="shared" si="128"/>
        <v>5943</v>
      </c>
      <c r="CR187" s="848">
        <f t="shared" si="128"/>
        <v>0</v>
      </c>
      <c r="CS187" s="848">
        <f t="shared" si="128"/>
        <v>0</v>
      </c>
      <c r="CT187" s="848">
        <f t="shared" si="128"/>
        <v>0</v>
      </c>
      <c r="CU187" s="848">
        <f t="shared" si="128"/>
        <v>0</v>
      </c>
      <c r="CV187" s="848">
        <f t="shared" si="128"/>
        <v>0</v>
      </c>
      <c r="CW187" s="848">
        <f t="shared" si="128"/>
        <v>5943.0000000000009</v>
      </c>
      <c r="CX187" s="848">
        <f t="shared" si="128"/>
        <v>0</v>
      </c>
      <c r="CY187" s="848">
        <f t="shared" si="128"/>
        <v>0</v>
      </c>
      <c r="CZ187" s="848">
        <f t="shared" si="128"/>
        <v>0</v>
      </c>
      <c r="DA187" s="848">
        <f t="shared" si="128"/>
        <v>0</v>
      </c>
      <c r="DB187" s="848">
        <f t="shared" si="128"/>
        <v>0</v>
      </c>
      <c r="DC187" s="848">
        <f t="shared" si="128"/>
        <v>8059.4802109788416</v>
      </c>
      <c r="DD187" s="848">
        <f t="shared" si="128"/>
        <v>0</v>
      </c>
      <c r="DE187" s="848">
        <f t="shared" si="128"/>
        <v>0</v>
      </c>
      <c r="DF187" s="848">
        <f t="shared" si="128"/>
        <v>0</v>
      </c>
      <c r="DG187" s="848">
        <f t="shared" si="128"/>
        <v>0</v>
      </c>
      <c r="DH187" s="848">
        <f t="shared" si="128"/>
        <v>0</v>
      </c>
      <c r="DI187" s="848">
        <f t="shared" si="128"/>
        <v>9744.8104223767532</v>
      </c>
      <c r="DJ187" s="848">
        <f t="shared" si="128"/>
        <v>0</v>
      </c>
      <c r="DK187" s="848">
        <f t="shared" si="128"/>
        <v>0</v>
      </c>
      <c r="DL187" s="848">
        <f t="shared" si="128"/>
        <v>0</v>
      </c>
      <c r="DM187" s="848">
        <f t="shared" si="128"/>
        <v>0</v>
      </c>
      <c r="DN187" s="848">
        <f t="shared" si="128"/>
        <v>0</v>
      </c>
      <c r="DO187" s="848">
        <f t="shared" si="128"/>
        <v>8546.9776538911428</v>
      </c>
      <c r="DP187" s="848">
        <f t="shared" si="128"/>
        <v>0</v>
      </c>
      <c r="DQ187" s="848">
        <f t="shared" si="128"/>
        <v>0</v>
      </c>
      <c r="DR187" s="848">
        <f t="shared" si="128"/>
        <v>0</v>
      </c>
      <c r="DS187" s="848">
        <f t="shared" si="128"/>
        <v>0</v>
      </c>
      <c r="DT187" s="848">
        <f t="shared" si="128"/>
        <v>0</v>
      </c>
      <c r="DU187" s="848">
        <f t="shared" si="128"/>
        <v>10258.353380260729</v>
      </c>
      <c r="DV187" s="848">
        <f t="shared" si="128"/>
        <v>0</v>
      </c>
      <c r="DW187" s="848">
        <f t="shared" si="128"/>
        <v>0</v>
      </c>
      <c r="DX187" s="848">
        <f t="shared" si="128"/>
        <v>0</v>
      </c>
      <c r="DY187" s="848">
        <f t="shared" si="128"/>
        <v>0</v>
      </c>
      <c r="DZ187" s="848">
        <f t="shared" si="128"/>
        <v>267428.42444864166</v>
      </c>
      <c r="EA187" s="848">
        <f t="shared" si="128"/>
        <v>0</v>
      </c>
      <c r="EB187" s="848">
        <f t="shared" si="128"/>
        <v>0</v>
      </c>
      <c r="EC187" s="848">
        <f t="shared" si="128"/>
        <v>0</v>
      </c>
      <c r="ED187" s="848">
        <f t="shared" si="128"/>
        <v>0</v>
      </c>
      <c r="EE187" s="848">
        <f t="shared" si="128"/>
        <v>0</v>
      </c>
      <c r="EF187" s="848">
        <f t="shared" si="128"/>
        <v>0</v>
      </c>
      <c r="EG187" s="848">
        <f t="shared" si="128"/>
        <v>0</v>
      </c>
      <c r="EH187" s="848">
        <f t="shared" si="128"/>
        <v>0</v>
      </c>
      <c r="EI187" s="848">
        <f>EI183+EI186</f>
        <v>0</v>
      </c>
      <c r="EJ187" s="848">
        <f>EJ183+EJ186</f>
        <v>0</v>
      </c>
      <c r="EK187" s="848">
        <f>EK183+EK186</f>
        <v>0</v>
      </c>
      <c r="EL187" s="848">
        <f>EL183+EL186</f>
        <v>0</v>
      </c>
    </row>
    <row r="188" spans="2:142" s="833" customFormat="1" ht="13.5">
      <c r="B188" s="1000"/>
      <c r="D188" s="1089" t="s">
        <v>2077</v>
      </c>
      <c r="E188" s="1089"/>
      <c r="F188" s="1090"/>
      <c r="G188" s="532">
        <v>6.190924262802272E-2</v>
      </c>
      <c r="H188" s="532">
        <f>IFERROR(((1+IRR(J187:EL187,1%))^12-1)*(ABS((1+IRR(J187:EL187,1%))^12-1)&gt;0.000001),)</f>
        <v>5.9754945142561189E-2</v>
      </c>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214"/>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row>
    <row r="189" spans="2:142" s="833" customFormat="1">
      <c r="B189" s="1013"/>
      <c r="C189" s="1014"/>
      <c r="D189" s="1014"/>
      <c r="E189" s="1014"/>
      <c r="F189" s="1014"/>
      <c r="G189" s="1014"/>
      <c r="H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c r="AE189" s="217"/>
      <c r="AF189" s="217"/>
      <c r="AG189" s="217"/>
      <c r="AH189" s="217"/>
      <c r="AI189" s="217"/>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c r="CW189" s="217"/>
      <c r="CX189" s="217"/>
      <c r="CY189" s="217"/>
      <c r="CZ189" s="217"/>
      <c r="DA189" s="217"/>
      <c r="DB189" s="217"/>
      <c r="DC189" s="217"/>
      <c r="DD189" s="217"/>
      <c r="DE189" s="217"/>
      <c r="DF189" s="217"/>
      <c r="DG189" s="217"/>
      <c r="DH189" s="217"/>
      <c r="DI189" s="217"/>
      <c r="DJ189" s="217"/>
      <c r="DK189" s="217"/>
      <c r="DL189" s="217"/>
      <c r="DM189" s="217"/>
      <c r="DN189" s="217"/>
      <c r="DO189" s="217"/>
      <c r="DP189" s="217"/>
      <c r="DQ189" s="217"/>
      <c r="DR189" s="217"/>
      <c r="DS189" s="217"/>
      <c r="DT189" s="217"/>
      <c r="DU189" s="217"/>
      <c r="DV189" s="217"/>
      <c r="DW189" s="217"/>
      <c r="DX189" s="217"/>
      <c r="DY189" s="217"/>
      <c r="DZ189" s="217"/>
      <c r="EA189" s="217"/>
      <c r="EB189" s="217"/>
      <c r="EC189" s="217"/>
      <c r="ED189" s="217"/>
      <c r="EE189" s="217"/>
      <c r="EF189" s="217"/>
      <c r="EG189" s="217"/>
      <c r="EH189" s="217"/>
      <c r="EI189" s="217"/>
      <c r="EJ189" s="217"/>
      <c r="EK189" s="217"/>
      <c r="EL189" s="217"/>
    </row>
    <row r="190" spans="2:142" s="888" customFormat="1" hidden="1" outlineLevel="1">
      <c r="B190" s="1093"/>
      <c r="C190" s="1094"/>
      <c r="D190" s="1094"/>
      <c r="E190" s="1094"/>
      <c r="F190" s="1095"/>
      <c r="G190" s="1094"/>
      <c r="H190" s="535"/>
      <c r="J190" s="2345">
        <f>-SUM($J193:J193)*(J$7&lt;=$G$7)</f>
        <v>0</v>
      </c>
      <c r="K190" s="2345">
        <f>-SUM($J193:K193)*(K$7&lt;=$G$7)</f>
        <v>0</v>
      </c>
      <c r="L190" s="2345">
        <f>-SUM($J193:L193)*(L$7&lt;=$G$7)</f>
        <v>0</v>
      </c>
      <c r="M190" s="2345">
        <f>-SUM($J193:M193)*(M$7&lt;=$G$7)</f>
        <v>0</v>
      </c>
      <c r="N190" s="2345">
        <f>-SUM($J193:N193)*(N$7&lt;=$G$7)</f>
        <v>0</v>
      </c>
      <c r="O190" s="2345">
        <f>-SUM($J193:O193)*(O$7&lt;=$G$7)</f>
        <v>0</v>
      </c>
      <c r="P190" s="2345">
        <f>-SUM($J193:P193)*(P$7&lt;=$G$7)</f>
        <v>0</v>
      </c>
      <c r="Q190" s="2345">
        <f>-SUM($J193:Q193)*(Q$7&lt;=$G$7)</f>
        <v>0</v>
      </c>
      <c r="R190" s="2345">
        <f>-SUM($J193:R193)*(R$7&lt;=$G$7)</f>
        <v>0</v>
      </c>
      <c r="S190" s="2345">
        <f>-SUM($J193:S193)*(S$7&lt;=$G$7)</f>
        <v>0</v>
      </c>
      <c r="T190" s="2345">
        <f>-SUM($J193:T193)*(T$7&lt;=$G$7)</f>
        <v>0</v>
      </c>
      <c r="U190" s="2345">
        <f>-SUM($J193:U193)*(U$7&lt;=$G$7)</f>
        <v>0</v>
      </c>
      <c r="V190" s="2345">
        <f>-SUM($J193:V193)*(V$7&lt;=$G$7)</f>
        <v>0</v>
      </c>
      <c r="W190" s="2345">
        <f>-SUM($J193:W193)*(W$7&lt;=$G$7)</f>
        <v>0</v>
      </c>
      <c r="X190" s="2345">
        <f>-SUM($J193:X193)*(X$7&lt;=$G$7)</f>
        <v>0</v>
      </c>
      <c r="Y190" s="2345">
        <f>-SUM($J193:Y193)*(Y$7&lt;=$G$7)</f>
        <v>0</v>
      </c>
      <c r="Z190" s="2345">
        <f>-SUM($J193:Z193)*(Z$7&lt;=$G$7)</f>
        <v>0</v>
      </c>
      <c r="AA190" s="2345">
        <f>-SUM($J193:AA193)*(AA$7&lt;=$G$7)</f>
        <v>0</v>
      </c>
      <c r="AB190" s="2345">
        <f>-SUM($J193:AB193)*(AB$7&lt;=$G$7)</f>
        <v>0</v>
      </c>
      <c r="AC190" s="2345">
        <f>-SUM($J193:AC193)*(AC$7&lt;=$G$7)</f>
        <v>0</v>
      </c>
      <c r="AD190" s="2345">
        <f>-SUM($J193:AD193)*(AD$7&lt;=$G$7)</f>
        <v>0</v>
      </c>
      <c r="AE190" s="2345">
        <f>-SUM($J193:AE193)*(AE$7&lt;=$G$7)</f>
        <v>0</v>
      </c>
      <c r="AF190" s="2345">
        <f>-SUM($J193:AF193)*(AF$7&lt;=$G$7)</f>
        <v>0</v>
      </c>
      <c r="AG190" s="2345">
        <f>-SUM($J193:AG193)*(AG$7&lt;=$G$7)</f>
        <v>0</v>
      </c>
      <c r="AH190" s="2345">
        <f>-SUM($J193:AH193)*(AH$7&lt;=$G$7)</f>
        <v>0</v>
      </c>
      <c r="AI190" s="2345">
        <f>-SUM($J193:AI193)*(AI$7&lt;=$G$7)</f>
        <v>0</v>
      </c>
      <c r="AJ190" s="2345">
        <f>-SUM($J193:AJ193)*(AJ$7&lt;=$G$7)</f>
        <v>0</v>
      </c>
      <c r="AK190" s="2345">
        <f>-SUM($J193:AK193)*(AK$7&lt;=$G$7)</f>
        <v>0</v>
      </c>
      <c r="AL190" s="2345">
        <f>-SUM($J193:AL193)*(AL$7&lt;=$G$7)</f>
        <v>0</v>
      </c>
      <c r="AM190" s="2345">
        <f>-SUM($J193:AM193)*(AM$7&lt;=$G$7)</f>
        <v>0</v>
      </c>
      <c r="AN190" s="2345">
        <f>-SUM($J193:AN193)*(AN$7&lt;=$G$7)</f>
        <v>0</v>
      </c>
      <c r="AO190" s="2345">
        <f>-SUM($J193:AO193)*(AO$7&lt;=$G$7)</f>
        <v>0</v>
      </c>
      <c r="AP190" s="2345">
        <f>-SUM($J193:AP193)*(AP$7&lt;=$G$7)</f>
        <v>0</v>
      </c>
      <c r="AQ190" s="2345">
        <f>-SUM($J193:AQ193)*(AQ$7&lt;=$G$7)</f>
        <v>0</v>
      </c>
      <c r="AR190" s="2345">
        <f>-SUM($J193:AR193)*(AR$7&lt;=$G$7)</f>
        <v>0</v>
      </c>
      <c r="AS190" s="2345">
        <f>-SUM($J193:AS193)*(AS$7&lt;=$G$7)</f>
        <v>0</v>
      </c>
      <c r="AT190" s="2345">
        <f>-SUM($J193:AT193)*(AT$7&lt;=$G$7)</f>
        <v>0</v>
      </c>
      <c r="AU190" s="2345">
        <f>-SUM($J193:AU193)*(AU$7&lt;=$G$7)</f>
        <v>0</v>
      </c>
      <c r="AV190" s="2345">
        <f>-SUM($J193:AV193)*(AV$7&lt;=$G$7)</f>
        <v>0</v>
      </c>
      <c r="AW190" s="2345">
        <f>-SUM($J193:AW193)*(AW$7&lt;=$G$7)</f>
        <v>0</v>
      </c>
      <c r="AX190" s="2345">
        <f>-SUM($J193:AX193)*(AX$7&lt;=$G$7)</f>
        <v>0</v>
      </c>
      <c r="AY190" s="2345">
        <f>-SUM($J193:AY193)*(AY$7&lt;=$G$7)</f>
        <v>0</v>
      </c>
      <c r="AZ190" s="2345">
        <f>-SUM($J193:AZ193)*(AZ$7&lt;=$G$7)</f>
        <v>0</v>
      </c>
      <c r="BA190" s="2345">
        <f>-SUM($J193:BA193)*(BA$7&lt;=$G$7)</f>
        <v>0</v>
      </c>
      <c r="BB190" s="2345">
        <f>-SUM($J193:BB193)*(BB$7&lt;=$G$7)</f>
        <v>0</v>
      </c>
      <c r="BC190" s="2345">
        <f>-SUM($J193:BC193)*(BC$7&lt;=$G$7)</f>
        <v>0</v>
      </c>
      <c r="BD190" s="2345">
        <f>-SUM($J193:BD193)*(BD$7&lt;=$G$7)</f>
        <v>0</v>
      </c>
      <c r="BE190" s="2345">
        <f>-SUM($J193:BE193)*(BE$7&lt;=$G$7)</f>
        <v>0</v>
      </c>
      <c r="BF190" s="2345">
        <f>-SUM($J193:BF193)*(BF$7&lt;=$G$7)</f>
        <v>0</v>
      </c>
      <c r="BG190" s="2345">
        <f>-SUM($J193:BG193)*(BG$7&lt;=$G$7)</f>
        <v>0</v>
      </c>
      <c r="BH190" s="2345">
        <f>-SUM($J193:BH193)*(BH$7&lt;=$G$7)</f>
        <v>0</v>
      </c>
      <c r="BI190" s="2345">
        <f>-SUM($J193:BI193)*(BI$7&lt;=$G$7)</f>
        <v>0</v>
      </c>
      <c r="BJ190" s="2345">
        <f>-SUM($J193:BJ193)*(BJ$7&lt;=$G$7)</f>
        <v>0</v>
      </c>
      <c r="BK190" s="2345">
        <f>-SUM($J193:BK193)*(BK$7&lt;=$G$7)</f>
        <v>0</v>
      </c>
      <c r="BL190" s="2345">
        <f>-SUM($J193:BL193)*(BL$7&lt;=$G$7)</f>
        <v>0</v>
      </c>
      <c r="BM190" s="2345">
        <f>-SUM($J193:BM193)*(BM$7&lt;=$G$7)</f>
        <v>0</v>
      </c>
      <c r="BN190" s="2345">
        <f>-SUM($J193:BN193)*(BN$7&lt;=$G$7)</f>
        <v>0</v>
      </c>
      <c r="BO190" s="2345">
        <f>-SUM($J193:BO193)*(BO$7&lt;=$G$7)</f>
        <v>0</v>
      </c>
      <c r="BP190" s="2345">
        <f>-SUM($J193:BP193)*(BP$7&lt;=$G$7)</f>
        <v>0</v>
      </c>
      <c r="BQ190" s="2345">
        <f>-SUM($J193:BQ193)*(BQ$7&lt;=$G$7)</f>
        <v>0</v>
      </c>
      <c r="BR190" s="2345">
        <f>-SUM($J193:BR193)*(BR$7&lt;=$G$7)</f>
        <v>0</v>
      </c>
      <c r="BS190" s="2345">
        <f>-SUM($J193:BS193)*(BS$7&lt;=$G$7)</f>
        <v>0</v>
      </c>
      <c r="BT190" s="2345">
        <f>-SUM($J193:BT193)*(BT$7&lt;=$G$7)</f>
        <v>0</v>
      </c>
      <c r="BU190" s="2345">
        <f>-SUM($J193:BU193)*(BU$7&lt;=$G$7)</f>
        <v>0</v>
      </c>
      <c r="BV190" s="2345">
        <f>-SUM($J193:BV193)*(BV$7&lt;=$G$7)</f>
        <v>0</v>
      </c>
      <c r="BW190" s="2345">
        <f>-SUM($J193:BW193)*(BW$7&lt;=$G$7)</f>
        <v>0</v>
      </c>
      <c r="BX190" s="2345">
        <f>-SUM($J193:BX193)*(BX$7&lt;=$G$7)</f>
        <v>0</v>
      </c>
      <c r="BY190" s="2345">
        <f>-SUM($J193:BY193)*(BY$7&lt;=$G$7)</f>
        <v>0</v>
      </c>
      <c r="BZ190" s="2345">
        <f>-SUM($J193:BZ193)*(BZ$7&lt;=$G$7)</f>
        <v>0</v>
      </c>
      <c r="CA190" s="2345">
        <f>-SUM($J193:CA193)*(CA$7&lt;=$G$7)</f>
        <v>0</v>
      </c>
      <c r="CB190" s="2345">
        <f>-SUM($J193:CB193)*(CB$7&lt;=$G$7)</f>
        <v>0</v>
      </c>
      <c r="CC190" s="2345">
        <f>-SUM($J193:CC193)*(CC$7&lt;=$G$7)</f>
        <v>0</v>
      </c>
      <c r="CD190" s="2345">
        <f>-SUM($J193:CD193)*(CD$7&lt;=$G$7)</f>
        <v>0</v>
      </c>
      <c r="CE190" s="2345">
        <f>-SUM($J193:CE193)*(CE$7&lt;=$G$7)</f>
        <v>0</v>
      </c>
      <c r="CF190" s="2345">
        <f>-SUM($J193:CF193)*(CF$7&lt;=$G$7)</f>
        <v>0</v>
      </c>
      <c r="CG190" s="2345">
        <f>-SUM($J193:CG193)*(CG$7&lt;=$G$7)</f>
        <v>0</v>
      </c>
      <c r="CH190" s="2345">
        <f>-SUM($J193:CH193)*(CH$7&lt;=$G$7)</f>
        <v>0</v>
      </c>
      <c r="CI190" s="2345">
        <f>-SUM($J193:CI193)*(CI$7&lt;=$G$7)</f>
        <v>0</v>
      </c>
      <c r="CJ190" s="2345">
        <f>-SUM($J193:CJ193)*(CJ$7&lt;=$G$7)</f>
        <v>0</v>
      </c>
      <c r="CK190" s="2345">
        <f>-SUM($J193:CK193)*(CK$7&lt;=$G$7)</f>
        <v>0</v>
      </c>
      <c r="CL190" s="2345">
        <f>-SUM($J193:CL193)*(CL$7&lt;=$G$7)</f>
        <v>0</v>
      </c>
      <c r="CM190" s="2345">
        <f>-SUM($J193:CM193)*(CM$7&lt;=$G$7)</f>
        <v>0</v>
      </c>
      <c r="CN190" s="2345">
        <f>-SUM($J193:CN193)*(CN$7&lt;=$G$7)</f>
        <v>0</v>
      </c>
      <c r="CO190" s="2345">
        <f>-SUM($J193:CO193)*(CO$7&lt;=$G$7)</f>
        <v>0</v>
      </c>
      <c r="CP190" s="2345">
        <f>-SUM($J193:CP193)*(CP$7&lt;=$G$7)</f>
        <v>0</v>
      </c>
      <c r="CQ190" s="2345">
        <f>-SUM($J193:CQ193)*(CQ$7&lt;=$G$7)</f>
        <v>0</v>
      </c>
      <c r="CR190" s="2345">
        <f>-SUM($J193:CR193)*(CR$7&lt;=$G$7)</f>
        <v>0</v>
      </c>
      <c r="CS190" s="2345">
        <f>-SUM($J193:CS193)*(CS$7&lt;=$G$7)</f>
        <v>0</v>
      </c>
      <c r="CT190" s="2345">
        <f>-SUM($J193:CT193)*(CT$7&lt;=$G$7)</f>
        <v>0</v>
      </c>
      <c r="CU190" s="2345">
        <f>-SUM($J193:CU193)*(CU$7&lt;=$G$7)</f>
        <v>0</v>
      </c>
      <c r="CV190" s="2345">
        <f>-SUM($J193:CV193)*(CV$7&lt;=$G$7)</f>
        <v>0</v>
      </c>
      <c r="CW190" s="2345">
        <f>-SUM($J193:CW193)*(CW$7&lt;=$G$7)</f>
        <v>0</v>
      </c>
      <c r="CX190" s="2345">
        <f>-SUM($J193:CX193)*(CX$7&lt;=$G$7)</f>
        <v>0</v>
      </c>
      <c r="CY190" s="2345">
        <f>-SUM($J193:CY193)*(CY$7&lt;=$G$7)</f>
        <v>0</v>
      </c>
      <c r="CZ190" s="2345">
        <f>-SUM($J193:CZ193)*(CZ$7&lt;=$G$7)</f>
        <v>0</v>
      </c>
      <c r="DA190" s="2345">
        <f>-SUM($J193:DA193)*(DA$7&lt;=$G$7)</f>
        <v>0</v>
      </c>
      <c r="DB190" s="2345">
        <f>-SUM($J193:DB193)*(DB$7&lt;=$G$7)</f>
        <v>0</v>
      </c>
      <c r="DC190" s="2345">
        <f>-SUM($J193:DC193)*(DC$7&lt;=$G$7)</f>
        <v>0</v>
      </c>
      <c r="DD190" s="2345">
        <f>-SUM($J193:DD193)*(DD$7&lt;=$G$7)</f>
        <v>0</v>
      </c>
      <c r="DE190" s="2345">
        <f>-SUM($J193:DE193)*(DE$7&lt;=$G$7)</f>
        <v>0</v>
      </c>
      <c r="DF190" s="2345">
        <f>-SUM($J193:DF193)*(DF$7&lt;=$G$7)</f>
        <v>0</v>
      </c>
      <c r="DG190" s="2345">
        <f>-SUM($J193:DG193)*(DG$7&lt;=$G$7)</f>
        <v>0</v>
      </c>
      <c r="DH190" s="2345">
        <f>-SUM($J193:DH193)*(DH$7&lt;=$G$7)</f>
        <v>0</v>
      </c>
      <c r="DI190" s="2345">
        <f>-SUM($J193:DI193)*(DI$7&lt;=$G$7)</f>
        <v>0</v>
      </c>
      <c r="DJ190" s="2345">
        <f>-SUM($J193:DJ193)*(DJ$7&lt;=$G$7)</f>
        <v>0</v>
      </c>
      <c r="DK190" s="2345">
        <f>-SUM($J193:DK193)*(DK$7&lt;=$G$7)</f>
        <v>0</v>
      </c>
      <c r="DL190" s="2345">
        <f>-SUM($J193:DL193)*(DL$7&lt;=$G$7)</f>
        <v>0</v>
      </c>
      <c r="DM190" s="2345">
        <f>-SUM($J193:DM193)*(DM$7&lt;=$G$7)</f>
        <v>0</v>
      </c>
      <c r="DN190" s="2345">
        <f>-SUM($J193:DN193)*(DN$7&lt;=$G$7)</f>
        <v>0</v>
      </c>
      <c r="DO190" s="2345">
        <f>-SUM($J193:DO193)*(DO$7&lt;=$G$7)</f>
        <v>0</v>
      </c>
      <c r="DP190" s="2345">
        <f>-SUM($J193:DP193)*(DP$7&lt;=$G$7)</f>
        <v>0</v>
      </c>
      <c r="DQ190" s="2345">
        <f>-SUM($J193:DQ193)*(DQ$7&lt;=$G$7)</f>
        <v>0</v>
      </c>
      <c r="DR190" s="2345">
        <f>-SUM($J193:DR193)*(DR$7&lt;=$G$7)</f>
        <v>0</v>
      </c>
      <c r="DS190" s="2345">
        <f>-SUM($J193:DS193)*(DS$7&lt;=$G$7)</f>
        <v>0</v>
      </c>
      <c r="DT190" s="2345">
        <f>-SUM($J193:DT193)*(DT$7&lt;=$G$7)</f>
        <v>0</v>
      </c>
      <c r="DU190" s="2345">
        <f>-SUM($J193:DU193)*(DU$7&lt;=$G$7)</f>
        <v>0</v>
      </c>
      <c r="DV190" s="2345">
        <f>-SUM($J193:DV193)*(DV$7&lt;=$G$7)</f>
        <v>0</v>
      </c>
      <c r="DW190" s="2345">
        <f>-SUM($J193:DW193)*(DW$7&lt;=$G$7)</f>
        <v>0</v>
      </c>
      <c r="DX190" s="2345">
        <f>-SUM($J193:DX193)*(DX$7&lt;=$G$7)</f>
        <v>0</v>
      </c>
      <c r="DY190" s="2345">
        <f>-SUM($J193:DY193)*(DY$7&lt;=$G$7)</f>
        <v>0</v>
      </c>
      <c r="DZ190" s="2345">
        <f>-SUM($J193:DZ193)*(DZ$7&lt;=$G$7)</f>
        <v>0</v>
      </c>
      <c r="EA190" s="2345">
        <f>-SUM($J193:EA193)*(EA$7&lt;=$G$7)</f>
        <v>0</v>
      </c>
      <c r="EB190" s="2345">
        <f>-SUM($J193:EB193)*(EB$7&lt;=$G$7)</f>
        <v>0</v>
      </c>
      <c r="EC190" s="2345">
        <f>-SUM($J193:EC193)*(EC$7&lt;=$G$7)</f>
        <v>0</v>
      </c>
      <c r="ED190" s="2345">
        <f>-SUM($J193:ED193)*(ED$7&lt;=$G$7)</f>
        <v>0</v>
      </c>
      <c r="EE190" s="2345">
        <f>-SUM($J193:EE193)*(EE$7&lt;=$G$7)</f>
        <v>0</v>
      </c>
      <c r="EF190" s="2345">
        <f>-SUM($J193:EF193)*(EF$7&lt;=$G$7)</f>
        <v>0</v>
      </c>
      <c r="EG190" s="2345">
        <f>-SUM($J193:EG193)*(EG$7&lt;=$G$7)</f>
        <v>0</v>
      </c>
      <c r="EH190" s="2345">
        <f>-SUM($J193:EH193)*(EH$7&lt;=$G$7)</f>
        <v>0</v>
      </c>
      <c r="EI190" s="2345">
        <f>-SUM($J193:EI193)*(EI$7&lt;=$G$7)</f>
        <v>0</v>
      </c>
      <c r="EJ190" s="2345">
        <f>-SUM($J193:EJ193)*(EJ$7&lt;=$G$7)</f>
        <v>0</v>
      </c>
      <c r="EK190" s="2345">
        <f>-SUM($J193:EK193)*(EK$7&lt;=$G$7)</f>
        <v>0</v>
      </c>
      <c r="EL190" s="2345">
        <f>-SUM($J193:EL193)*(EL$7&lt;=$G$7)</f>
        <v>0</v>
      </c>
    </row>
    <row r="191" spans="2:142" s="833" customFormat="1" ht="13.5" hidden="1" outlineLevel="1">
      <c r="B191" s="1000"/>
      <c r="C191" s="822" t="s">
        <v>973</v>
      </c>
      <c r="D191" s="1001"/>
      <c r="E191" s="1001"/>
      <c r="F191" s="1008"/>
      <c r="G191" s="1001"/>
      <c r="H191" s="848"/>
      <c r="I191" s="848"/>
      <c r="J191" s="848"/>
      <c r="K191" s="848"/>
      <c r="L191" s="848"/>
      <c r="M191" s="848"/>
      <c r="N191" s="848"/>
      <c r="O191" s="848"/>
      <c r="P191" s="848"/>
      <c r="Q191" s="848"/>
      <c r="R191" s="848"/>
      <c r="S191" s="848"/>
      <c r="T191" s="848"/>
      <c r="U191" s="848"/>
      <c r="V191" s="848"/>
      <c r="W191" s="848"/>
      <c r="X191" s="848"/>
      <c r="Y191" s="848"/>
      <c r="Z191" s="848"/>
      <c r="AA191" s="848"/>
      <c r="AB191" s="848"/>
      <c r="AC191" s="848"/>
      <c r="AD191" s="848"/>
      <c r="AE191" s="848"/>
      <c r="AF191" s="848"/>
      <c r="AG191" s="848"/>
      <c r="AH191" s="848"/>
      <c r="AI191" s="848"/>
      <c r="AJ191" s="848"/>
      <c r="AK191" s="848"/>
      <c r="AL191" s="848"/>
      <c r="AM191" s="848"/>
      <c r="AN191" s="848"/>
      <c r="AO191" s="848"/>
      <c r="AP191" s="848"/>
      <c r="AQ191" s="848"/>
      <c r="AR191" s="848"/>
      <c r="AS191" s="848"/>
      <c r="AT191" s="848"/>
      <c r="AU191" s="848"/>
      <c r="AV191" s="848"/>
      <c r="AW191" s="848"/>
      <c r="AX191" s="848"/>
      <c r="AY191" s="848"/>
      <c r="AZ191" s="848"/>
      <c r="BA191" s="848"/>
      <c r="BB191" s="848"/>
      <c r="BC191" s="848"/>
      <c r="BD191" s="848"/>
      <c r="BE191" s="848"/>
      <c r="BF191" s="848"/>
      <c r="BG191" s="848"/>
      <c r="BH191" s="848"/>
      <c r="BI191" s="848"/>
      <c r="BJ191" s="848"/>
      <c r="BK191" s="848"/>
      <c r="BL191" s="848"/>
      <c r="BM191" s="848"/>
      <c r="BN191" s="848"/>
      <c r="BO191" s="848"/>
      <c r="BP191" s="848"/>
      <c r="BQ191" s="848"/>
      <c r="BR191" s="848"/>
      <c r="BS191" s="848"/>
      <c r="BT191" s="848"/>
      <c r="BU191" s="848"/>
      <c r="BV191" s="848"/>
      <c r="BW191" s="848"/>
      <c r="BX191" s="848"/>
      <c r="BY191" s="848"/>
      <c r="BZ191" s="848"/>
      <c r="CA191" s="848"/>
      <c r="CB191" s="848"/>
      <c r="CC191" s="848"/>
      <c r="CD191" s="848"/>
      <c r="CE191" s="848"/>
      <c r="CF191" s="848"/>
      <c r="CG191" s="848"/>
      <c r="CH191" s="848"/>
      <c r="CI191" s="848"/>
      <c r="CJ191" s="848"/>
      <c r="CK191" s="848"/>
      <c r="CL191" s="848"/>
      <c r="CM191" s="848"/>
      <c r="CN191" s="848"/>
      <c r="CO191" s="848"/>
      <c r="CP191" s="848"/>
      <c r="CQ191" s="848"/>
      <c r="CR191" s="848"/>
      <c r="CS191" s="848"/>
      <c r="CT191" s="848"/>
      <c r="CU191" s="848"/>
      <c r="CV191" s="848"/>
      <c r="CW191" s="848"/>
      <c r="CX191" s="848"/>
      <c r="CY191" s="848"/>
      <c r="CZ191" s="848"/>
      <c r="DA191" s="848"/>
      <c r="DB191" s="848"/>
      <c r="DC191" s="848"/>
      <c r="DD191" s="848"/>
      <c r="DE191" s="848"/>
      <c r="DF191" s="848"/>
      <c r="DG191" s="848"/>
      <c r="DH191" s="848"/>
      <c r="DI191" s="848"/>
      <c r="DJ191" s="848"/>
      <c r="DK191" s="848"/>
      <c r="DL191" s="848"/>
      <c r="DM191" s="848"/>
      <c r="DN191" s="848"/>
      <c r="DO191" s="848"/>
      <c r="DP191" s="848"/>
      <c r="DQ191" s="848"/>
      <c r="DR191" s="848"/>
      <c r="DS191" s="848"/>
      <c r="DT191" s="848"/>
      <c r="DU191" s="848"/>
      <c r="DV191" s="848"/>
      <c r="DW191" s="848"/>
      <c r="DX191" s="848"/>
      <c r="DY191" s="848"/>
      <c r="DZ191" s="848"/>
      <c r="EA191" s="848"/>
      <c r="EB191" s="848"/>
      <c r="EC191" s="848"/>
      <c r="ED191" s="848"/>
      <c r="EE191" s="848"/>
      <c r="EF191" s="848"/>
      <c r="EG191" s="848"/>
      <c r="EH191" s="848"/>
      <c r="EI191" s="848"/>
      <c r="EJ191" s="848"/>
      <c r="EK191" s="848"/>
      <c r="EL191" s="848"/>
    </row>
    <row r="192" spans="2:142" s="833" customFormat="1" hidden="1" outlineLevel="1">
      <c r="B192" s="1000"/>
      <c r="C192" s="1001"/>
      <c r="D192" s="1001"/>
      <c r="E192" s="1001"/>
      <c r="F192" s="1008"/>
      <c r="G192" s="1001"/>
      <c r="H192" s="848"/>
      <c r="I192" s="848"/>
      <c r="J192" s="848"/>
      <c r="K192" s="848"/>
      <c r="L192" s="848"/>
      <c r="M192" s="848"/>
      <c r="N192" s="848"/>
      <c r="O192" s="848"/>
      <c r="P192" s="848"/>
      <c r="Q192" s="848"/>
      <c r="R192" s="848"/>
      <c r="S192" s="848"/>
      <c r="T192" s="848"/>
      <c r="U192" s="848"/>
      <c r="V192" s="848"/>
      <c r="W192" s="848"/>
      <c r="X192" s="848"/>
      <c r="Y192" s="848"/>
      <c r="Z192" s="848"/>
      <c r="AA192" s="848"/>
      <c r="AB192" s="848"/>
      <c r="AC192" s="848"/>
      <c r="AD192" s="848"/>
      <c r="AE192" s="848"/>
      <c r="AF192" s="848"/>
      <c r="AG192" s="848"/>
      <c r="AH192" s="848"/>
      <c r="AI192" s="848"/>
      <c r="AJ192" s="848"/>
      <c r="AK192" s="848"/>
      <c r="AL192" s="848"/>
      <c r="AM192" s="848"/>
      <c r="AN192" s="848"/>
      <c r="AO192" s="848"/>
      <c r="AP192" s="848"/>
      <c r="AQ192" s="848"/>
      <c r="AR192" s="848"/>
      <c r="AS192" s="848"/>
      <c r="AT192" s="848"/>
      <c r="AU192" s="848"/>
      <c r="AV192" s="848"/>
      <c r="AW192" s="848"/>
      <c r="AX192" s="848"/>
      <c r="AY192" s="848"/>
      <c r="AZ192" s="848"/>
      <c r="BA192" s="848"/>
      <c r="BB192" s="848"/>
      <c r="BC192" s="848"/>
      <c r="BD192" s="848"/>
      <c r="BE192" s="848"/>
      <c r="BF192" s="848"/>
      <c r="BG192" s="848"/>
      <c r="BH192" s="848"/>
      <c r="BI192" s="848"/>
      <c r="BJ192" s="848"/>
      <c r="BK192" s="848"/>
      <c r="BL192" s="848"/>
      <c r="BM192" s="848"/>
      <c r="BN192" s="848"/>
      <c r="BO192" s="848"/>
      <c r="BP192" s="848"/>
      <c r="BQ192" s="848"/>
      <c r="BR192" s="848"/>
      <c r="BS192" s="848"/>
      <c r="BT192" s="848"/>
      <c r="BU192" s="848"/>
      <c r="BV192" s="848"/>
      <c r="BW192" s="848"/>
      <c r="BX192" s="848"/>
      <c r="BY192" s="848"/>
      <c r="BZ192" s="848"/>
      <c r="CA192" s="848"/>
      <c r="CB192" s="848"/>
      <c r="CC192" s="848"/>
      <c r="CD192" s="848"/>
      <c r="CE192" s="848"/>
      <c r="CF192" s="848"/>
      <c r="CG192" s="848"/>
      <c r="CH192" s="848"/>
      <c r="CI192" s="848"/>
      <c r="CJ192" s="848"/>
      <c r="CK192" s="848"/>
      <c r="CL192" s="848"/>
      <c r="CM192" s="848"/>
      <c r="CN192" s="848"/>
      <c r="CO192" s="848"/>
      <c r="CP192" s="848"/>
      <c r="CQ192" s="848"/>
      <c r="CR192" s="848"/>
      <c r="CS192" s="848"/>
      <c r="CT192" s="848"/>
      <c r="CU192" s="848"/>
      <c r="CV192" s="848"/>
      <c r="CW192" s="848"/>
      <c r="CX192" s="848"/>
      <c r="CY192" s="848"/>
      <c r="CZ192" s="848"/>
      <c r="DA192" s="848"/>
      <c r="DB192" s="848"/>
      <c r="DC192" s="848"/>
      <c r="DD192" s="848"/>
      <c r="DE192" s="848"/>
      <c r="DF192" s="848"/>
      <c r="DG192" s="848"/>
      <c r="DH192" s="848"/>
      <c r="DI192" s="848"/>
      <c r="DJ192" s="848"/>
      <c r="DK192" s="848"/>
      <c r="DL192" s="848"/>
      <c r="DM192" s="848"/>
      <c r="DN192" s="848"/>
      <c r="DO192" s="848"/>
      <c r="DP192" s="848"/>
      <c r="DQ192" s="848"/>
      <c r="DR192" s="848"/>
      <c r="DS192" s="848"/>
      <c r="DT192" s="848"/>
      <c r="DU192" s="848"/>
      <c r="DV192" s="848"/>
      <c r="DW192" s="848"/>
      <c r="DX192" s="848"/>
      <c r="DY192" s="848"/>
      <c r="DZ192" s="848"/>
      <c r="EA192" s="848"/>
      <c r="EB192" s="848"/>
      <c r="EC192" s="848"/>
      <c r="ED192" s="848"/>
      <c r="EE192" s="848"/>
      <c r="EF192" s="848"/>
      <c r="EG192" s="848"/>
      <c r="EH192" s="848"/>
      <c r="EI192" s="848"/>
      <c r="EJ192" s="848"/>
      <c r="EK192" s="848"/>
      <c r="EL192" s="848"/>
    </row>
    <row r="193" spans="2:142" s="833" customFormat="1" ht="13.5" hidden="1" outlineLevel="1">
      <c r="B193" s="1000"/>
      <c r="D193" s="881" t="s">
        <v>974</v>
      </c>
      <c r="E193" s="1001"/>
      <c r="F193" s="1008"/>
      <c r="G193" s="1001"/>
      <c r="H193" s="848">
        <f t="shared" ref="H193:H201" si="129">SUM(J193:EL193)</f>
        <v>0</v>
      </c>
      <c r="I193" s="848"/>
      <c r="J193" s="1858">
        <v>0</v>
      </c>
      <c r="K193" s="1858">
        <v>0</v>
      </c>
      <c r="L193" s="1858">
        <v>0</v>
      </c>
      <c r="M193" s="1858">
        <v>0</v>
      </c>
      <c r="N193" s="1858">
        <v>0</v>
      </c>
      <c r="O193" s="1858">
        <v>0</v>
      </c>
      <c r="P193" s="1858">
        <v>0</v>
      </c>
      <c r="Q193" s="1858">
        <v>0</v>
      </c>
      <c r="R193" s="1858">
        <v>0</v>
      </c>
      <c r="S193" s="1858">
        <v>0</v>
      </c>
      <c r="T193" s="1858">
        <v>0</v>
      </c>
      <c r="U193" s="1858">
        <v>0</v>
      </c>
      <c r="V193" s="1858">
        <v>0</v>
      </c>
      <c r="W193" s="1858">
        <v>0</v>
      </c>
      <c r="X193" s="1858">
        <v>0</v>
      </c>
      <c r="Y193" s="1858">
        <v>0</v>
      </c>
      <c r="Z193" s="1858">
        <v>0</v>
      </c>
      <c r="AA193" s="1858">
        <v>0</v>
      </c>
      <c r="AB193" s="1858">
        <v>0</v>
      </c>
      <c r="AC193" s="1858">
        <v>0</v>
      </c>
      <c r="AD193" s="1858">
        <v>0</v>
      </c>
      <c r="AE193" s="1858">
        <v>0</v>
      </c>
      <c r="AF193" s="1858">
        <v>0</v>
      </c>
      <c r="AG193" s="1858">
        <v>0</v>
      </c>
      <c r="AH193" s="1858">
        <v>0</v>
      </c>
      <c r="AI193" s="1858">
        <v>0</v>
      </c>
      <c r="AJ193" s="1858">
        <v>0</v>
      </c>
      <c r="AK193" s="1858">
        <v>0</v>
      </c>
      <c r="AL193" s="1858">
        <v>0</v>
      </c>
      <c r="AM193" s="1858">
        <v>0</v>
      </c>
      <c r="AN193" s="1858">
        <v>0</v>
      </c>
      <c r="AO193" s="1858">
        <v>0</v>
      </c>
      <c r="AP193" s="1858">
        <v>0</v>
      </c>
      <c r="AQ193" s="1858">
        <v>0</v>
      </c>
      <c r="AR193" s="1858">
        <v>0</v>
      </c>
      <c r="AS193" s="1858">
        <v>0</v>
      </c>
      <c r="AT193" s="1858">
        <v>0</v>
      </c>
      <c r="AU193" s="1858">
        <v>0</v>
      </c>
      <c r="AV193" s="1858">
        <v>0</v>
      </c>
      <c r="AW193" s="1858">
        <v>0</v>
      </c>
      <c r="AX193" s="1858">
        <v>0</v>
      </c>
      <c r="AY193" s="1858">
        <v>0</v>
      </c>
      <c r="AZ193" s="1858">
        <v>0</v>
      </c>
      <c r="BA193" s="1858">
        <v>0</v>
      </c>
      <c r="BB193" s="1858">
        <v>0</v>
      </c>
      <c r="BC193" s="1858">
        <v>0</v>
      </c>
      <c r="BD193" s="1858">
        <v>0</v>
      </c>
      <c r="BE193" s="1858">
        <v>0</v>
      </c>
      <c r="BF193" s="1858">
        <v>0</v>
      </c>
      <c r="BG193" s="1858">
        <v>0</v>
      </c>
      <c r="BH193" s="1858">
        <v>0</v>
      </c>
      <c r="BI193" s="1858">
        <v>0</v>
      </c>
      <c r="BJ193" s="1858">
        <v>0</v>
      </c>
      <c r="BK193" s="1858">
        <v>0</v>
      </c>
      <c r="BL193" s="1858">
        <v>0</v>
      </c>
      <c r="BM193" s="1858">
        <v>0</v>
      </c>
      <c r="BN193" s="1858">
        <v>0</v>
      </c>
      <c r="BO193" s="1858">
        <v>0</v>
      </c>
      <c r="BP193" s="1858">
        <v>0</v>
      </c>
      <c r="BQ193" s="1858">
        <v>0</v>
      </c>
      <c r="BR193" s="1858">
        <v>0</v>
      </c>
      <c r="BS193" s="1858">
        <v>0</v>
      </c>
      <c r="BT193" s="1858">
        <v>0</v>
      </c>
      <c r="BU193" s="1858">
        <v>0</v>
      </c>
      <c r="BV193" s="1858">
        <v>0</v>
      </c>
      <c r="BW193" s="1858">
        <v>0</v>
      </c>
      <c r="BX193" s="1858">
        <v>0</v>
      </c>
      <c r="BY193" s="1858">
        <v>0</v>
      </c>
      <c r="BZ193" s="1858">
        <v>0</v>
      </c>
      <c r="CA193" s="1858">
        <v>0</v>
      </c>
      <c r="CB193" s="1858">
        <v>0</v>
      </c>
      <c r="CC193" s="1858">
        <v>0</v>
      </c>
      <c r="CD193" s="1858">
        <v>0</v>
      </c>
      <c r="CE193" s="1858">
        <v>0</v>
      </c>
      <c r="CF193" s="1858">
        <v>0</v>
      </c>
      <c r="CG193" s="1858">
        <v>0</v>
      </c>
      <c r="CH193" s="1858">
        <v>0</v>
      </c>
      <c r="CI193" s="1858">
        <v>0</v>
      </c>
      <c r="CJ193" s="1858">
        <v>0</v>
      </c>
      <c r="CK193" s="1858">
        <v>0</v>
      </c>
      <c r="CL193" s="1858">
        <v>0</v>
      </c>
      <c r="CM193" s="1858">
        <v>0</v>
      </c>
      <c r="CN193" s="1858">
        <v>0</v>
      </c>
      <c r="CO193" s="1858">
        <v>0</v>
      </c>
      <c r="CP193" s="1858">
        <v>0</v>
      </c>
      <c r="CQ193" s="1858">
        <v>0</v>
      </c>
      <c r="CR193" s="1858">
        <v>0</v>
      </c>
      <c r="CS193" s="1858">
        <v>0</v>
      </c>
      <c r="CT193" s="1858">
        <v>0</v>
      </c>
      <c r="CU193" s="1858">
        <v>0</v>
      </c>
      <c r="CV193" s="1858">
        <v>0</v>
      </c>
      <c r="CW193" s="1858">
        <v>0</v>
      </c>
      <c r="CX193" s="1858">
        <v>0</v>
      </c>
      <c r="CY193" s="1858">
        <v>0</v>
      </c>
      <c r="CZ193" s="1858">
        <v>0</v>
      </c>
      <c r="DA193" s="1858">
        <v>0</v>
      </c>
      <c r="DB193" s="1858">
        <v>0</v>
      </c>
      <c r="DC193" s="1858">
        <v>0</v>
      </c>
      <c r="DD193" s="1858">
        <v>0</v>
      </c>
      <c r="DE193" s="1858">
        <v>0</v>
      </c>
      <c r="DF193" s="1858">
        <v>0</v>
      </c>
      <c r="DG193" s="1858">
        <v>0</v>
      </c>
      <c r="DH193" s="1858">
        <v>0</v>
      </c>
      <c r="DI193" s="1858">
        <v>0</v>
      </c>
      <c r="DJ193" s="1858">
        <v>0</v>
      </c>
      <c r="DK193" s="1858">
        <v>0</v>
      </c>
      <c r="DL193" s="1858">
        <v>0</v>
      </c>
      <c r="DM193" s="1858">
        <v>0</v>
      </c>
      <c r="DN193" s="1858">
        <v>0</v>
      </c>
      <c r="DO193" s="1858">
        <v>0</v>
      </c>
      <c r="DP193" s="1858">
        <v>0</v>
      </c>
      <c r="DQ193" s="1858">
        <v>0</v>
      </c>
      <c r="DR193" s="1858">
        <v>0</v>
      </c>
      <c r="DS193" s="1858">
        <v>0</v>
      </c>
      <c r="DT193" s="1858">
        <v>0</v>
      </c>
      <c r="DU193" s="1858">
        <v>0</v>
      </c>
      <c r="DV193" s="1858">
        <v>0</v>
      </c>
      <c r="DW193" s="1858">
        <v>0</v>
      </c>
      <c r="DX193" s="1858">
        <v>0</v>
      </c>
      <c r="DY193" s="1858">
        <v>0</v>
      </c>
      <c r="DZ193" s="1858">
        <v>0</v>
      </c>
      <c r="EA193" s="1858">
        <v>0</v>
      </c>
      <c r="EB193" s="1858">
        <v>0</v>
      </c>
      <c r="EC193" s="1858">
        <v>0</v>
      </c>
      <c r="ED193" s="1858">
        <v>0</v>
      </c>
      <c r="EE193" s="1858">
        <v>0</v>
      </c>
      <c r="EF193" s="1858">
        <v>0</v>
      </c>
      <c r="EG193" s="1858">
        <v>0</v>
      </c>
      <c r="EH193" s="1858">
        <v>0</v>
      </c>
      <c r="EI193" s="1858">
        <v>0</v>
      </c>
      <c r="EJ193" s="1858">
        <v>0</v>
      </c>
      <c r="EK193" s="1858">
        <v>0</v>
      </c>
      <c r="EL193" s="1858">
        <v>0</v>
      </c>
    </row>
    <row r="194" spans="2:142" s="833" customFormat="1" ht="13.5" hidden="1" outlineLevel="1">
      <c r="B194" s="1000"/>
      <c r="D194" s="2344" t="s">
        <v>2078</v>
      </c>
      <c r="E194" s="1001"/>
      <c r="F194" s="1008"/>
      <c r="G194" s="1001"/>
      <c r="H194" s="848">
        <f t="shared" ref="H194" si="130">SUM(J194:EL194)</f>
        <v>0</v>
      </c>
      <c r="I194" s="848"/>
      <c r="J194" s="901">
        <v>0</v>
      </c>
      <c r="K194" s="901">
        <v>0</v>
      </c>
      <c r="L194" s="901">
        <v>0</v>
      </c>
      <c r="M194" s="901">
        <v>0</v>
      </c>
      <c r="N194" s="901">
        <v>0</v>
      </c>
      <c r="O194" s="901">
        <v>0</v>
      </c>
      <c r="P194" s="901">
        <v>0</v>
      </c>
      <c r="Q194" s="901">
        <v>0</v>
      </c>
      <c r="R194" s="901">
        <v>0</v>
      </c>
      <c r="S194" s="901">
        <v>0</v>
      </c>
      <c r="T194" s="901">
        <v>0</v>
      </c>
      <c r="U194" s="901">
        <v>0</v>
      </c>
      <c r="V194" s="901">
        <v>0</v>
      </c>
      <c r="W194" s="901">
        <v>0</v>
      </c>
      <c r="X194" s="901">
        <v>0</v>
      </c>
      <c r="Y194" s="901">
        <v>0</v>
      </c>
      <c r="Z194" s="901">
        <v>0</v>
      </c>
      <c r="AA194" s="901">
        <v>0</v>
      </c>
      <c r="AB194" s="901">
        <v>0</v>
      </c>
      <c r="AC194" s="901">
        <v>0</v>
      </c>
      <c r="AD194" s="901">
        <v>0</v>
      </c>
      <c r="AE194" s="901">
        <v>0</v>
      </c>
      <c r="AF194" s="901">
        <v>0</v>
      </c>
      <c r="AG194" s="901">
        <v>0</v>
      </c>
      <c r="AH194" s="901">
        <v>0</v>
      </c>
      <c r="AI194" s="901">
        <v>0</v>
      </c>
      <c r="AJ194" s="901">
        <v>0</v>
      </c>
      <c r="AK194" s="901">
        <v>0</v>
      </c>
      <c r="AL194" s="901">
        <v>0</v>
      </c>
      <c r="AM194" s="901">
        <v>0</v>
      </c>
      <c r="AN194" s="901">
        <v>0</v>
      </c>
      <c r="AO194" s="901">
        <v>0</v>
      </c>
      <c r="AP194" s="901">
        <v>0</v>
      </c>
      <c r="AQ194" s="901">
        <v>0</v>
      </c>
      <c r="AR194" s="901">
        <v>0</v>
      </c>
      <c r="AS194" s="901">
        <v>0</v>
      </c>
      <c r="AT194" s="901">
        <v>0</v>
      </c>
      <c r="AU194" s="901">
        <v>0</v>
      </c>
      <c r="AV194" s="901">
        <v>0</v>
      </c>
      <c r="AW194" s="901">
        <v>0</v>
      </c>
      <c r="AX194" s="901">
        <v>0</v>
      </c>
      <c r="AY194" s="901">
        <v>0</v>
      </c>
      <c r="AZ194" s="901">
        <v>0</v>
      </c>
      <c r="BA194" s="901">
        <v>0</v>
      </c>
      <c r="BB194" s="901">
        <v>0</v>
      </c>
      <c r="BC194" s="901">
        <v>0</v>
      </c>
      <c r="BD194" s="901">
        <v>0</v>
      </c>
      <c r="BE194" s="901">
        <v>0</v>
      </c>
      <c r="BF194" s="901">
        <v>0</v>
      </c>
      <c r="BG194" s="901">
        <v>0</v>
      </c>
      <c r="BH194" s="901">
        <v>0</v>
      </c>
      <c r="BI194" s="901">
        <v>0</v>
      </c>
      <c r="BJ194" s="901">
        <v>0</v>
      </c>
      <c r="BK194" s="901">
        <v>0</v>
      </c>
      <c r="BL194" s="901">
        <v>0</v>
      </c>
      <c r="BM194" s="901">
        <v>0</v>
      </c>
      <c r="BN194" s="901">
        <v>0</v>
      </c>
      <c r="BO194" s="901">
        <v>0</v>
      </c>
      <c r="BP194" s="901">
        <v>0</v>
      </c>
      <c r="BQ194" s="901">
        <v>0</v>
      </c>
      <c r="BR194" s="901">
        <v>0</v>
      </c>
      <c r="BS194" s="901">
        <v>0</v>
      </c>
      <c r="BT194" s="901">
        <v>0</v>
      </c>
      <c r="BU194" s="901">
        <v>0</v>
      </c>
      <c r="BV194" s="901">
        <v>0</v>
      </c>
      <c r="BW194" s="901">
        <v>0</v>
      </c>
      <c r="BX194" s="901">
        <v>0</v>
      </c>
      <c r="BY194" s="901">
        <v>0</v>
      </c>
      <c r="BZ194" s="901">
        <v>0</v>
      </c>
      <c r="CA194" s="901">
        <v>0</v>
      </c>
      <c r="CB194" s="901">
        <v>0</v>
      </c>
      <c r="CC194" s="901">
        <v>0</v>
      </c>
      <c r="CD194" s="901">
        <v>0</v>
      </c>
      <c r="CE194" s="901">
        <v>0</v>
      </c>
      <c r="CF194" s="901">
        <v>0</v>
      </c>
      <c r="CG194" s="901">
        <v>0</v>
      </c>
      <c r="CH194" s="901">
        <v>0</v>
      </c>
      <c r="CI194" s="901">
        <v>0</v>
      </c>
      <c r="CJ194" s="901">
        <v>0</v>
      </c>
      <c r="CK194" s="901">
        <v>0</v>
      </c>
      <c r="CL194" s="901">
        <v>0</v>
      </c>
      <c r="CM194" s="901">
        <v>0</v>
      </c>
      <c r="CN194" s="901">
        <v>0</v>
      </c>
      <c r="CO194" s="901">
        <v>0</v>
      </c>
      <c r="CP194" s="901">
        <v>0</v>
      </c>
      <c r="CQ194" s="901">
        <v>0</v>
      </c>
      <c r="CR194" s="901">
        <v>0</v>
      </c>
      <c r="CS194" s="901">
        <v>0</v>
      </c>
      <c r="CT194" s="901">
        <v>0</v>
      </c>
      <c r="CU194" s="901">
        <v>0</v>
      </c>
      <c r="CV194" s="901">
        <v>0</v>
      </c>
      <c r="CW194" s="901">
        <v>0</v>
      </c>
      <c r="CX194" s="901">
        <v>0</v>
      </c>
      <c r="CY194" s="901">
        <v>0</v>
      </c>
      <c r="CZ194" s="901">
        <v>0</v>
      </c>
      <c r="DA194" s="901">
        <v>0</v>
      </c>
      <c r="DB194" s="901">
        <v>0</v>
      </c>
      <c r="DC194" s="901">
        <v>0</v>
      </c>
      <c r="DD194" s="901">
        <v>0</v>
      </c>
      <c r="DE194" s="901">
        <v>0</v>
      </c>
      <c r="DF194" s="901">
        <v>0</v>
      </c>
      <c r="DG194" s="901">
        <v>0</v>
      </c>
      <c r="DH194" s="901">
        <v>0</v>
      </c>
      <c r="DI194" s="901">
        <v>0</v>
      </c>
      <c r="DJ194" s="901">
        <v>0</v>
      </c>
      <c r="DK194" s="901">
        <v>0</v>
      </c>
      <c r="DL194" s="901">
        <v>0</v>
      </c>
      <c r="DM194" s="901">
        <v>0</v>
      </c>
      <c r="DN194" s="901">
        <v>0</v>
      </c>
      <c r="DO194" s="901">
        <v>0</v>
      </c>
      <c r="DP194" s="901">
        <v>0</v>
      </c>
      <c r="DQ194" s="901">
        <v>0</v>
      </c>
      <c r="DR194" s="901">
        <v>0</v>
      </c>
      <c r="DS194" s="901">
        <v>0</v>
      </c>
      <c r="DT194" s="901">
        <v>0</v>
      </c>
      <c r="DU194" s="901">
        <v>0</v>
      </c>
      <c r="DV194" s="901">
        <v>0</v>
      </c>
      <c r="DW194" s="901">
        <v>0</v>
      </c>
      <c r="DX194" s="901">
        <v>0</v>
      </c>
      <c r="DY194" s="901">
        <v>0</v>
      </c>
      <c r="DZ194" s="901">
        <v>0</v>
      </c>
      <c r="EA194" s="901">
        <v>0</v>
      </c>
      <c r="EB194" s="901">
        <v>0</v>
      </c>
      <c r="EC194" s="901">
        <v>0</v>
      </c>
      <c r="ED194" s="901">
        <v>0</v>
      </c>
      <c r="EE194" s="901">
        <v>0</v>
      </c>
      <c r="EF194" s="901">
        <v>0</v>
      </c>
      <c r="EG194" s="901">
        <v>0</v>
      </c>
      <c r="EH194" s="901">
        <v>0</v>
      </c>
      <c r="EI194" s="901">
        <v>0</v>
      </c>
      <c r="EJ194" s="901">
        <v>0</v>
      </c>
      <c r="EK194" s="901">
        <v>0</v>
      </c>
      <c r="EL194" s="901">
        <v>0</v>
      </c>
    </row>
    <row r="195" spans="2:142" s="833" customFormat="1" ht="13.5" hidden="1" outlineLevel="1">
      <c r="B195" s="1000"/>
      <c r="D195" s="881" t="s">
        <v>772</v>
      </c>
      <c r="E195" s="1001"/>
      <c r="F195" s="1008"/>
      <c r="G195" s="1001"/>
      <c r="H195" s="848">
        <f t="shared" si="129"/>
        <v>0</v>
      </c>
      <c r="I195" s="848"/>
      <c r="J195" s="848">
        <v>0</v>
      </c>
      <c r="K195" s="848">
        <v>0</v>
      </c>
      <c r="L195" s="848">
        <v>0</v>
      </c>
      <c r="M195" s="848">
        <v>0</v>
      </c>
      <c r="N195" s="848">
        <v>0</v>
      </c>
      <c r="O195" s="848">
        <v>0</v>
      </c>
      <c r="P195" s="848">
        <v>0</v>
      </c>
      <c r="Q195" s="848">
        <v>0</v>
      </c>
      <c r="R195" s="848">
        <v>0</v>
      </c>
      <c r="S195" s="848">
        <v>0</v>
      </c>
      <c r="T195" s="848">
        <v>0</v>
      </c>
      <c r="U195" s="848">
        <v>0</v>
      </c>
      <c r="V195" s="848">
        <v>0</v>
      </c>
      <c r="W195" s="848">
        <v>0</v>
      </c>
      <c r="X195" s="848">
        <v>0</v>
      </c>
      <c r="Y195" s="848">
        <v>0</v>
      </c>
      <c r="Z195" s="848">
        <v>0</v>
      </c>
      <c r="AA195" s="848">
        <v>0</v>
      </c>
      <c r="AB195" s="848">
        <v>0</v>
      </c>
      <c r="AC195" s="848">
        <v>0</v>
      </c>
      <c r="AD195" s="848">
        <v>0</v>
      </c>
      <c r="AE195" s="848">
        <v>0</v>
      </c>
      <c r="AF195" s="848">
        <v>0</v>
      </c>
      <c r="AG195" s="848">
        <v>0</v>
      </c>
      <c r="AH195" s="848">
        <v>0</v>
      </c>
      <c r="AI195" s="848">
        <v>0</v>
      </c>
      <c r="AJ195" s="848">
        <v>0</v>
      </c>
      <c r="AK195" s="848">
        <v>0</v>
      </c>
      <c r="AL195" s="848">
        <v>0</v>
      </c>
      <c r="AM195" s="848">
        <v>0</v>
      </c>
      <c r="AN195" s="848">
        <v>0</v>
      </c>
      <c r="AO195" s="848">
        <v>0</v>
      </c>
      <c r="AP195" s="848">
        <v>0</v>
      </c>
      <c r="AQ195" s="848">
        <v>0</v>
      </c>
      <c r="AR195" s="848">
        <v>0</v>
      </c>
      <c r="AS195" s="848">
        <v>0</v>
      </c>
      <c r="AT195" s="848">
        <v>0</v>
      </c>
      <c r="AU195" s="848">
        <v>0</v>
      </c>
      <c r="AV195" s="848">
        <v>0</v>
      </c>
      <c r="AW195" s="848">
        <v>0</v>
      </c>
      <c r="AX195" s="848">
        <v>0</v>
      </c>
      <c r="AY195" s="848">
        <v>0</v>
      </c>
      <c r="AZ195" s="848">
        <v>0</v>
      </c>
      <c r="BA195" s="848">
        <v>0</v>
      </c>
      <c r="BB195" s="848">
        <v>0</v>
      </c>
      <c r="BC195" s="848">
        <v>0</v>
      </c>
      <c r="BD195" s="848">
        <v>0</v>
      </c>
      <c r="BE195" s="848">
        <v>0</v>
      </c>
      <c r="BF195" s="848">
        <v>0</v>
      </c>
      <c r="BG195" s="848">
        <v>0</v>
      </c>
      <c r="BH195" s="848">
        <v>0</v>
      </c>
      <c r="BI195" s="848">
        <v>0</v>
      </c>
      <c r="BJ195" s="848">
        <v>0</v>
      </c>
      <c r="BK195" s="848">
        <v>0</v>
      </c>
      <c r="BL195" s="848">
        <v>0</v>
      </c>
      <c r="BM195" s="848">
        <v>0</v>
      </c>
      <c r="BN195" s="848">
        <v>0</v>
      </c>
      <c r="BO195" s="848">
        <v>0</v>
      </c>
      <c r="BP195" s="848">
        <v>0</v>
      </c>
      <c r="BQ195" s="848">
        <v>0</v>
      </c>
      <c r="BR195" s="848">
        <v>0</v>
      </c>
      <c r="BS195" s="848">
        <v>0</v>
      </c>
      <c r="BT195" s="848">
        <v>0</v>
      </c>
      <c r="BU195" s="848">
        <v>0</v>
      </c>
      <c r="BV195" s="848">
        <v>0</v>
      </c>
      <c r="BW195" s="848">
        <v>0</v>
      </c>
      <c r="BX195" s="848">
        <v>0</v>
      </c>
      <c r="BY195" s="848">
        <v>0</v>
      </c>
      <c r="BZ195" s="848">
        <v>0</v>
      </c>
      <c r="CA195" s="848">
        <v>0</v>
      </c>
      <c r="CB195" s="848">
        <v>0</v>
      </c>
      <c r="CC195" s="848">
        <v>0</v>
      </c>
      <c r="CD195" s="848">
        <v>0</v>
      </c>
      <c r="CE195" s="848">
        <v>0</v>
      </c>
      <c r="CF195" s="848">
        <v>0</v>
      </c>
      <c r="CG195" s="848">
        <v>0</v>
      </c>
      <c r="CH195" s="848">
        <v>0</v>
      </c>
      <c r="CI195" s="848">
        <v>0</v>
      </c>
      <c r="CJ195" s="848">
        <v>0</v>
      </c>
      <c r="CK195" s="848">
        <v>0</v>
      </c>
      <c r="CL195" s="848">
        <v>0</v>
      </c>
      <c r="CM195" s="848">
        <v>0</v>
      </c>
      <c r="CN195" s="848">
        <v>0</v>
      </c>
      <c r="CO195" s="848">
        <v>0</v>
      </c>
      <c r="CP195" s="848">
        <v>0</v>
      </c>
      <c r="CQ195" s="848">
        <v>0</v>
      </c>
      <c r="CR195" s="848">
        <v>0</v>
      </c>
      <c r="CS195" s="848">
        <v>0</v>
      </c>
      <c r="CT195" s="848">
        <v>0</v>
      </c>
      <c r="CU195" s="848">
        <v>0</v>
      </c>
      <c r="CV195" s="848">
        <v>0</v>
      </c>
      <c r="CW195" s="848">
        <v>0</v>
      </c>
      <c r="CX195" s="848">
        <v>0</v>
      </c>
      <c r="CY195" s="848">
        <v>0</v>
      </c>
      <c r="CZ195" s="848">
        <v>0</v>
      </c>
      <c r="DA195" s="848">
        <v>0</v>
      </c>
      <c r="DB195" s="848">
        <v>0</v>
      </c>
      <c r="DC195" s="848">
        <v>0</v>
      </c>
      <c r="DD195" s="848">
        <v>0</v>
      </c>
      <c r="DE195" s="848">
        <v>0</v>
      </c>
      <c r="DF195" s="848">
        <v>0</v>
      </c>
      <c r="DG195" s="848">
        <v>0</v>
      </c>
      <c r="DH195" s="848">
        <v>0</v>
      </c>
      <c r="DI195" s="848">
        <v>0</v>
      </c>
      <c r="DJ195" s="848">
        <v>0</v>
      </c>
      <c r="DK195" s="848">
        <v>0</v>
      </c>
      <c r="DL195" s="848">
        <v>0</v>
      </c>
      <c r="DM195" s="848">
        <v>0</v>
      </c>
      <c r="DN195" s="848">
        <v>0</v>
      </c>
      <c r="DO195" s="848">
        <v>0</v>
      </c>
      <c r="DP195" s="848">
        <v>0</v>
      </c>
      <c r="DQ195" s="848">
        <v>0</v>
      </c>
      <c r="DR195" s="848">
        <v>0</v>
      </c>
      <c r="DS195" s="848">
        <v>0</v>
      </c>
      <c r="DT195" s="848">
        <v>0</v>
      </c>
      <c r="DU195" s="848">
        <v>0</v>
      </c>
      <c r="DV195" s="848">
        <v>0</v>
      </c>
      <c r="DW195" s="848">
        <v>0</v>
      </c>
      <c r="DX195" s="848">
        <v>0</v>
      </c>
      <c r="DY195" s="848">
        <v>0</v>
      </c>
      <c r="DZ195" s="848">
        <v>0</v>
      </c>
      <c r="EA195" s="848">
        <v>0</v>
      </c>
      <c r="EB195" s="848">
        <v>0</v>
      </c>
      <c r="EC195" s="848">
        <v>0</v>
      </c>
      <c r="ED195" s="848">
        <v>0</v>
      </c>
      <c r="EE195" s="848">
        <v>0</v>
      </c>
      <c r="EF195" s="848">
        <v>0</v>
      </c>
      <c r="EG195" s="848">
        <v>0</v>
      </c>
      <c r="EH195" s="848">
        <v>0</v>
      </c>
      <c r="EI195" s="848">
        <v>0</v>
      </c>
      <c r="EJ195" s="848">
        <v>0</v>
      </c>
      <c r="EK195" s="848">
        <v>0</v>
      </c>
      <c r="EL195" s="848">
        <v>0</v>
      </c>
    </row>
    <row r="196" spans="2:142" s="833" customFormat="1" ht="13.5" hidden="1" outlineLevel="1">
      <c r="B196" s="1000"/>
      <c r="D196" s="881" t="s">
        <v>776</v>
      </c>
      <c r="E196" s="1001"/>
      <c r="F196" s="1008"/>
      <c r="G196" s="1001"/>
      <c r="H196" s="848">
        <f>SUM(J196:EL196)</f>
        <v>0</v>
      </c>
      <c r="I196" s="848"/>
      <c r="J196" s="848">
        <v>0</v>
      </c>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row>
    <row r="197" spans="2:142" s="833" customFormat="1" ht="13.5" hidden="1" outlineLevel="1">
      <c r="B197" s="1000"/>
      <c r="D197" s="881" t="s">
        <v>200</v>
      </c>
      <c r="E197" s="1001"/>
      <c r="F197" s="1008"/>
      <c r="G197" s="1001"/>
      <c r="H197" s="848">
        <f t="shared" si="129"/>
        <v>0</v>
      </c>
      <c r="I197" s="848"/>
      <c r="J197" s="848">
        <v>0</v>
      </c>
      <c r="K197" s="848">
        <v>0</v>
      </c>
      <c r="L197" s="848">
        <v>0</v>
      </c>
      <c r="M197" s="848">
        <v>0</v>
      </c>
      <c r="N197" s="848">
        <v>0</v>
      </c>
      <c r="O197" s="848">
        <v>0</v>
      </c>
      <c r="P197" s="848">
        <v>0</v>
      </c>
      <c r="Q197" s="848">
        <v>0</v>
      </c>
      <c r="R197" s="848">
        <v>0</v>
      </c>
      <c r="S197" s="848">
        <v>0</v>
      </c>
      <c r="T197" s="848">
        <v>0</v>
      </c>
      <c r="U197" s="848">
        <v>0</v>
      </c>
      <c r="V197" s="848">
        <v>0</v>
      </c>
      <c r="W197" s="848">
        <v>0</v>
      </c>
      <c r="X197" s="848">
        <v>0</v>
      </c>
      <c r="Y197" s="848">
        <v>0</v>
      </c>
      <c r="Z197" s="848">
        <v>0</v>
      </c>
      <c r="AA197" s="848">
        <v>0</v>
      </c>
      <c r="AB197" s="848">
        <v>0</v>
      </c>
      <c r="AC197" s="848">
        <v>0</v>
      </c>
      <c r="AD197" s="848">
        <v>0</v>
      </c>
      <c r="AE197" s="848">
        <v>0</v>
      </c>
      <c r="AF197" s="848">
        <v>0</v>
      </c>
      <c r="AG197" s="848">
        <v>0</v>
      </c>
      <c r="AH197" s="848">
        <v>0</v>
      </c>
      <c r="AI197" s="848">
        <v>0</v>
      </c>
      <c r="AJ197" s="848">
        <v>0</v>
      </c>
      <c r="AK197" s="848">
        <v>0</v>
      </c>
      <c r="AL197" s="848">
        <v>0</v>
      </c>
      <c r="AM197" s="848">
        <v>0</v>
      </c>
      <c r="AN197" s="848">
        <v>0</v>
      </c>
      <c r="AO197" s="848">
        <v>0</v>
      </c>
      <c r="AP197" s="848">
        <v>0</v>
      </c>
      <c r="AQ197" s="848">
        <v>0</v>
      </c>
      <c r="AR197" s="848">
        <v>0</v>
      </c>
      <c r="AS197" s="848">
        <v>0</v>
      </c>
      <c r="AT197" s="848">
        <v>0</v>
      </c>
      <c r="AU197" s="848">
        <v>0</v>
      </c>
      <c r="AV197" s="848">
        <v>0</v>
      </c>
      <c r="AW197" s="848">
        <v>0</v>
      </c>
      <c r="AX197" s="848">
        <v>0</v>
      </c>
      <c r="AY197" s="848">
        <v>0</v>
      </c>
      <c r="AZ197" s="848">
        <v>0</v>
      </c>
      <c r="BA197" s="848">
        <v>0</v>
      </c>
      <c r="BB197" s="848">
        <v>0</v>
      </c>
      <c r="BC197" s="848">
        <v>0</v>
      </c>
      <c r="BD197" s="848">
        <v>0</v>
      </c>
      <c r="BE197" s="848">
        <v>0</v>
      </c>
      <c r="BF197" s="848">
        <v>0</v>
      </c>
      <c r="BG197" s="848">
        <v>0</v>
      </c>
      <c r="BH197" s="848">
        <v>0</v>
      </c>
      <c r="BI197" s="848">
        <v>0</v>
      </c>
      <c r="BJ197" s="848">
        <v>0</v>
      </c>
      <c r="BK197" s="848">
        <v>0</v>
      </c>
      <c r="BL197" s="848">
        <v>0</v>
      </c>
      <c r="BM197" s="848">
        <v>0</v>
      </c>
      <c r="BN197" s="848">
        <v>0</v>
      </c>
      <c r="BO197" s="848">
        <v>0</v>
      </c>
      <c r="BP197" s="848">
        <v>0</v>
      </c>
      <c r="BQ197" s="848">
        <v>0</v>
      </c>
      <c r="BR197" s="848">
        <v>0</v>
      </c>
      <c r="BS197" s="848">
        <v>0</v>
      </c>
      <c r="BT197" s="848">
        <v>0</v>
      </c>
      <c r="BU197" s="848">
        <v>0</v>
      </c>
      <c r="BV197" s="848">
        <v>0</v>
      </c>
      <c r="BW197" s="848">
        <v>0</v>
      </c>
      <c r="BX197" s="848">
        <v>0</v>
      </c>
      <c r="BY197" s="848">
        <v>0</v>
      </c>
      <c r="BZ197" s="848">
        <v>0</v>
      </c>
      <c r="CA197" s="848">
        <v>0</v>
      </c>
      <c r="CB197" s="848">
        <v>0</v>
      </c>
      <c r="CC197" s="848">
        <v>0</v>
      </c>
      <c r="CD197" s="848">
        <v>0</v>
      </c>
      <c r="CE197" s="848">
        <v>0</v>
      </c>
      <c r="CF197" s="848">
        <v>0</v>
      </c>
      <c r="CG197" s="848">
        <v>0</v>
      </c>
      <c r="CH197" s="848">
        <v>0</v>
      </c>
      <c r="CI197" s="848">
        <v>0</v>
      </c>
      <c r="CJ197" s="848">
        <v>0</v>
      </c>
      <c r="CK197" s="848">
        <v>0</v>
      </c>
      <c r="CL197" s="848">
        <v>0</v>
      </c>
      <c r="CM197" s="848">
        <v>0</v>
      </c>
      <c r="CN197" s="848">
        <v>0</v>
      </c>
      <c r="CO197" s="848">
        <v>0</v>
      </c>
      <c r="CP197" s="848">
        <v>0</v>
      </c>
      <c r="CQ197" s="848">
        <v>0</v>
      </c>
      <c r="CR197" s="848">
        <v>0</v>
      </c>
      <c r="CS197" s="848">
        <v>0</v>
      </c>
      <c r="CT197" s="848">
        <v>0</v>
      </c>
      <c r="CU197" s="848">
        <v>0</v>
      </c>
      <c r="CV197" s="848">
        <v>0</v>
      </c>
      <c r="CW197" s="848">
        <v>0</v>
      </c>
      <c r="CX197" s="848">
        <v>0</v>
      </c>
      <c r="CY197" s="848">
        <v>0</v>
      </c>
      <c r="CZ197" s="848">
        <v>0</v>
      </c>
      <c r="DA197" s="848">
        <v>0</v>
      </c>
      <c r="DB197" s="848">
        <v>0</v>
      </c>
      <c r="DC197" s="848">
        <v>0</v>
      </c>
      <c r="DD197" s="848">
        <v>0</v>
      </c>
      <c r="DE197" s="848">
        <v>0</v>
      </c>
      <c r="DF197" s="848">
        <v>0</v>
      </c>
      <c r="DG197" s="848">
        <v>0</v>
      </c>
      <c r="DH197" s="848">
        <v>0</v>
      </c>
      <c r="DI197" s="848">
        <v>0</v>
      </c>
      <c r="DJ197" s="848">
        <v>0</v>
      </c>
      <c r="DK197" s="848">
        <v>0</v>
      </c>
      <c r="DL197" s="848">
        <v>0</v>
      </c>
      <c r="DM197" s="848">
        <v>0</v>
      </c>
      <c r="DN197" s="848">
        <v>0</v>
      </c>
      <c r="DO197" s="848">
        <v>0</v>
      </c>
      <c r="DP197" s="848">
        <v>0</v>
      </c>
      <c r="DQ197" s="848">
        <v>0</v>
      </c>
      <c r="DR197" s="848">
        <v>0</v>
      </c>
      <c r="DS197" s="848">
        <v>0</v>
      </c>
      <c r="DT197" s="848">
        <v>0</v>
      </c>
      <c r="DU197" s="848">
        <v>0</v>
      </c>
      <c r="DV197" s="848">
        <v>0</v>
      </c>
      <c r="DW197" s="848">
        <v>0</v>
      </c>
      <c r="DX197" s="848">
        <v>0</v>
      </c>
      <c r="DY197" s="848">
        <v>0</v>
      </c>
      <c r="DZ197" s="848">
        <v>0</v>
      </c>
      <c r="EA197" s="848">
        <v>0</v>
      </c>
      <c r="EB197" s="848">
        <v>0</v>
      </c>
      <c r="EC197" s="848">
        <v>0</v>
      </c>
      <c r="ED197" s="848">
        <v>0</v>
      </c>
      <c r="EE197" s="848">
        <v>0</v>
      </c>
      <c r="EF197" s="848">
        <v>0</v>
      </c>
      <c r="EG197" s="848">
        <v>0</v>
      </c>
      <c r="EH197" s="848">
        <v>0</v>
      </c>
      <c r="EI197" s="848">
        <v>0</v>
      </c>
      <c r="EJ197" s="848">
        <v>0</v>
      </c>
      <c r="EK197" s="848">
        <v>0</v>
      </c>
      <c r="EL197" s="848">
        <v>0</v>
      </c>
    </row>
    <row r="198" spans="2:142" s="833" customFormat="1" ht="13.5" hidden="1" outlineLevel="1">
      <c r="B198" s="1000"/>
      <c r="D198" s="881" t="str">
        <f>C98</f>
        <v>감자대금의 지급 [2종 종류주 의제배당]</v>
      </c>
      <c r="E198" s="1001"/>
      <c r="F198" s="1008"/>
      <c r="G198" s="1001"/>
      <c r="H198" s="848">
        <f>SUM(J198:EL198)</f>
        <v>0</v>
      </c>
      <c r="I198" s="848"/>
      <c r="J198" s="848">
        <f t="shared" ref="J198:BU199" si="131">J98</f>
        <v>0</v>
      </c>
      <c r="K198" s="848">
        <f t="shared" si="131"/>
        <v>0</v>
      </c>
      <c r="L198" s="848">
        <f t="shared" si="131"/>
        <v>0</v>
      </c>
      <c r="M198" s="848">
        <f t="shared" si="131"/>
        <v>0</v>
      </c>
      <c r="N198" s="848">
        <f t="shared" si="131"/>
        <v>0</v>
      </c>
      <c r="O198" s="848">
        <f t="shared" si="131"/>
        <v>0</v>
      </c>
      <c r="P198" s="848">
        <f t="shared" si="131"/>
        <v>0</v>
      </c>
      <c r="Q198" s="848">
        <f t="shared" si="131"/>
        <v>0</v>
      </c>
      <c r="R198" s="848">
        <f t="shared" si="131"/>
        <v>0</v>
      </c>
      <c r="S198" s="848">
        <f t="shared" si="131"/>
        <v>0</v>
      </c>
      <c r="T198" s="848">
        <f t="shared" si="131"/>
        <v>0</v>
      </c>
      <c r="U198" s="848">
        <f t="shared" si="131"/>
        <v>0</v>
      </c>
      <c r="V198" s="848">
        <f t="shared" si="131"/>
        <v>0</v>
      </c>
      <c r="W198" s="848">
        <f t="shared" si="131"/>
        <v>0</v>
      </c>
      <c r="X198" s="848">
        <f t="shared" si="131"/>
        <v>0</v>
      </c>
      <c r="Y198" s="848">
        <f t="shared" si="131"/>
        <v>0</v>
      </c>
      <c r="Z198" s="848">
        <f t="shared" si="131"/>
        <v>0</v>
      </c>
      <c r="AA198" s="848">
        <f t="shared" si="131"/>
        <v>0</v>
      </c>
      <c r="AB198" s="848">
        <f t="shared" si="131"/>
        <v>0</v>
      </c>
      <c r="AC198" s="848">
        <f t="shared" si="131"/>
        <v>0</v>
      </c>
      <c r="AD198" s="848">
        <f t="shared" si="131"/>
        <v>0</v>
      </c>
      <c r="AE198" s="848">
        <f t="shared" si="131"/>
        <v>0</v>
      </c>
      <c r="AF198" s="848">
        <f t="shared" si="131"/>
        <v>0</v>
      </c>
      <c r="AG198" s="848">
        <f t="shared" si="131"/>
        <v>0</v>
      </c>
      <c r="AH198" s="848">
        <f t="shared" si="131"/>
        <v>0</v>
      </c>
      <c r="AI198" s="848">
        <f t="shared" si="131"/>
        <v>0</v>
      </c>
      <c r="AJ198" s="848">
        <f t="shared" si="131"/>
        <v>0</v>
      </c>
      <c r="AK198" s="848">
        <f t="shared" si="131"/>
        <v>0</v>
      </c>
      <c r="AL198" s="848">
        <f t="shared" si="131"/>
        <v>0</v>
      </c>
      <c r="AM198" s="848">
        <f t="shared" si="131"/>
        <v>0</v>
      </c>
      <c r="AN198" s="848">
        <f t="shared" si="131"/>
        <v>0</v>
      </c>
      <c r="AO198" s="848">
        <f t="shared" si="131"/>
        <v>0</v>
      </c>
      <c r="AP198" s="848">
        <f t="shared" si="131"/>
        <v>0</v>
      </c>
      <c r="AQ198" s="848">
        <f t="shared" si="131"/>
        <v>0</v>
      </c>
      <c r="AR198" s="848">
        <f t="shared" si="131"/>
        <v>0</v>
      </c>
      <c r="AS198" s="848">
        <f t="shared" si="131"/>
        <v>0</v>
      </c>
      <c r="AT198" s="848">
        <f t="shared" si="131"/>
        <v>0</v>
      </c>
      <c r="AU198" s="848">
        <f t="shared" si="131"/>
        <v>0</v>
      </c>
      <c r="AV198" s="848">
        <f t="shared" si="131"/>
        <v>0</v>
      </c>
      <c r="AW198" s="848">
        <f t="shared" si="131"/>
        <v>0</v>
      </c>
      <c r="AX198" s="848">
        <f t="shared" si="131"/>
        <v>0</v>
      </c>
      <c r="AY198" s="848">
        <f t="shared" si="131"/>
        <v>0</v>
      </c>
      <c r="AZ198" s="848">
        <f t="shared" si="131"/>
        <v>0</v>
      </c>
      <c r="BA198" s="848">
        <f t="shared" si="131"/>
        <v>0</v>
      </c>
      <c r="BB198" s="848">
        <f t="shared" si="131"/>
        <v>0</v>
      </c>
      <c r="BC198" s="848">
        <f t="shared" si="131"/>
        <v>0</v>
      </c>
      <c r="BD198" s="848">
        <f t="shared" si="131"/>
        <v>0</v>
      </c>
      <c r="BE198" s="848">
        <f t="shared" si="131"/>
        <v>0</v>
      </c>
      <c r="BF198" s="848">
        <f t="shared" si="131"/>
        <v>0</v>
      </c>
      <c r="BG198" s="848">
        <f t="shared" si="131"/>
        <v>0</v>
      </c>
      <c r="BH198" s="848">
        <f t="shared" si="131"/>
        <v>0</v>
      </c>
      <c r="BI198" s="848">
        <f t="shared" si="131"/>
        <v>0</v>
      </c>
      <c r="BJ198" s="848">
        <f t="shared" si="131"/>
        <v>0</v>
      </c>
      <c r="BK198" s="848">
        <f t="shared" si="131"/>
        <v>0</v>
      </c>
      <c r="BL198" s="848">
        <f t="shared" si="131"/>
        <v>0</v>
      </c>
      <c r="BM198" s="848">
        <f t="shared" si="131"/>
        <v>0</v>
      </c>
      <c r="BN198" s="848">
        <f t="shared" si="131"/>
        <v>0</v>
      </c>
      <c r="BO198" s="848">
        <f t="shared" si="131"/>
        <v>0</v>
      </c>
      <c r="BP198" s="848">
        <f t="shared" si="131"/>
        <v>0</v>
      </c>
      <c r="BQ198" s="848">
        <f t="shared" si="131"/>
        <v>0</v>
      </c>
      <c r="BR198" s="848">
        <f t="shared" si="131"/>
        <v>0</v>
      </c>
      <c r="BS198" s="848">
        <f t="shared" si="131"/>
        <v>0</v>
      </c>
      <c r="BT198" s="848">
        <f t="shared" si="131"/>
        <v>0</v>
      </c>
      <c r="BU198" s="848">
        <f t="shared" si="131"/>
        <v>0</v>
      </c>
      <c r="BV198" s="848">
        <f t="shared" ref="BV198:EG199" si="132">BV98</f>
        <v>0</v>
      </c>
      <c r="BW198" s="848">
        <f t="shared" si="132"/>
        <v>0</v>
      </c>
      <c r="BX198" s="848">
        <f t="shared" si="132"/>
        <v>0</v>
      </c>
      <c r="BY198" s="848">
        <f t="shared" si="132"/>
        <v>0</v>
      </c>
      <c r="BZ198" s="848">
        <f t="shared" si="132"/>
        <v>0</v>
      </c>
      <c r="CA198" s="848">
        <f t="shared" si="132"/>
        <v>0</v>
      </c>
      <c r="CB198" s="848">
        <f t="shared" si="132"/>
        <v>0</v>
      </c>
      <c r="CC198" s="848">
        <f t="shared" si="132"/>
        <v>0</v>
      </c>
      <c r="CD198" s="848">
        <f t="shared" si="132"/>
        <v>0</v>
      </c>
      <c r="CE198" s="848">
        <f t="shared" si="132"/>
        <v>0</v>
      </c>
      <c r="CF198" s="848">
        <f t="shared" si="132"/>
        <v>0</v>
      </c>
      <c r="CG198" s="848">
        <f t="shared" si="132"/>
        <v>0</v>
      </c>
      <c r="CH198" s="848">
        <f t="shared" si="132"/>
        <v>0</v>
      </c>
      <c r="CI198" s="848">
        <f t="shared" si="132"/>
        <v>0</v>
      </c>
      <c r="CJ198" s="848">
        <f t="shared" si="132"/>
        <v>0</v>
      </c>
      <c r="CK198" s="848">
        <f t="shared" si="132"/>
        <v>0</v>
      </c>
      <c r="CL198" s="848">
        <f t="shared" si="132"/>
        <v>0</v>
      </c>
      <c r="CM198" s="848">
        <f t="shared" si="132"/>
        <v>0</v>
      </c>
      <c r="CN198" s="848">
        <f t="shared" si="132"/>
        <v>0</v>
      </c>
      <c r="CO198" s="848">
        <f t="shared" si="132"/>
        <v>0</v>
      </c>
      <c r="CP198" s="848">
        <f t="shared" si="132"/>
        <v>0</v>
      </c>
      <c r="CQ198" s="848">
        <f t="shared" si="132"/>
        <v>0</v>
      </c>
      <c r="CR198" s="848">
        <f t="shared" si="132"/>
        <v>0</v>
      </c>
      <c r="CS198" s="848">
        <f t="shared" si="132"/>
        <v>0</v>
      </c>
      <c r="CT198" s="848">
        <f t="shared" si="132"/>
        <v>0</v>
      </c>
      <c r="CU198" s="848">
        <f t="shared" si="132"/>
        <v>0</v>
      </c>
      <c r="CV198" s="848">
        <f t="shared" si="132"/>
        <v>0</v>
      </c>
      <c r="CW198" s="848">
        <f t="shared" si="132"/>
        <v>0</v>
      </c>
      <c r="CX198" s="848">
        <f t="shared" si="132"/>
        <v>0</v>
      </c>
      <c r="CY198" s="848">
        <f t="shared" si="132"/>
        <v>0</v>
      </c>
      <c r="CZ198" s="848">
        <f t="shared" si="132"/>
        <v>0</v>
      </c>
      <c r="DA198" s="848">
        <f t="shared" si="132"/>
        <v>0</v>
      </c>
      <c r="DB198" s="848">
        <f t="shared" si="132"/>
        <v>0</v>
      </c>
      <c r="DC198" s="848">
        <f t="shared" si="132"/>
        <v>0</v>
      </c>
      <c r="DD198" s="848">
        <f t="shared" si="132"/>
        <v>0</v>
      </c>
      <c r="DE198" s="848">
        <f t="shared" si="132"/>
        <v>0</v>
      </c>
      <c r="DF198" s="848">
        <f t="shared" si="132"/>
        <v>0</v>
      </c>
      <c r="DG198" s="848">
        <f t="shared" si="132"/>
        <v>0</v>
      </c>
      <c r="DH198" s="848">
        <f t="shared" si="132"/>
        <v>0</v>
      </c>
      <c r="DI198" s="848">
        <f t="shared" si="132"/>
        <v>0</v>
      </c>
      <c r="DJ198" s="848">
        <f t="shared" si="132"/>
        <v>0</v>
      </c>
      <c r="DK198" s="848">
        <f t="shared" si="132"/>
        <v>0</v>
      </c>
      <c r="DL198" s="848">
        <f t="shared" si="132"/>
        <v>0</v>
      </c>
      <c r="DM198" s="848">
        <f t="shared" si="132"/>
        <v>0</v>
      </c>
      <c r="DN198" s="848">
        <f t="shared" si="132"/>
        <v>0</v>
      </c>
      <c r="DO198" s="848">
        <f t="shared" si="132"/>
        <v>0</v>
      </c>
      <c r="DP198" s="848">
        <f t="shared" si="132"/>
        <v>0</v>
      </c>
      <c r="DQ198" s="848">
        <f t="shared" si="132"/>
        <v>0</v>
      </c>
      <c r="DR198" s="848">
        <f t="shared" si="132"/>
        <v>0</v>
      </c>
      <c r="DS198" s="848">
        <f t="shared" si="132"/>
        <v>0</v>
      </c>
      <c r="DT198" s="848">
        <f t="shared" si="132"/>
        <v>0</v>
      </c>
      <c r="DU198" s="848">
        <f t="shared" si="132"/>
        <v>0</v>
      </c>
      <c r="DV198" s="848">
        <f t="shared" si="132"/>
        <v>0</v>
      </c>
      <c r="DW198" s="848">
        <f t="shared" si="132"/>
        <v>0</v>
      </c>
      <c r="DX198" s="848">
        <f t="shared" si="132"/>
        <v>0</v>
      </c>
      <c r="DY198" s="848">
        <f t="shared" si="132"/>
        <v>0</v>
      </c>
      <c r="DZ198" s="848">
        <f t="shared" si="132"/>
        <v>0</v>
      </c>
      <c r="EA198" s="848">
        <f t="shared" si="132"/>
        <v>0</v>
      </c>
      <c r="EB198" s="848">
        <f t="shared" si="132"/>
        <v>0</v>
      </c>
      <c r="EC198" s="848">
        <f t="shared" si="132"/>
        <v>0</v>
      </c>
      <c r="ED198" s="848">
        <f t="shared" si="132"/>
        <v>0</v>
      </c>
      <c r="EE198" s="848">
        <f t="shared" si="132"/>
        <v>0</v>
      </c>
      <c r="EF198" s="848">
        <f t="shared" si="132"/>
        <v>0</v>
      </c>
      <c r="EG198" s="848">
        <f t="shared" si="132"/>
        <v>0</v>
      </c>
      <c r="EH198" s="848">
        <f t="shared" ref="EH198:EL199" si="133">EH98</f>
        <v>0</v>
      </c>
      <c r="EI198" s="848">
        <f t="shared" si="133"/>
        <v>0</v>
      </c>
      <c r="EJ198" s="848">
        <f t="shared" si="133"/>
        <v>0</v>
      </c>
      <c r="EK198" s="848">
        <f t="shared" si="133"/>
        <v>0</v>
      </c>
      <c r="EL198" s="848">
        <f t="shared" si="133"/>
        <v>0</v>
      </c>
    </row>
    <row r="199" spans="2:142" s="833" customFormat="1" ht="13.5" hidden="1" outlineLevel="1">
      <c r="B199" s="1000"/>
      <c r="D199" s="881" t="str">
        <f>C99</f>
        <v>감자대금의 지급 [2종 종류주 납입원본]</v>
      </c>
      <c r="E199" s="1001"/>
      <c r="F199" s="1008"/>
      <c r="G199" s="1001"/>
      <c r="H199" s="848">
        <f>SUM(J199:EL199)</f>
        <v>0</v>
      </c>
      <c r="I199" s="848"/>
      <c r="J199" s="848">
        <f t="shared" si="131"/>
        <v>0</v>
      </c>
      <c r="K199" s="848">
        <f t="shared" si="131"/>
        <v>0</v>
      </c>
      <c r="L199" s="848">
        <f t="shared" si="131"/>
        <v>0</v>
      </c>
      <c r="M199" s="848">
        <f t="shared" si="131"/>
        <v>0</v>
      </c>
      <c r="N199" s="848">
        <f t="shared" si="131"/>
        <v>0</v>
      </c>
      <c r="O199" s="848">
        <f t="shared" si="131"/>
        <v>0</v>
      </c>
      <c r="P199" s="848">
        <f t="shared" si="131"/>
        <v>0</v>
      </c>
      <c r="Q199" s="848">
        <f t="shared" si="131"/>
        <v>0</v>
      </c>
      <c r="R199" s="848">
        <f t="shared" si="131"/>
        <v>0</v>
      </c>
      <c r="S199" s="848">
        <f t="shared" si="131"/>
        <v>0</v>
      </c>
      <c r="T199" s="848">
        <f t="shared" si="131"/>
        <v>0</v>
      </c>
      <c r="U199" s="848">
        <f t="shared" si="131"/>
        <v>0</v>
      </c>
      <c r="V199" s="848">
        <f t="shared" si="131"/>
        <v>0</v>
      </c>
      <c r="W199" s="848">
        <f t="shared" si="131"/>
        <v>0</v>
      </c>
      <c r="X199" s="848">
        <f t="shared" si="131"/>
        <v>0</v>
      </c>
      <c r="Y199" s="848">
        <f t="shared" si="131"/>
        <v>0</v>
      </c>
      <c r="Z199" s="848">
        <f t="shared" si="131"/>
        <v>0</v>
      </c>
      <c r="AA199" s="848">
        <f t="shared" si="131"/>
        <v>0</v>
      </c>
      <c r="AB199" s="848">
        <f t="shared" si="131"/>
        <v>0</v>
      </c>
      <c r="AC199" s="848">
        <f t="shared" si="131"/>
        <v>0</v>
      </c>
      <c r="AD199" s="848">
        <f t="shared" si="131"/>
        <v>0</v>
      </c>
      <c r="AE199" s="848">
        <f t="shared" si="131"/>
        <v>0</v>
      </c>
      <c r="AF199" s="848">
        <f t="shared" si="131"/>
        <v>0</v>
      </c>
      <c r="AG199" s="848">
        <f t="shared" si="131"/>
        <v>0</v>
      </c>
      <c r="AH199" s="848">
        <f t="shared" si="131"/>
        <v>0</v>
      </c>
      <c r="AI199" s="848">
        <f t="shared" si="131"/>
        <v>0</v>
      </c>
      <c r="AJ199" s="848">
        <f t="shared" si="131"/>
        <v>0</v>
      </c>
      <c r="AK199" s="848">
        <f t="shared" si="131"/>
        <v>0</v>
      </c>
      <c r="AL199" s="848">
        <f t="shared" si="131"/>
        <v>0</v>
      </c>
      <c r="AM199" s="848">
        <f t="shared" si="131"/>
        <v>0</v>
      </c>
      <c r="AN199" s="848">
        <f t="shared" si="131"/>
        <v>0</v>
      </c>
      <c r="AO199" s="848">
        <f t="shared" si="131"/>
        <v>0</v>
      </c>
      <c r="AP199" s="848">
        <f t="shared" si="131"/>
        <v>0</v>
      </c>
      <c r="AQ199" s="848">
        <f t="shared" si="131"/>
        <v>0</v>
      </c>
      <c r="AR199" s="848">
        <f t="shared" si="131"/>
        <v>0</v>
      </c>
      <c r="AS199" s="848">
        <f t="shared" si="131"/>
        <v>0</v>
      </c>
      <c r="AT199" s="848">
        <f t="shared" si="131"/>
        <v>0</v>
      </c>
      <c r="AU199" s="848">
        <f t="shared" si="131"/>
        <v>0</v>
      </c>
      <c r="AV199" s="848">
        <f t="shared" si="131"/>
        <v>0</v>
      </c>
      <c r="AW199" s="848">
        <f t="shared" si="131"/>
        <v>0</v>
      </c>
      <c r="AX199" s="848">
        <f t="shared" si="131"/>
        <v>0</v>
      </c>
      <c r="AY199" s="848">
        <f t="shared" si="131"/>
        <v>0</v>
      </c>
      <c r="AZ199" s="848">
        <f t="shared" si="131"/>
        <v>0</v>
      </c>
      <c r="BA199" s="848">
        <f t="shared" si="131"/>
        <v>0</v>
      </c>
      <c r="BB199" s="848">
        <f t="shared" si="131"/>
        <v>0</v>
      </c>
      <c r="BC199" s="848">
        <f t="shared" si="131"/>
        <v>0</v>
      </c>
      <c r="BD199" s="848">
        <f t="shared" si="131"/>
        <v>0</v>
      </c>
      <c r="BE199" s="848">
        <f t="shared" si="131"/>
        <v>0</v>
      </c>
      <c r="BF199" s="848">
        <f t="shared" si="131"/>
        <v>0</v>
      </c>
      <c r="BG199" s="848">
        <f t="shared" si="131"/>
        <v>0</v>
      </c>
      <c r="BH199" s="848">
        <f t="shared" si="131"/>
        <v>0</v>
      </c>
      <c r="BI199" s="848">
        <f t="shared" si="131"/>
        <v>0</v>
      </c>
      <c r="BJ199" s="848">
        <f t="shared" si="131"/>
        <v>0</v>
      </c>
      <c r="BK199" s="848">
        <f t="shared" si="131"/>
        <v>0</v>
      </c>
      <c r="BL199" s="848">
        <f t="shared" si="131"/>
        <v>0</v>
      </c>
      <c r="BM199" s="848">
        <f t="shared" si="131"/>
        <v>0</v>
      </c>
      <c r="BN199" s="848">
        <f t="shared" si="131"/>
        <v>0</v>
      </c>
      <c r="BO199" s="848">
        <f t="shared" si="131"/>
        <v>0</v>
      </c>
      <c r="BP199" s="848">
        <f t="shared" si="131"/>
        <v>0</v>
      </c>
      <c r="BQ199" s="848">
        <f t="shared" si="131"/>
        <v>0</v>
      </c>
      <c r="BR199" s="848">
        <f t="shared" si="131"/>
        <v>0</v>
      </c>
      <c r="BS199" s="848">
        <f t="shared" si="131"/>
        <v>0</v>
      </c>
      <c r="BT199" s="848">
        <f t="shared" si="131"/>
        <v>0</v>
      </c>
      <c r="BU199" s="848">
        <f t="shared" si="131"/>
        <v>0</v>
      </c>
      <c r="BV199" s="848">
        <f t="shared" si="132"/>
        <v>0</v>
      </c>
      <c r="BW199" s="848">
        <f t="shared" si="132"/>
        <v>0</v>
      </c>
      <c r="BX199" s="848">
        <f t="shared" si="132"/>
        <v>0</v>
      </c>
      <c r="BY199" s="848">
        <f t="shared" si="132"/>
        <v>0</v>
      </c>
      <c r="BZ199" s="848">
        <f t="shared" si="132"/>
        <v>0</v>
      </c>
      <c r="CA199" s="848">
        <f t="shared" si="132"/>
        <v>0</v>
      </c>
      <c r="CB199" s="848">
        <f t="shared" si="132"/>
        <v>0</v>
      </c>
      <c r="CC199" s="848">
        <f t="shared" si="132"/>
        <v>0</v>
      </c>
      <c r="CD199" s="848">
        <f t="shared" si="132"/>
        <v>0</v>
      </c>
      <c r="CE199" s="848">
        <f t="shared" si="132"/>
        <v>0</v>
      </c>
      <c r="CF199" s="848">
        <f t="shared" si="132"/>
        <v>0</v>
      </c>
      <c r="CG199" s="848">
        <f t="shared" si="132"/>
        <v>0</v>
      </c>
      <c r="CH199" s="848">
        <f t="shared" si="132"/>
        <v>0</v>
      </c>
      <c r="CI199" s="848">
        <f t="shared" si="132"/>
        <v>0</v>
      </c>
      <c r="CJ199" s="848">
        <f t="shared" si="132"/>
        <v>0</v>
      </c>
      <c r="CK199" s="848">
        <f t="shared" si="132"/>
        <v>0</v>
      </c>
      <c r="CL199" s="848">
        <f t="shared" si="132"/>
        <v>0</v>
      </c>
      <c r="CM199" s="848">
        <f t="shared" si="132"/>
        <v>0</v>
      </c>
      <c r="CN199" s="848">
        <f t="shared" si="132"/>
        <v>0</v>
      </c>
      <c r="CO199" s="848">
        <f t="shared" si="132"/>
        <v>0</v>
      </c>
      <c r="CP199" s="848">
        <f t="shared" si="132"/>
        <v>0</v>
      </c>
      <c r="CQ199" s="848">
        <f t="shared" si="132"/>
        <v>0</v>
      </c>
      <c r="CR199" s="848">
        <f t="shared" si="132"/>
        <v>0</v>
      </c>
      <c r="CS199" s="848">
        <f t="shared" si="132"/>
        <v>0</v>
      </c>
      <c r="CT199" s="848">
        <f t="shared" si="132"/>
        <v>0</v>
      </c>
      <c r="CU199" s="848">
        <f t="shared" si="132"/>
        <v>0</v>
      </c>
      <c r="CV199" s="848">
        <f t="shared" si="132"/>
        <v>0</v>
      </c>
      <c r="CW199" s="848">
        <f t="shared" si="132"/>
        <v>0</v>
      </c>
      <c r="CX199" s="848">
        <f t="shared" si="132"/>
        <v>0</v>
      </c>
      <c r="CY199" s="848">
        <f t="shared" si="132"/>
        <v>0</v>
      </c>
      <c r="CZ199" s="848">
        <f t="shared" si="132"/>
        <v>0</v>
      </c>
      <c r="DA199" s="848">
        <f t="shared" si="132"/>
        <v>0</v>
      </c>
      <c r="DB199" s="848">
        <f t="shared" si="132"/>
        <v>0</v>
      </c>
      <c r="DC199" s="848">
        <f t="shared" si="132"/>
        <v>0</v>
      </c>
      <c r="DD199" s="848">
        <f t="shared" si="132"/>
        <v>0</v>
      </c>
      <c r="DE199" s="848">
        <f t="shared" si="132"/>
        <v>0</v>
      </c>
      <c r="DF199" s="848">
        <f t="shared" si="132"/>
        <v>0</v>
      </c>
      <c r="DG199" s="848">
        <f t="shared" si="132"/>
        <v>0</v>
      </c>
      <c r="DH199" s="848">
        <f t="shared" si="132"/>
        <v>0</v>
      </c>
      <c r="DI199" s="848">
        <f t="shared" si="132"/>
        <v>0</v>
      </c>
      <c r="DJ199" s="848">
        <f t="shared" si="132"/>
        <v>0</v>
      </c>
      <c r="DK199" s="848">
        <f t="shared" si="132"/>
        <v>0</v>
      </c>
      <c r="DL199" s="848">
        <f t="shared" si="132"/>
        <v>0</v>
      </c>
      <c r="DM199" s="848">
        <f t="shared" si="132"/>
        <v>0</v>
      </c>
      <c r="DN199" s="848">
        <f t="shared" si="132"/>
        <v>0</v>
      </c>
      <c r="DO199" s="848">
        <f t="shared" si="132"/>
        <v>0</v>
      </c>
      <c r="DP199" s="848">
        <f t="shared" si="132"/>
        <v>0</v>
      </c>
      <c r="DQ199" s="848">
        <f t="shared" si="132"/>
        <v>0</v>
      </c>
      <c r="DR199" s="848">
        <f t="shared" si="132"/>
        <v>0</v>
      </c>
      <c r="DS199" s="848">
        <f t="shared" si="132"/>
        <v>0</v>
      </c>
      <c r="DT199" s="848">
        <f t="shared" si="132"/>
        <v>0</v>
      </c>
      <c r="DU199" s="848">
        <f t="shared" si="132"/>
        <v>0</v>
      </c>
      <c r="DV199" s="848">
        <f t="shared" si="132"/>
        <v>0</v>
      </c>
      <c r="DW199" s="848">
        <f t="shared" si="132"/>
        <v>0</v>
      </c>
      <c r="DX199" s="848">
        <f t="shared" si="132"/>
        <v>0</v>
      </c>
      <c r="DY199" s="848">
        <f t="shared" si="132"/>
        <v>0</v>
      </c>
      <c r="DZ199" s="848">
        <f t="shared" si="132"/>
        <v>0</v>
      </c>
      <c r="EA199" s="848">
        <f t="shared" si="132"/>
        <v>0</v>
      </c>
      <c r="EB199" s="848">
        <f t="shared" si="132"/>
        <v>0</v>
      </c>
      <c r="EC199" s="848">
        <f t="shared" si="132"/>
        <v>0</v>
      </c>
      <c r="ED199" s="848">
        <f t="shared" si="132"/>
        <v>0</v>
      </c>
      <c r="EE199" s="848">
        <f t="shared" si="132"/>
        <v>0</v>
      </c>
      <c r="EF199" s="848">
        <f t="shared" si="132"/>
        <v>0</v>
      </c>
      <c r="EG199" s="848">
        <f t="shared" si="132"/>
        <v>0</v>
      </c>
      <c r="EH199" s="848">
        <f t="shared" si="133"/>
        <v>0</v>
      </c>
      <c r="EI199" s="848">
        <f t="shared" si="133"/>
        <v>0</v>
      </c>
      <c r="EJ199" s="848">
        <f t="shared" si="133"/>
        <v>0</v>
      </c>
      <c r="EK199" s="848">
        <f t="shared" si="133"/>
        <v>0</v>
      </c>
      <c r="EL199" s="848">
        <f t="shared" si="133"/>
        <v>0</v>
      </c>
    </row>
    <row r="200" spans="2:142" s="833" customFormat="1" ht="13.5" hidden="1" outlineLevel="1">
      <c r="B200" s="1000"/>
      <c r="D200" s="881" t="s">
        <v>975</v>
      </c>
      <c r="E200" s="1001"/>
      <c r="F200" s="1008"/>
      <c r="G200" s="1001"/>
      <c r="H200" s="848">
        <f>SUM(J200:EL200)</f>
        <v>0</v>
      </c>
      <c r="I200" s="848"/>
      <c r="J200" s="848">
        <f t="shared" ref="J200:BU200" si="134">(-$H193-$H199)*(J$7=$G$7)</f>
        <v>0</v>
      </c>
      <c r="K200" s="848">
        <f t="shared" si="134"/>
        <v>0</v>
      </c>
      <c r="L200" s="848">
        <f t="shared" si="134"/>
        <v>0</v>
      </c>
      <c r="M200" s="848">
        <f t="shared" si="134"/>
        <v>0</v>
      </c>
      <c r="N200" s="848">
        <f t="shared" si="134"/>
        <v>0</v>
      </c>
      <c r="O200" s="848">
        <f t="shared" si="134"/>
        <v>0</v>
      </c>
      <c r="P200" s="848">
        <f t="shared" si="134"/>
        <v>0</v>
      </c>
      <c r="Q200" s="848">
        <f t="shared" si="134"/>
        <v>0</v>
      </c>
      <c r="R200" s="848">
        <f t="shared" si="134"/>
        <v>0</v>
      </c>
      <c r="S200" s="848">
        <f t="shared" si="134"/>
        <v>0</v>
      </c>
      <c r="T200" s="848">
        <f t="shared" si="134"/>
        <v>0</v>
      </c>
      <c r="U200" s="848">
        <f t="shared" si="134"/>
        <v>0</v>
      </c>
      <c r="V200" s="848">
        <f t="shared" si="134"/>
        <v>0</v>
      </c>
      <c r="W200" s="848">
        <f t="shared" si="134"/>
        <v>0</v>
      </c>
      <c r="X200" s="848">
        <f t="shared" si="134"/>
        <v>0</v>
      </c>
      <c r="Y200" s="848">
        <f t="shared" si="134"/>
        <v>0</v>
      </c>
      <c r="Z200" s="848">
        <f t="shared" si="134"/>
        <v>0</v>
      </c>
      <c r="AA200" s="848">
        <f t="shared" si="134"/>
        <v>0</v>
      </c>
      <c r="AB200" s="848">
        <f t="shared" si="134"/>
        <v>0</v>
      </c>
      <c r="AC200" s="848">
        <f t="shared" si="134"/>
        <v>0</v>
      </c>
      <c r="AD200" s="848">
        <f t="shared" si="134"/>
        <v>0</v>
      </c>
      <c r="AE200" s="848">
        <f t="shared" si="134"/>
        <v>0</v>
      </c>
      <c r="AF200" s="848">
        <f t="shared" si="134"/>
        <v>0</v>
      </c>
      <c r="AG200" s="848">
        <f t="shared" si="134"/>
        <v>0</v>
      </c>
      <c r="AH200" s="848">
        <f t="shared" si="134"/>
        <v>0</v>
      </c>
      <c r="AI200" s="848">
        <f t="shared" si="134"/>
        <v>0</v>
      </c>
      <c r="AJ200" s="848">
        <f t="shared" si="134"/>
        <v>0</v>
      </c>
      <c r="AK200" s="848">
        <f t="shared" si="134"/>
        <v>0</v>
      </c>
      <c r="AL200" s="848">
        <f t="shared" si="134"/>
        <v>0</v>
      </c>
      <c r="AM200" s="848">
        <f t="shared" si="134"/>
        <v>0</v>
      </c>
      <c r="AN200" s="848">
        <f t="shared" si="134"/>
        <v>0</v>
      </c>
      <c r="AO200" s="848">
        <f t="shared" si="134"/>
        <v>0</v>
      </c>
      <c r="AP200" s="848">
        <f t="shared" si="134"/>
        <v>0</v>
      </c>
      <c r="AQ200" s="848">
        <f t="shared" si="134"/>
        <v>0</v>
      </c>
      <c r="AR200" s="848">
        <f t="shared" si="134"/>
        <v>0</v>
      </c>
      <c r="AS200" s="848">
        <f t="shared" si="134"/>
        <v>0</v>
      </c>
      <c r="AT200" s="848">
        <f t="shared" si="134"/>
        <v>0</v>
      </c>
      <c r="AU200" s="848">
        <f t="shared" si="134"/>
        <v>0</v>
      </c>
      <c r="AV200" s="848">
        <f t="shared" si="134"/>
        <v>0</v>
      </c>
      <c r="AW200" s="848">
        <f t="shared" si="134"/>
        <v>0</v>
      </c>
      <c r="AX200" s="848">
        <f t="shared" si="134"/>
        <v>0</v>
      </c>
      <c r="AY200" s="848">
        <f t="shared" si="134"/>
        <v>0</v>
      </c>
      <c r="AZ200" s="848">
        <f t="shared" si="134"/>
        <v>0</v>
      </c>
      <c r="BA200" s="848">
        <f t="shared" si="134"/>
        <v>0</v>
      </c>
      <c r="BB200" s="848">
        <f t="shared" si="134"/>
        <v>0</v>
      </c>
      <c r="BC200" s="848">
        <f t="shared" si="134"/>
        <v>0</v>
      </c>
      <c r="BD200" s="848">
        <f t="shared" si="134"/>
        <v>0</v>
      </c>
      <c r="BE200" s="848">
        <f t="shared" si="134"/>
        <v>0</v>
      </c>
      <c r="BF200" s="848">
        <f t="shared" si="134"/>
        <v>0</v>
      </c>
      <c r="BG200" s="848">
        <f t="shared" si="134"/>
        <v>0</v>
      </c>
      <c r="BH200" s="848">
        <f t="shared" si="134"/>
        <v>0</v>
      </c>
      <c r="BI200" s="848">
        <f t="shared" si="134"/>
        <v>0</v>
      </c>
      <c r="BJ200" s="848">
        <f t="shared" si="134"/>
        <v>0</v>
      </c>
      <c r="BK200" s="848">
        <f t="shared" si="134"/>
        <v>0</v>
      </c>
      <c r="BL200" s="848">
        <f t="shared" si="134"/>
        <v>0</v>
      </c>
      <c r="BM200" s="848">
        <f t="shared" si="134"/>
        <v>0</v>
      </c>
      <c r="BN200" s="848">
        <f t="shared" si="134"/>
        <v>0</v>
      </c>
      <c r="BO200" s="848">
        <f t="shared" si="134"/>
        <v>0</v>
      </c>
      <c r="BP200" s="848">
        <f t="shared" si="134"/>
        <v>0</v>
      </c>
      <c r="BQ200" s="848">
        <f t="shared" si="134"/>
        <v>0</v>
      </c>
      <c r="BR200" s="848">
        <f t="shared" si="134"/>
        <v>0</v>
      </c>
      <c r="BS200" s="848">
        <f t="shared" si="134"/>
        <v>0</v>
      </c>
      <c r="BT200" s="848">
        <f t="shared" si="134"/>
        <v>0</v>
      </c>
      <c r="BU200" s="848">
        <f t="shared" si="134"/>
        <v>0</v>
      </c>
      <c r="BV200" s="848">
        <f t="shared" ref="BV200:EG200" si="135">(-$H193-$H199)*(BV$7=$G$7)</f>
        <v>0</v>
      </c>
      <c r="BW200" s="848">
        <f t="shared" si="135"/>
        <v>0</v>
      </c>
      <c r="BX200" s="848">
        <f t="shared" si="135"/>
        <v>0</v>
      </c>
      <c r="BY200" s="848">
        <f t="shared" si="135"/>
        <v>0</v>
      </c>
      <c r="BZ200" s="848">
        <f t="shared" si="135"/>
        <v>0</v>
      </c>
      <c r="CA200" s="848">
        <f t="shared" si="135"/>
        <v>0</v>
      </c>
      <c r="CB200" s="848">
        <f t="shared" si="135"/>
        <v>0</v>
      </c>
      <c r="CC200" s="848">
        <f t="shared" si="135"/>
        <v>0</v>
      </c>
      <c r="CD200" s="848">
        <f t="shared" si="135"/>
        <v>0</v>
      </c>
      <c r="CE200" s="848">
        <f t="shared" si="135"/>
        <v>0</v>
      </c>
      <c r="CF200" s="848">
        <f t="shared" si="135"/>
        <v>0</v>
      </c>
      <c r="CG200" s="848">
        <f t="shared" si="135"/>
        <v>0</v>
      </c>
      <c r="CH200" s="848">
        <f t="shared" si="135"/>
        <v>0</v>
      </c>
      <c r="CI200" s="848">
        <f t="shared" si="135"/>
        <v>0</v>
      </c>
      <c r="CJ200" s="848">
        <f t="shared" si="135"/>
        <v>0</v>
      </c>
      <c r="CK200" s="848">
        <f t="shared" si="135"/>
        <v>0</v>
      </c>
      <c r="CL200" s="848">
        <f t="shared" si="135"/>
        <v>0</v>
      </c>
      <c r="CM200" s="848">
        <f t="shared" si="135"/>
        <v>0</v>
      </c>
      <c r="CN200" s="848">
        <f t="shared" si="135"/>
        <v>0</v>
      </c>
      <c r="CO200" s="848">
        <f t="shared" si="135"/>
        <v>0</v>
      </c>
      <c r="CP200" s="848">
        <f t="shared" si="135"/>
        <v>0</v>
      </c>
      <c r="CQ200" s="848">
        <f t="shared" si="135"/>
        <v>0</v>
      </c>
      <c r="CR200" s="848">
        <f t="shared" si="135"/>
        <v>0</v>
      </c>
      <c r="CS200" s="848">
        <f t="shared" si="135"/>
        <v>0</v>
      </c>
      <c r="CT200" s="848">
        <f t="shared" si="135"/>
        <v>0</v>
      </c>
      <c r="CU200" s="848">
        <f t="shared" si="135"/>
        <v>0</v>
      </c>
      <c r="CV200" s="848">
        <f t="shared" si="135"/>
        <v>0</v>
      </c>
      <c r="CW200" s="848">
        <f t="shared" si="135"/>
        <v>0</v>
      </c>
      <c r="CX200" s="848">
        <f t="shared" si="135"/>
        <v>0</v>
      </c>
      <c r="CY200" s="848">
        <f t="shared" si="135"/>
        <v>0</v>
      </c>
      <c r="CZ200" s="848">
        <f t="shared" si="135"/>
        <v>0</v>
      </c>
      <c r="DA200" s="848">
        <f t="shared" si="135"/>
        <v>0</v>
      </c>
      <c r="DB200" s="848">
        <f t="shared" si="135"/>
        <v>0</v>
      </c>
      <c r="DC200" s="848">
        <f t="shared" si="135"/>
        <v>0</v>
      </c>
      <c r="DD200" s="848">
        <f t="shared" si="135"/>
        <v>0</v>
      </c>
      <c r="DE200" s="848">
        <f t="shared" si="135"/>
        <v>0</v>
      </c>
      <c r="DF200" s="848">
        <f t="shared" si="135"/>
        <v>0</v>
      </c>
      <c r="DG200" s="848">
        <f t="shared" si="135"/>
        <v>0</v>
      </c>
      <c r="DH200" s="848">
        <f t="shared" si="135"/>
        <v>0</v>
      </c>
      <c r="DI200" s="848">
        <f t="shared" si="135"/>
        <v>0</v>
      </c>
      <c r="DJ200" s="848">
        <f t="shared" si="135"/>
        <v>0</v>
      </c>
      <c r="DK200" s="848">
        <f t="shared" si="135"/>
        <v>0</v>
      </c>
      <c r="DL200" s="848">
        <f t="shared" si="135"/>
        <v>0</v>
      </c>
      <c r="DM200" s="848">
        <f t="shared" si="135"/>
        <v>0</v>
      </c>
      <c r="DN200" s="848">
        <f t="shared" si="135"/>
        <v>0</v>
      </c>
      <c r="DO200" s="848">
        <f t="shared" si="135"/>
        <v>0</v>
      </c>
      <c r="DP200" s="848">
        <f t="shared" si="135"/>
        <v>0</v>
      </c>
      <c r="DQ200" s="848">
        <f t="shared" si="135"/>
        <v>0</v>
      </c>
      <c r="DR200" s="848">
        <f t="shared" si="135"/>
        <v>0</v>
      </c>
      <c r="DS200" s="848">
        <f t="shared" si="135"/>
        <v>0</v>
      </c>
      <c r="DT200" s="848">
        <f t="shared" si="135"/>
        <v>0</v>
      </c>
      <c r="DU200" s="848">
        <f t="shared" si="135"/>
        <v>0</v>
      </c>
      <c r="DV200" s="848">
        <f t="shared" si="135"/>
        <v>0</v>
      </c>
      <c r="DW200" s="848">
        <f t="shared" si="135"/>
        <v>0</v>
      </c>
      <c r="DX200" s="848">
        <f t="shared" si="135"/>
        <v>0</v>
      </c>
      <c r="DY200" s="848">
        <f t="shared" si="135"/>
        <v>0</v>
      </c>
      <c r="DZ200" s="848">
        <f t="shared" si="135"/>
        <v>0</v>
      </c>
      <c r="EA200" s="848">
        <f t="shared" si="135"/>
        <v>0</v>
      </c>
      <c r="EB200" s="848">
        <f t="shared" si="135"/>
        <v>0</v>
      </c>
      <c r="EC200" s="848">
        <f t="shared" si="135"/>
        <v>0</v>
      </c>
      <c r="ED200" s="848">
        <f t="shared" si="135"/>
        <v>0</v>
      </c>
      <c r="EE200" s="848">
        <f t="shared" si="135"/>
        <v>0</v>
      </c>
      <c r="EF200" s="848">
        <f t="shared" si="135"/>
        <v>0</v>
      </c>
      <c r="EG200" s="848">
        <f t="shared" si="135"/>
        <v>0</v>
      </c>
      <c r="EH200" s="848">
        <f t="shared" ref="EH200:EL200" si="136">(-$H193-$H199)*(EH$7=$G$7)</f>
        <v>0</v>
      </c>
      <c r="EI200" s="848">
        <f t="shared" si="136"/>
        <v>0</v>
      </c>
      <c r="EJ200" s="848">
        <f t="shared" si="136"/>
        <v>0</v>
      </c>
      <c r="EK200" s="848">
        <f t="shared" si="136"/>
        <v>0</v>
      </c>
      <c r="EL200" s="848">
        <f t="shared" si="136"/>
        <v>0</v>
      </c>
    </row>
    <row r="201" spans="2:142" s="833" customFormat="1" ht="13.5" hidden="1" outlineLevel="1">
      <c r="B201" s="1000"/>
      <c r="D201" s="1001" t="s">
        <v>969</v>
      </c>
      <c r="E201" s="1001"/>
      <c r="F201" s="1008"/>
      <c r="G201" s="1001"/>
      <c r="H201" s="848">
        <f t="shared" si="129"/>
        <v>0</v>
      </c>
      <c r="I201" s="848"/>
      <c r="J201" s="848">
        <f t="shared" ref="J201:AO201" si="137">SUM(J193:J200)</f>
        <v>0</v>
      </c>
      <c r="K201" s="848">
        <f t="shared" si="137"/>
        <v>0</v>
      </c>
      <c r="L201" s="848">
        <f t="shared" si="137"/>
        <v>0</v>
      </c>
      <c r="M201" s="848">
        <f t="shared" si="137"/>
        <v>0</v>
      </c>
      <c r="N201" s="848">
        <f t="shared" si="137"/>
        <v>0</v>
      </c>
      <c r="O201" s="848">
        <f t="shared" si="137"/>
        <v>0</v>
      </c>
      <c r="P201" s="848">
        <f t="shared" si="137"/>
        <v>0</v>
      </c>
      <c r="Q201" s="848">
        <f t="shared" si="137"/>
        <v>0</v>
      </c>
      <c r="R201" s="848">
        <f t="shared" si="137"/>
        <v>0</v>
      </c>
      <c r="S201" s="848">
        <f t="shared" si="137"/>
        <v>0</v>
      </c>
      <c r="T201" s="848">
        <f t="shared" si="137"/>
        <v>0</v>
      </c>
      <c r="U201" s="848">
        <f t="shared" si="137"/>
        <v>0</v>
      </c>
      <c r="V201" s="848">
        <f t="shared" si="137"/>
        <v>0</v>
      </c>
      <c r="W201" s="848">
        <f t="shared" si="137"/>
        <v>0</v>
      </c>
      <c r="X201" s="848">
        <f t="shared" si="137"/>
        <v>0</v>
      </c>
      <c r="Y201" s="848">
        <f t="shared" si="137"/>
        <v>0</v>
      </c>
      <c r="Z201" s="848">
        <f t="shared" si="137"/>
        <v>0</v>
      </c>
      <c r="AA201" s="848">
        <f t="shared" si="137"/>
        <v>0</v>
      </c>
      <c r="AB201" s="848">
        <f t="shared" si="137"/>
        <v>0</v>
      </c>
      <c r="AC201" s="848">
        <f t="shared" si="137"/>
        <v>0</v>
      </c>
      <c r="AD201" s="848">
        <f t="shared" si="137"/>
        <v>0</v>
      </c>
      <c r="AE201" s="848">
        <f t="shared" si="137"/>
        <v>0</v>
      </c>
      <c r="AF201" s="848">
        <f t="shared" si="137"/>
        <v>0</v>
      </c>
      <c r="AG201" s="848">
        <f t="shared" si="137"/>
        <v>0</v>
      </c>
      <c r="AH201" s="848">
        <f t="shared" si="137"/>
        <v>0</v>
      </c>
      <c r="AI201" s="848">
        <f t="shared" si="137"/>
        <v>0</v>
      </c>
      <c r="AJ201" s="848">
        <f t="shared" si="137"/>
        <v>0</v>
      </c>
      <c r="AK201" s="848">
        <f t="shared" si="137"/>
        <v>0</v>
      </c>
      <c r="AL201" s="848">
        <f t="shared" si="137"/>
        <v>0</v>
      </c>
      <c r="AM201" s="848">
        <f t="shared" si="137"/>
        <v>0</v>
      </c>
      <c r="AN201" s="848">
        <f t="shared" si="137"/>
        <v>0</v>
      </c>
      <c r="AO201" s="848">
        <f t="shared" si="137"/>
        <v>0</v>
      </c>
      <c r="AP201" s="848">
        <f t="shared" ref="AP201:DA201" si="138">SUM(AP193:AP200)</f>
        <v>0</v>
      </c>
      <c r="AQ201" s="848">
        <f t="shared" si="138"/>
        <v>0</v>
      </c>
      <c r="AR201" s="848">
        <f t="shared" si="138"/>
        <v>0</v>
      </c>
      <c r="AS201" s="848">
        <f t="shared" si="138"/>
        <v>0</v>
      </c>
      <c r="AT201" s="848">
        <f t="shared" si="138"/>
        <v>0</v>
      </c>
      <c r="AU201" s="848">
        <f t="shared" si="138"/>
        <v>0</v>
      </c>
      <c r="AV201" s="848">
        <f t="shared" si="138"/>
        <v>0</v>
      </c>
      <c r="AW201" s="848">
        <f t="shared" si="138"/>
        <v>0</v>
      </c>
      <c r="AX201" s="848">
        <f t="shared" si="138"/>
        <v>0</v>
      </c>
      <c r="AY201" s="848">
        <f t="shared" si="138"/>
        <v>0</v>
      </c>
      <c r="AZ201" s="848">
        <f t="shared" si="138"/>
        <v>0</v>
      </c>
      <c r="BA201" s="848">
        <f t="shared" si="138"/>
        <v>0</v>
      </c>
      <c r="BB201" s="848">
        <f t="shared" si="138"/>
        <v>0</v>
      </c>
      <c r="BC201" s="848">
        <f t="shared" si="138"/>
        <v>0</v>
      </c>
      <c r="BD201" s="848">
        <f t="shared" si="138"/>
        <v>0</v>
      </c>
      <c r="BE201" s="848">
        <f t="shared" si="138"/>
        <v>0</v>
      </c>
      <c r="BF201" s="848">
        <f t="shared" si="138"/>
        <v>0</v>
      </c>
      <c r="BG201" s="848">
        <f t="shared" si="138"/>
        <v>0</v>
      </c>
      <c r="BH201" s="848">
        <f t="shared" si="138"/>
        <v>0</v>
      </c>
      <c r="BI201" s="848">
        <f t="shared" si="138"/>
        <v>0</v>
      </c>
      <c r="BJ201" s="848">
        <f t="shared" si="138"/>
        <v>0</v>
      </c>
      <c r="BK201" s="848">
        <f t="shared" si="138"/>
        <v>0</v>
      </c>
      <c r="BL201" s="848">
        <f t="shared" si="138"/>
        <v>0</v>
      </c>
      <c r="BM201" s="848">
        <f t="shared" si="138"/>
        <v>0</v>
      </c>
      <c r="BN201" s="848">
        <f t="shared" si="138"/>
        <v>0</v>
      </c>
      <c r="BO201" s="848">
        <f t="shared" si="138"/>
        <v>0</v>
      </c>
      <c r="BP201" s="848">
        <f t="shared" si="138"/>
        <v>0</v>
      </c>
      <c r="BQ201" s="848">
        <f t="shared" si="138"/>
        <v>0</v>
      </c>
      <c r="BR201" s="848">
        <f t="shared" si="138"/>
        <v>0</v>
      </c>
      <c r="BS201" s="848">
        <f t="shared" si="138"/>
        <v>0</v>
      </c>
      <c r="BT201" s="848">
        <f t="shared" si="138"/>
        <v>0</v>
      </c>
      <c r="BU201" s="848">
        <f t="shared" si="138"/>
        <v>0</v>
      </c>
      <c r="BV201" s="848">
        <f t="shared" si="138"/>
        <v>0</v>
      </c>
      <c r="BW201" s="848">
        <f t="shared" si="138"/>
        <v>0</v>
      </c>
      <c r="BX201" s="848">
        <f t="shared" si="138"/>
        <v>0</v>
      </c>
      <c r="BY201" s="848">
        <f t="shared" si="138"/>
        <v>0</v>
      </c>
      <c r="BZ201" s="848">
        <f t="shared" si="138"/>
        <v>0</v>
      </c>
      <c r="CA201" s="848">
        <f t="shared" si="138"/>
        <v>0</v>
      </c>
      <c r="CB201" s="848">
        <f t="shared" si="138"/>
        <v>0</v>
      </c>
      <c r="CC201" s="848">
        <f t="shared" si="138"/>
        <v>0</v>
      </c>
      <c r="CD201" s="848">
        <f t="shared" si="138"/>
        <v>0</v>
      </c>
      <c r="CE201" s="848">
        <f t="shared" si="138"/>
        <v>0</v>
      </c>
      <c r="CF201" s="848">
        <f t="shared" si="138"/>
        <v>0</v>
      </c>
      <c r="CG201" s="848">
        <f t="shared" si="138"/>
        <v>0</v>
      </c>
      <c r="CH201" s="848">
        <f t="shared" si="138"/>
        <v>0</v>
      </c>
      <c r="CI201" s="848">
        <f t="shared" si="138"/>
        <v>0</v>
      </c>
      <c r="CJ201" s="848">
        <f t="shared" si="138"/>
        <v>0</v>
      </c>
      <c r="CK201" s="848">
        <f t="shared" si="138"/>
        <v>0</v>
      </c>
      <c r="CL201" s="848">
        <f t="shared" si="138"/>
        <v>0</v>
      </c>
      <c r="CM201" s="848">
        <f t="shared" si="138"/>
        <v>0</v>
      </c>
      <c r="CN201" s="848">
        <f t="shared" si="138"/>
        <v>0</v>
      </c>
      <c r="CO201" s="848">
        <f t="shared" si="138"/>
        <v>0</v>
      </c>
      <c r="CP201" s="848">
        <f t="shared" si="138"/>
        <v>0</v>
      </c>
      <c r="CQ201" s="848">
        <f t="shared" si="138"/>
        <v>0</v>
      </c>
      <c r="CR201" s="848">
        <f t="shared" si="138"/>
        <v>0</v>
      </c>
      <c r="CS201" s="848">
        <f t="shared" si="138"/>
        <v>0</v>
      </c>
      <c r="CT201" s="848">
        <f t="shared" si="138"/>
        <v>0</v>
      </c>
      <c r="CU201" s="848">
        <f t="shared" si="138"/>
        <v>0</v>
      </c>
      <c r="CV201" s="848">
        <f t="shared" si="138"/>
        <v>0</v>
      </c>
      <c r="CW201" s="848">
        <f t="shared" si="138"/>
        <v>0</v>
      </c>
      <c r="CX201" s="848">
        <f t="shared" si="138"/>
        <v>0</v>
      </c>
      <c r="CY201" s="848">
        <f t="shared" si="138"/>
        <v>0</v>
      </c>
      <c r="CZ201" s="848">
        <f t="shared" si="138"/>
        <v>0</v>
      </c>
      <c r="DA201" s="848">
        <f t="shared" si="138"/>
        <v>0</v>
      </c>
      <c r="DB201" s="848">
        <f t="shared" ref="DB201:EL201" si="139">SUM(DB193:DB200)</f>
        <v>0</v>
      </c>
      <c r="DC201" s="848">
        <f t="shared" si="139"/>
        <v>0</v>
      </c>
      <c r="DD201" s="848">
        <f t="shared" si="139"/>
        <v>0</v>
      </c>
      <c r="DE201" s="848">
        <f t="shared" si="139"/>
        <v>0</v>
      </c>
      <c r="DF201" s="848">
        <f t="shared" si="139"/>
        <v>0</v>
      </c>
      <c r="DG201" s="848">
        <f t="shared" si="139"/>
        <v>0</v>
      </c>
      <c r="DH201" s="848">
        <f t="shared" si="139"/>
        <v>0</v>
      </c>
      <c r="DI201" s="848">
        <f t="shared" si="139"/>
        <v>0</v>
      </c>
      <c r="DJ201" s="848">
        <f t="shared" si="139"/>
        <v>0</v>
      </c>
      <c r="DK201" s="848">
        <f t="shared" si="139"/>
        <v>0</v>
      </c>
      <c r="DL201" s="848">
        <f t="shared" si="139"/>
        <v>0</v>
      </c>
      <c r="DM201" s="848">
        <f t="shared" si="139"/>
        <v>0</v>
      </c>
      <c r="DN201" s="848">
        <f t="shared" si="139"/>
        <v>0</v>
      </c>
      <c r="DO201" s="848">
        <f t="shared" si="139"/>
        <v>0</v>
      </c>
      <c r="DP201" s="848">
        <f t="shared" si="139"/>
        <v>0</v>
      </c>
      <c r="DQ201" s="848">
        <f t="shared" si="139"/>
        <v>0</v>
      </c>
      <c r="DR201" s="848">
        <f t="shared" si="139"/>
        <v>0</v>
      </c>
      <c r="DS201" s="848">
        <f t="shared" si="139"/>
        <v>0</v>
      </c>
      <c r="DT201" s="848">
        <f t="shared" si="139"/>
        <v>0</v>
      </c>
      <c r="DU201" s="848">
        <f t="shared" si="139"/>
        <v>0</v>
      </c>
      <c r="DV201" s="848">
        <f t="shared" si="139"/>
        <v>0</v>
      </c>
      <c r="DW201" s="848">
        <f t="shared" si="139"/>
        <v>0</v>
      </c>
      <c r="DX201" s="848">
        <f t="shared" si="139"/>
        <v>0</v>
      </c>
      <c r="DY201" s="848">
        <f t="shared" si="139"/>
        <v>0</v>
      </c>
      <c r="DZ201" s="848">
        <f t="shared" si="139"/>
        <v>0</v>
      </c>
      <c r="EA201" s="848">
        <f t="shared" si="139"/>
        <v>0</v>
      </c>
      <c r="EB201" s="848">
        <f t="shared" si="139"/>
        <v>0</v>
      </c>
      <c r="EC201" s="848">
        <f t="shared" si="139"/>
        <v>0</v>
      </c>
      <c r="ED201" s="848">
        <f t="shared" si="139"/>
        <v>0</v>
      </c>
      <c r="EE201" s="848">
        <f t="shared" si="139"/>
        <v>0</v>
      </c>
      <c r="EF201" s="848">
        <f t="shared" si="139"/>
        <v>0</v>
      </c>
      <c r="EG201" s="848">
        <f t="shared" si="139"/>
        <v>0</v>
      </c>
      <c r="EH201" s="848">
        <f t="shared" si="139"/>
        <v>0</v>
      </c>
      <c r="EI201" s="848">
        <f t="shared" si="139"/>
        <v>0</v>
      </c>
      <c r="EJ201" s="848">
        <f t="shared" si="139"/>
        <v>0</v>
      </c>
      <c r="EK201" s="848">
        <f t="shared" si="139"/>
        <v>0</v>
      </c>
      <c r="EL201" s="848">
        <f t="shared" si="139"/>
        <v>0</v>
      </c>
    </row>
    <row r="202" spans="2:142" s="888" customFormat="1" ht="13.5" hidden="1" outlineLevel="1">
      <c r="B202" s="1096"/>
      <c r="D202" s="1085" t="s">
        <v>2079</v>
      </c>
      <c r="E202" s="1085"/>
      <c r="F202" s="1086"/>
      <c r="G202" s="528">
        <v>0</v>
      </c>
      <c r="H202" s="528">
        <f>IF(H193=0,0,((1+IRR(J201:EL201,1%))^12-1)*(ABS((1+IRR(J201:EL201,1%))^12-1)&gt;0.000001))</f>
        <v>0</v>
      </c>
      <c r="J202" s="536"/>
      <c r="K202" s="536"/>
      <c r="L202" s="536"/>
      <c r="M202" s="536"/>
      <c r="N202" s="536"/>
      <c r="O202" s="536"/>
      <c r="P202" s="536"/>
      <c r="Q202" s="536"/>
      <c r="R202" s="536"/>
      <c r="S202" s="536"/>
      <c r="T202" s="536"/>
      <c r="U202" s="536"/>
      <c r="V202" s="536"/>
      <c r="W202" s="536"/>
      <c r="X202" s="536"/>
      <c r="Y202" s="536"/>
      <c r="Z202" s="536"/>
      <c r="AA202" s="536"/>
      <c r="AB202" s="536"/>
      <c r="AC202" s="536"/>
      <c r="AD202" s="536"/>
      <c r="AE202" s="536"/>
      <c r="AF202" s="536"/>
      <c r="AG202" s="536"/>
      <c r="AH202" s="536"/>
      <c r="AI202" s="536"/>
      <c r="AJ202" s="536"/>
      <c r="AK202" s="536"/>
      <c r="AL202" s="536"/>
      <c r="AM202" s="536"/>
      <c r="AN202" s="536"/>
      <c r="AO202" s="536"/>
      <c r="AP202" s="536"/>
      <c r="AQ202" s="536"/>
      <c r="AR202" s="536"/>
      <c r="AS202" s="536"/>
      <c r="AT202" s="536"/>
      <c r="AU202" s="536"/>
      <c r="AV202" s="536"/>
      <c r="AW202" s="536"/>
      <c r="AX202" s="536"/>
      <c r="AY202" s="536"/>
      <c r="AZ202" s="536"/>
      <c r="BA202" s="536"/>
      <c r="BB202" s="536"/>
      <c r="BC202" s="536"/>
      <c r="BD202" s="536"/>
      <c r="BE202" s="536"/>
      <c r="BF202" s="536"/>
      <c r="BG202" s="536"/>
      <c r="BH202" s="536"/>
      <c r="BI202" s="536"/>
      <c r="BJ202" s="536"/>
      <c r="BK202" s="536"/>
      <c r="BL202" s="536"/>
      <c r="BM202" s="536"/>
      <c r="BN202" s="536"/>
      <c r="BO202" s="536"/>
      <c r="BP202" s="536"/>
      <c r="BQ202" s="536"/>
      <c r="BR202" s="536"/>
      <c r="BS202" s="536"/>
      <c r="BT202" s="536"/>
      <c r="BU202" s="536"/>
      <c r="BV202" s="536"/>
      <c r="BW202" s="536"/>
      <c r="BX202" s="536"/>
      <c r="BY202" s="536"/>
      <c r="BZ202" s="536"/>
      <c r="CA202" s="536"/>
      <c r="CB202" s="536"/>
      <c r="CC202" s="536"/>
      <c r="CD202" s="536"/>
      <c r="CE202" s="536"/>
      <c r="CF202" s="536"/>
      <c r="CG202" s="536"/>
      <c r="CH202" s="536"/>
      <c r="CI202" s="536"/>
      <c r="CJ202" s="536"/>
      <c r="CK202" s="536"/>
      <c r="CL202" s="536"/>
      <c r="CM202" s="536"/>
      <c r="CN202" s="536"/>
      <c r="CO202" s="536"/>
      <c r="CP202" s="536"/>
      <c r="CQ202" s="536"/>
      <c r="CR202" s="536"/>
      <c r="CS202" s="536"/>
      <c r="CT202" s="536"/>
      <c r="CU202" s="536"/>
      <c r="CV202" s="536"/>
      <c r="CW202" s="536"/>
      <c r="CX202" s="536"/>
      <c r="CY202" s="536"/>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row>
    <row r="203" spans="2:142" s="888" customFormat="1" hidden="1" outlineLevel="1">
      <c r="B203" s="1096"/>
      <c r="D203" s="1091"/>
      <c r="E203" s="1091"/>
      <c r="F203" s="1092"/>
      <c r="G203" s="529"/>
      <c r="H203" s="534"/>
      <c r="J203" s="536"/>
      <c r="K203" s="536"/>
      <c r="L203" s="536"/>
      <c r="M203" s="536"/>
      <c r="N203" s="536"/>
      <c r="O203" s="536"/>
      <c r="P203" s="536"/>
      <c r="Q203" s="536"/>
      <c r="R203" s="536"/>
      <c r="S203" s="536"/>
      <c r="T203" s="536"/>
      <c r="U203" s="536"/>
      <c r="V203" s="536"/>
      <c r="W203" s="536"/>
      <c r="X203" s="536"/>
      <c r="Y203" s="536"/>
      <c r="Z203" s="536"/>
      <c r="AA203" s="536"/>
      <c r="AB203" s="536"/>
      <c r="AC203" s="536"/>
      <c r="AD203" s="536"/>
      <c r="AE203" s="536"/>
      <c r="AF203" s="536"/>
      <c r="AG203" s="536"/>
      <c r="AH203" s="536"/>
      <c r="AI203" s="536"/>
      <c r="AJ203" s="536"/>
      <c r="AK203" s="536"/>
      <c r="AL203" s="536"/>
      <c r="AM203" s="536"/>
      <c r="AN203" s="536"/>
      <c r="AO203" s="536"/>
      <c r="AP203" s="536"/>
      <c r="AQ203" s="536"/>
      <c r="AR203" s="536"/>
      <c r="AS203" s="536"/>
      <c r="AT203" s="536"/>
      <c r="AU203" s="536"/>
      <c r="AV203" s="536"/>
      <c r="AW203" s="536"/>
      <c r="AX203" s="536"/>
      <c r="AY203" s="536"/>
      <c r="AZ203" s="536"/>
      <c r="BA203" s="536"/>
      <c r="BB203" s="536"/>
      <c r="BC203" s="536"/>
      <c r="BD203" s="536"/>
      <c r="BE203" s="536"/>
      <c r="BF203" s="536"/>
      <c r="BG203" s="536"/>
      <c r="BH203" s="536"/>
      <c r="BI203" s="536"/>
      <c r="BJ203" s="536"/>
      <c r="BK203" s="536"/>
      <c r="BL203" s="536"/>
      <c r="BM203" s="536"/>
      <c r="BN203" s="536"/>
      <c r="BO203" s="536"/>
      <c r="BP203" s="536"/>
      <c r="BQ203" s="536"/>
      <c r="BR203" s="536"/>
      <c r="BS203" s="536"/>
      <c r="BT203" s="536"/>
      <c r="BU203" s="536"/>
      <c r="BV203" s="536"/>
      <c r="BW203" s="536"/>
      <c r="BX203" s="536"/>
      <c r="BY203" s="536"/>
      <c r="BZ203" s="536"/>
      <c r="CA203" s="536"/>
      <c r="CB203" s="536"/>
      <c r="CC203" s="536"/>
      <c r="CD203" s="536"/>
      <c r="CE203" s="536"/>
      <c r="CF203" s="536"/>
      <c r="CG203" s="536"/>
      <c r="CH203" s="536"/>
      <c r="CI203" s="536"/>
      <c r="CJ203" s="536"/>
      <c r="CK203" s="536"/>
      <c r="CL203" s="536"/>
      <c r="CM203" s="536"/>
      <c r="CN203" s="536"/>
      <c r="CO203" s="536"/>
      <c r="CP203" s="536"/>
      <c r="CQ203" s="536"/>
      <c r="CR203" s="536"/>
      <c r="CS203" s="536"/>
      <c r="CT203" s="536"/>
      <c r="CU203" s="536"/>
      <c r="CV203" s="536"/>
      <c r="CW203" s="536"/>
      <c r="CX203" s="536"/>
      <c r="CY203" s="536"/>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row>
    <row r="204" spans="2:142" s="833" customFormat="1" ht="13.5" hidden="1" outlineLevel="1">
      <c r="B204" s="1000"/>
      <c r="D204" s="881" t="s">
        <v>971</v>
      </c>
      <c r="E204" s="1001"/>
      <c r="F204" s="1008"/>
      <c r="G204" s="917"/>
      <c r="H204" s="848">
        <f>SUM(J204:EL204)</f>
        <v>0</v>
      </c>
      <c r="J204" s="848">
        <f t="shared" ref="J204:BU204" si="140">SUM(J196:J197)</f>
        <v>0</v>
      </c>
      <c r="K204" s="848">
        <f t="shared" si="140"/>
        <v>0</v>
      </c>
      <c r="L204" s="848">
        <f t="shared" si="140"/>
        <v>0</v>
      </c>
      <c r="M204" s="848">
        <f t="shared" si="140"/>
        <v>0</v>
      </c>
      <c r="N204" s="848">
        <f t="shared" si="140"/>
        <v>0</v>
      </c>
      <c r="O204" s="848">
        <f t="shared" si="140"/>
        <v>0</v>
      </c>
      <c r="P204" s="848">
        <f t="shared" si="140"/>
        <v>0</v>
      </c>
      <c r="Q204" s="848">
        <f t="shared" si="140"/>
        <v>0</v>
      </c>
      <c r="R204" s="848">
        <f t="shared" si="140"/>
        <v>0</v>
      </c>
      <c r="S204" s="848">
        <f t="shared" si="140"/>
        <v>0</v>
      </c>
      <c r="T204" s="848">
        <f t="shared" si="140"/>
        <v>0</v>
      </c>
      <c r="U204" s="848">
        <f t="shared" si="140"/>
        <v>0</v>
      </c>
      <c r="V204" s="848">
        <f t="shared" si="140"/>
        <v>0</v>
      </c>
      <c r="W204" s="848">
        <f t="shared" si="140"/>
        <v>0</v>
      </c>
      <c r="X204" s="848">
        <f t="shared" si="140"/>
        <v>0</v>
      </c>
      <c r="Y204" s="848">
        <f t="shared" si="140"/>
        <v>0</v>
      </c>
      <c r="Z204" s="848">
        <f t="shared" si="140"/>
        <v>0</v>
      </c>
      <c r="AA204" s="848">
        <f t="shared" si="140"/>
        <v>0</v>
      </c>
      <c r="AB204" s="848">
        <f t="shared" si="140"/>
        <v>0</v>
      </c>
      <c r="AC204" s="848">
        <f t="shared" si="140"/>
        <v>0</v>
      </c>
      <c r="AD204" s="848">
        <f t="shared" si="140"/>
        <v>0</v>
      </c>
      <c r="AE204" s="848">
        <f t="shared" si="140"/>
        <v>0</v>
      </c>
      <c r="AF204" s="848">
        <f t="shared" si="140"/>
        <v>0</v>
      </c>
      <c r="AG204" s="848">
        <f t="shared" si="140"/>
        <v>0</v>
      </c>
      <c r="AH204" s="848">
        <f t="shared" si="140"/>
        <v>0</v>
      </c>
      <c r="AI204" s="848">
        <f t="shared" si="140"/>
        <v>0</v>
      </c>
      <c r="AJ204" s="848">
        <f t="shared" si="140"/>
        <v>0</v>
      </c>
      <c r="AK204" s="848">
        <f t="shared" si="140"/>
        <v>0</v>
      </c>
      <c r="AL204" s="848">
        <f t="shared" si="140"/>
        <v>0</v>
      </c>
      <c r="AM204" s="848">
        <f t="shared" si="140"/>
        <v>0</v>
      </c>
      <c r="AN204" s="848">
        <f t="shared" si="140"/>
        <v>0</v>
      </c>
      <c r="AO204" s="848">
        <f t="shared" si="140"/>
        <v>0</v>
      </c>
      <c r="AP204" s="848">
        <f t="shared" si="140"/>
        <v>0</v>
      </c>
      <c r="AQ204" s="848">
        <f t="shared" si="140"/>
        <v>0</v>
      </c>
      <c r="AR204" s="848">
        <f t="shared" si="140"/>
        <v>0</v>
      </c>
      <c r="AS204" s="848">
        <f t="shared" si="140"/>
        <v>0</v>
      </c>
      <c r="AT204" s="848">
        <f t="shared" si="140"/>
        <v>0</v>
      </c>
      <c r="AU204" s="848">
        <f t="shared" si="140"/>
        <v>0</v>
      </c>
      <c r="AV204" s="848">
        <f t="shared" si="140"/>
        <v>0</v>
      </c>
      <c r="AW204" s="848">
        <f t="shared" si="140"/>
        <v>0</v>
      </c>
      <c r="AX204" s="848">
        <f t="shared" si="140"/>
        <v>0</v>
      </c>
      <c r="AY204" s="848">
        <f t="shared" si="140"/>
        <v>0</v>
      </c>
      <c r="AZ204" s="848">
        <f t="shared" si="140"/>
        <v>0</v>
      </c>
      <c r="BA204" s="848">
        <f t="shared" si="140"/>
        <v>0</v>
      </c>
      <c r="BB204" s="848">
        <f t="shared" si="140"/>
        <v>0</v>
      </c>
      <c r="BC204" s="848">
        <f t="shared" si="140"/>
        <v>0</v>
      </c>
      <c r="BD204" s="848">
        <f t="shared" si="140"/>
        <v>0</v>
      </c>
      <c r="BE204" s="848">
        <f t="shared" si="140"/>
        <v>0</v>
      </c>
      <c r="BF204" s="848">
        <f t="shared" si="140"/>
        <v>0</v>
      </c>
      <c r="BG204" s="848">
        <f t="shared" si="140"/>
        <v>0</v>
      </c>
      <c r="BH204" s="848">
        <f t="shared" si="140"/>
        <v>0</v>
      </c>
      <c r="BI204" s="848">
        <f t="shared" si="140"/>
        <v>0</v>
      </c>
      <c r="BJ204" s="848">
        <f t="shared" si="140"/>
        <v>0</v>
      </c>
      <c r="BK204" s="848">
        <f t="shared" si="140"/>
        <v>0</v>
      </c>
      <c r="BL204" s="848">
        <f t="shared" si="140"/>
        <v>0</v>
      </c>
      <c r="BM204" s="848">
        <f t="shared" si="140"/>
        <v>0</v>
      </c>
      <c r="BN204" s="848">
        <f t="shared" si="140"/>
        <v>0</v>
      </c>
      <c r="BO204" s="848">
        <f t="shared" si="140"/>
        <v>0</v>
      </c>
      <c r="BP204" s="848">
        <f t="shared" si="140"/>
        <v>0</v>
      </c>
      <c r="BQ204" s="848">
        <f t="shared" si="140"/>
        <v>0</v>
      </c>
      <c r="BR204" s="848">
        <f t="shared" si="140"/>
        <v>0</v>
      </c>
      <c r="BS204" s="848">
        <f t="shared" si="140"/>
        <v>0</v>
      </c>
      <c r="BT204" s="848">
        <f t="shared" si="140"/>
        <v>0</v>
      </c>
      <c r="BU204" s="848">
        <f t="shared" si="140"/>
        <v>0</v>
      </c>
      <c r="BV204" s="848">
        <f t="shared" ref="BV204:EG204" si="141">SUM(BV196:BV197)</f>
        <v>0</v>
      </c>
      <c r="BW204" s="848">
        <f t="shared" si="141"/>
        <v>0</v>
      </c>
      <c r="BX204" s="848">
        <f t="shared" si="141"/>
        <v>0</v>
      </c>
      <c r="BY204" s="848">
        <f t="shared" si="141"/>
        <v>0</v>
      </c>
      <c r="BZ204" s="848">
        <f t="shared" si="141"/>
        <v>0</v>
      </c>
      <c r="CA204" s="848">
        <f t="shared" si="141"/>
        <v>0</v>
      </c>
      <c r="CB204" s="848">
        <f t="shared" si="141"/>
        <v>0</v>
      </c>
      <c r="CC204" s="848">
        <f t="shared" si="141"/>
        <v>0</v>
      </c>
      <c r="CD204" s="848">
        <f t="shared" si="141"/>
        <v>0</v>
      </c>
      <c r="CE204" s="848">
        <f t="shared" si="141"/>
        <v>0</v>
      </c>
      <c r="CF204" s="848">
        <f t="shared" si="141"/>
        <v>0</v>
      </c>
      <c r="CG204" s="848">
        <f t="shared" si="141"/>
        <v>0</v>
      </c>
      <c r="CH204" s="848">
        <f t="shared" si="141"/>
        <v>0</v>
      </c>
      <c r="CI204" s="848">
        <f t="shared" si="141"/>
        <v>0</v>
      </c>
      <c r="CJ204" s="848">
        <f t="shared" si="141"/>
        <v>0</v>
      </c>
      <c r="CK204" s="848">
        <f t="shared" si="141"/>
        <v>0</v>
      </c>
      <c r="CL204" s="848">
        <f t="shared" si="141"/>
        <v>0</v>
      </c>
      <c r="CM204" s="848">
        <f t="shared" si="141"/>
        <v>0</v>
      </c>
      <c r="CN204" s="848">
        <f t="shared" si="141"/>
        <v>0</v>
      </c>
      <c r="CO204" s="848">
        <f t="shared" si="141"/>
        <v>0</v>
      </c>
      <c r="CP204" s="848">
        <f t="shared" si="141"/>
        <v>0</v>
      </c>
      <c r="CQ204" s="848">
        <f t="shared" si="141"/>
        <v>0</v>
      </c>
      <c r="CR204" s="848">
        <f t="shared" si="141"/>
        <v>0</v>
      </c>
      <c r="CS204" s="848">
        <f t="shared" si="141"/>
        <v>0</v>
      </c>
      <c r="CT204" s="848">
        <f t="shared" si="141"/>
        <v>0</v>
      </c>
      <c r="CU204" s="848">
        <f t="shared" si="141"/>
        <v>0</v>
      </c>
      <c r="CV204" s="848">
        <f t="shared" si="141"/>
        <v>0</v>
      </c>
      <c r="CW204" s="848">
        <f t="shared" si="141"/>
        <v>0</v>
      </c>
      <c r="CX204" s="848">
        <f t="shared" si="141"/>
        <v>0</v>
      </c>
      <c r="CY204" s="848">
        <f t="shared" si="141"/>
        <v>0</v>
      </c>
      <c r="CZ204" s="848">
        <f t="shared" si="141"/>
        <v>0</v>
      </c>
      <c r="DA204" s="848">
        <f t="shared" si="141"/>
        <v>0</v>
      </c>
      <c r="DB204" s="848">
        <f t="shared" si="141"/>
        <v>0</v>
      </c>
      <c r="DC204" s="848">
        <f t="shared" si="141"/>
        <v>0</v>
      </c>
      <c r="DD204" s="848">
        <f t="shared" si="141"/>
        <v>0</v>
      </c>
      <c r="DE204" s="848">
        <f t="shared" si="141"/>
        <v>0</v>
      </c>
      <c r="DF204" s="848">
        <f t="shared" si="141"/>
        <v>0</v>
      </c>
      <c r="DG204" s="848">
        <f t="shared" si="141"/>
        <v>0</v>
      </c>
      <c r="DH204" s="848">
        <f t="shared" si="141"/>
        <v>0</v>
      </c>
      <c r="DI204" s="848">
        <f t="shared" si="141"/>
        <v>0</v>
      </c>
      <c r="DJ204" s="848">
        <f t="shared" si="141"/>
        <v>0</v>
      </c>
      <c r="DK204" s="848">
        <f t="shared" si="141"/>
        <v>0</v>
      </c>
      <c r="DL204" s="848">
        <f t="shared" si="141"/>
        <v>0</v>
      </c>
      <c r="DM204" s="848">
        <f t="shared" si="141"/>
        <v>0</v>
      </c>
      <c r="DN204" s="848">
        <f t="shared" si="141"/>
        <v>0</v>
      </c>
      <c r="DO204" s="848">
        <f t="shared" si="141"/>
        <v>0</v>
      </c>
      <c r="DP204" s="848">
        <f t="shared" si="141"/>
        <v>0</v>
      </c>
      <c r="DQ204" s="848">
        <f t="shared" si="141"/>
        <v>0</v>
      </c>
      <c r="DR204" s="848">
        <f t="shared" si="141"/>
        <v>0</v>
      </c>
      <c r="DS204" s="848">
        <f t="shared" si="141"/>
        <v>0</v>
      </c>
      <c r="DT204" s="848">
        <f t="shared" si="141"/>
        <v>0</v>
      </c>
      <c r="DU204" s="848">
        <f t="shared" si="141"/>
        <v>0</v>
      </c>
      <c r="DV204" s="848">
        <f t="shared" si="141"/>
        <v>0</v>
      </c>
      <c r="DW204" s="848">
        <f t="shared" si="141"/>
        <v>0</v>
      </c>
      <c r="DX204" s="848">
        <f t="shared" si="141"/>
        <v>0</v>
      </c>
      <c r="DY204" s="848">
        <f t="shared" si="141"/>
        <v>0</v>
      </c>
      <c r="DZ204" s="848">
        <f t="shared" si="141"/>
        <v>0</v>
      </c>
      <c r="EA204" s="848">
        <f t="shared" si="141"/>
        <v>0</v>
      </c>
      <c r="EB204" s="848">
        <f t="shared" si="141"/>
        <v>0</v>
      </c>
      <c r="EC204" s="848">
        <f t="shared" si="141"/>
        <v>0</v>
      </c>
      <c r="ED204" s="848">
        <f t="shared" si="141"/>
        <v>0</v>
      </c>
      <c r="EE204" s="848">
        <f t="shared" si="141"/>
        <v>0</v>
      </c>
      <c r="EF204" s="848">
        <f t="shared" si="141"/>
        <v>0</v>
      </c>
      <c r="EG204" s="848">
        <f t="shared" si="141"/>
        <v>0</v>
      </c>
      <c r="EH204" s="848">
        <f t="shared" ref="EH204:EL204" si="142">SUM(EH196:EH197)</f>
        <v>0</v>
      </c>
      <c r="EI204" s="848">
        <f t="shared" si="142"/>
        <v>0</v>
      </c>
      <c r="EJ204" s="848">
        <f t="shared" si="142"/>
        <v>0</v>
      </c>
      <c r="EK204" s="848">
        <f t="shared" si="142"/>
        <v>0</v>
      </c>
      <c r="EL204" s="848">
        <f t="shared" si="142"/>
        <v>0</v>
      </c>
    </row>
    <row r="205" spans="2:142" s="833" customFormat="1" ht="13.5" hidden="1" outlineLevel="1">
      <c r="B205" s="1000"/>
      <c r="D205" s="1001" t="s">
        <v>972</v>
      </c>
      <c r="E205" s="1001"/>
      <c r="F205" s="1008"/>
      <c r="G205" s="917"/>
      <c r="H205" s="848">
        <f>SUM(J205:EL205)</f>
        <v>0</v>
      </c>
      <c r="J205" s="848">
        <f>J201-J204</f>
        <v>0</v>
      </c>
      <c r="K205" s="848">
        <f t="shared" ref="K205:BV205" si="143">K201-K204</f>
        <v>0</v>
      </c>
      <c r="L205" s="848">
        <f t="shared" si="143"/>
        <v>0</v>
      </c>
      <c r="M205" s="848">
        <f t="shared" si="143"/>
        <v>0</v>
      </c>
      <c r="N205" s="848">
        <f t="shared" si="143"/>
        <v>0</v>
      </c>
      <c r="O205" s="848">
        <f t="shared" si="143"/>
        <v>0</v>
      </c>
      <c r="P205" s="848">
        <f t="shared" si="143"/>
        <v>0</v>
      </c>
      <c r="Q205" s="848">
        <f t="shared" si="143"/>
        <v>0</v>
      </c>
      <c r="R205" s="848">
        <f t="shared" si="143"/>
        <v>0</v>
      </c>
      <c r="S205" s="848">
        <f t="shared" si="143"/>
        <v>0</v>
      </c>
      <c r="T205" s="848">
        <f t="shared" si="143"/>
        <v>0</v>
      </c>
      <c r="U205" s="848">
        <f t="shared" si="143"/>
        <v>0</v>
      </c>
      <c r="V205" s="848">
        <f t="shared" si="143"/>
        <v>0</v>
      </c>
      <c r="W205" s="848">
        <f t="shared" si="143"/>
        <v>0</v>
      </c>
      <c r="X205" s="848">
        <f t="shared" si="143"/>
        <v>0</v>
      </c>
      <c r="Y205" s="848">
        <f t="shared" si="143"/>
        <v>0</v>
      </c>
      <c r="Z205" s="848">
        <f t="shared" si="143"/>
        <v>0</v>
      </c>
      <c r="AA205" s="848">
        <f t="shared" si="143"/>
        <v>0</v>
      </c>
      <c r="AB205" s="848">
        <f t="shared" si="143"/>
        <v>0</v>
      </c>
      <c r="AC205" s="848">
        <f t="shared" si="143"/>
        <v>0</v>
      </c>
      <c r="AD205" s="848">
        <f t="shared" si="143"/>
        <v>0</v>
      </c>
      <c r="AE205" s="848">
        <f t="shared" si="143"/>
        <v>0</v>
      </c>
      <c r="AF205" s="848">
        <f t="shared" si="143"/>
        <v>0</v>
      </c>
      <c r="AG205" s="848">
        <f t="shared" si="143"/>
        <v>0</v>
      </c>
      <c r="AH205" s="848">
        <f t="shared" si="143"/>
        <v>0</v>
      </c>
      <c r="AI205" s="848">
        <f t="shared" si="143"/>
        <v>0</v>
      </c>
      <c r="AJ205" s="848">
        <f t="shared" si="143"/>
        <v>0</v>
      </c>
      <c r="AK205" s="848">
        <f t="shared" si="143"/>
        <v>0</v>
      </c>
      <c r="AL205" s="848">
        <f t="shared" si="143"/>
        <v>0</v>
      </c>
      <c r="AM205" s="848">
        <f t="shared" si="143"/>
        <v>0</v>
      </c>
      <c r="AN205" s="848">
        <f t="shared" si="143"/>
        <v>0</v>
      </c>
      <c r="AO205" s="848">
        <f t="shared" si="143"/>
        <v>0</v>
      </c>
      <c r="AP205" s="848">
        <f t="shared" si="143"/>
        <v>0</v>
      </c>
      <c r="AQ205" s="848">
        <f t="shared" si="143"/>
        <v>0</v>
      </c>
      <c r="AR205" s="848">
        <f t="shared" si="143"/>
        <v>0</v>
      </c>
      <c r="AS205" s="848">
        <f t="shared" si="143"/>
        <v>0</v>
      </c>
      <c r="AT205" s="848">
        <f t="shared" si="143"/>
        <v>0</v>
      </c>
      <c r="AU205" s="848">
        <f t="shared" si="143"/>
        <v>0</v>
      </c>
      <c r="AV205" s="848">
        <f t="shared" si="143"/>
        <v>0</v>
      </c>
      <c r="AW205" s="848">
        <f t="shared" si="143"/>
        <v>0</v>
      </c>
      <c r="AX205" s="848">
        <f t="shared" si="143"/>
        <v>0</v>
      </c>
      <c r="AY205" s="848">
        <f t="shared" si="143"/>
        <v>0</v>
      </c>
      <c r="AZ205" s="848">
        <f t="shared" si="143"/>
        <v>0</v>
      </c>
      <c r="BA205" s="848">
        <f t="shared" si="143"/>
        <v>0</v>
      </c>
      <c r="BB205" s="848">
        <f t="shared" si="143"/>
        <v>0</v>
      </c>
      <c r="BC205" s="848">
        <f t="shared" si="143"/>
        <v>0</v>
      </c>
      <c r="BD205" s="848">
        <f t="shared" si="143"/>
        <v>0</v>
      </c>
      <c r="BE205" s="848">
        <f t="shared" si="143"/>
        <v>0</v>
      </c>
      <c r="BF205" s="848">
        <f t="shared" si="143"/>
        <v>0</v>
      </c>
      <c r="BG205" s="848">
        <f t="shared" si="143"/>
        <v>0</v>
      </c>
      <c r="BH205" s="848">
        <f t="shared" si="143"/>
        <v>0</v>
      </c>
      <c r="BI205" s="848">
        <f t="shared" si="143"/>
        <v>0</v>
      </c>
      <c r="BJ205" s="848">
        <f t="shared" si="143"/>
        <v>0</v>
      </c>
      <c r="BK205" s="848">
        <f t="shared" si="143"/>
        <v>0</v>
      </c>
      <c r="BL205" s="848">
        <f t="shared" si="143"/>
        <v>0</v>
      </c>
      <c r="BM205" s="848">
        <f t="shared" si="143"/>
        <v>0</v>
      </c>
      <c r="BN205" s="848">
        <f t="shared" si="143"/>
        <v>0</v>
      </c>
      <c r="BO205" s="848">
        <f t="shared" si="143"/>
        <v>0</v>
      </c>
      <c r="BP205" s="848">
        <f t="shared" si="143"/>
        <v>0</v>
      </c>
      <c r="BQ205" s="848">
        <f t="shared" si="143"/>
        <v>0</v>
      </c>
      <c r="BR205" s="848">
        <f t="shared" si="143"/>
        <v>0</v>
      </c>
      <c r="BS205" s="848">
        <f t="shared" si="143"/>
        <v>0</v>
      </c>
      <c r="BT205" s="848">
        <f t="shared" si="143"/>
        <v>0</v>
      </c>
      <c r="BU205" s="848">
        <f t="shared" si="143"/>
        <v>0</v>
      </c>
      <c r="BV205" s="848">
        <f t="shared" si="143"/>
        <v>0</v>
      </c>
      <c r="BW205" s="848">
        <f t="shared" ref="BW205:EH205" si="144">BW201-BW204</f>
        <v>0</v>
      </c>
      <c r="BX205" s="848">
        <f t="shared" si="144"/>
        <v>0</v>
      </c>
      <c r="BY205" s="848">
        <f t="shared" si="144"/>
        <v>0</v>
      </c>
      <c r="BZ205" s="848">
        <f t="shared" si="144"/>
        <v>0</v>
      </c>
      <c r="CA205" s="848">
        <f t="shared" si="144"/>
        <v>0</v>
      </c>
      <c r="CB205" s="848">
        <f t="shared" si="144"/>
        <v>0</v>
      </c>
      <c r="CC205" s="848">
        <f t="shared" si="144"/>
        <v>0</v>
      </c>
      <c r="CD205" s="848">
        <f t="shared" si="144"/>
        <v>0</v>
      </c>
      <c r="CE205" s="848">
        <f t="shared" si="144"/>
        <v>0</v>
      </c>
      <c r="CF205" s="848">
        <f t="shared" si="144"/>
        <v>0</v>
      </c>
      <c r="CG205" s="848">
        <f t="shared" si="144"/>
        <v>0</v>
      </c>
      <c r="CH205" s="848">
        <f t="shared" si="144"/>
        <v>0</v>
      </c>
      <c r="CI205" s="848">
        <f t="shared" si="144"/>
        <v>0</v>
      </c>
      <c r="CJ205" s="848">
        <f t="shared" si="144"/>
        <v>0</v>
      </c>
      <c r="CK205" s="848">
        <f t="shared" si="144"/>
        <v>0</v>
      </c>
      <c r="CL205" s="848">
        <f t="shared" si="144"/>
        <v>0</v>
      </c>
      <c r="CM205" s="848">
        <f t="shared" si="144"/>
        <v>0</v>
      </c>
      <c r="CN205" s="848">
        <f t="shared" si="144"/>
        <v>0</v>
      </c>
      <c r="CO205" s="848">
        <f t="shared" si="144"/>
        <v>0</v>
      </c>
      <c r="CP205" s="848">
        <f t="shared" si="144"/>
        <v>0</v>
      </c>
      <c r="CQ205" s="848">
        <f t="shared" si="144"/>
        <v>0</v>
      </c>
      <c r="CR205" s="848">
        <f t="shared" si="144"/>
        <v>0</v>
      </c>
      <c r="CS205" s="848">
        <f t="shared" si="144"/>
        <v>0</v>
      </c>
      <c r="CT205" s="848">
        <f t="shared" si="144"/>
        <v>0</v>
      </c>
      <c r="CU205" s="848">
        <f t="shared" si="144"/>
        <v>0</v>
      </c>
      <c r="CV205" s="848">
        <f t="shared" si="144"/>
        <v>0</v>
      </c>
      <c r="CW205" s="848">
        <f t="shared" si="144"/>
        <v>0</v>
      </c>
      <c r="CX205" s="848">
        <f t="shared" si="144"/>
        <v>0</v>
      </c>
      <c r="CY205" s="848">
        <f t="shared" si="144"/>
        <v>0</v>
      </c>
      <c r="CZ205" s="848">
        <f t="shared" si="144"/>
        <v>0</v>
      </c>
      <c r="DA205" s="848">
        <f t="shared" si="144"/>
        <v>0</v>
      </c>
      <c r="DB205" s="848">
        <f t="shared" si="144"/>
        <v>0</v>
      </c>
      <c r="DC205" s="848">
        <f t="shared" si="144"/>
        <v>0</v>
      </c>
      <c r="DD205" s="848">
        <f t="shared" si="144"/>
        <v>0</v>
      </c>
      <c r="DE205" s="848">
        <f t="shared" si="144"/>
        <v>0</v>
      </c>
      <c r="DF205" s="848">
        <f t="shared" si="144"/>
        <v>0</v>
      </c>
      <c r="DG205" s="848">
        <f t="shared" si="144"/>
        <v>0</v>
      </c>
      <c r="DH205" s="848">
        <f t="shared" si="144"/>
        <v>0</v>
      </c>
      <c r="DI205" s="848">
        <f t="shared" si="144"/>
        <v>0</v>
      </c>
      <c r="DJ205" s="848">
        <f t="shared" si="144"/>
        <v>0</v>
      </c>
      <c r="DK205" s="848">
        <f t="shared" si="144"/>
        <v>0</v>
      </c>
      <c r="DL205" s="848">
        <f t="shared" si="144"/>
        <v>0</v>
      </c>
      <c r="DM205" s="848">
        <f t="shared" si="144"/>
        <v>0</v>
      </c>
      <c r="DN205" s="848">
        <f t="shared" si="144"/>
        <v>0</v>
      </c>
      <c r="DO205" s="848">
        <f t="shared" si="144"/>
        <v>0</v>
      </c>
      <c r="DP205" s="848">
        <f t="shared" si="144"/>
        <v>0</v>
      </c>
      <c r="DQ205" s="848">
        <f t="shared" si="144"/>
        <v>0</v>
      </c>
      <c r="DR205" s="848">
        <f t="shared" si="144"/>
        <v>0</v>
      </c>
      <c r="DS205" s="848">
        <f t="shared" si="144"/>
        <v>0</v>
      </c>
      <c r="DT205" s="848">
        <f t="shared" si="144"/>
        <v>0</v>
      </c>
      <c r="DU205" s="848">
        <f t="shared" si="144"/>
        <v>0</v>
      </c>
      <c r="DV205" s="848">
        <f t="shared" si="144"/>
        <v>0</v>
      </c>
      <c r="DW205" s="848">
        <f t="shared" si="144"/>
        <v>0</v>
      </c>
      <c r="DX205" s="848">
        <f t="shared" si="144"/>
        <v>0</v>
      </c>
      <c r="DY205" s="848">
        <f t="shared" si="144"/>
        <v>0</v>
      </c>
      <c r="DZ205" s="848">
        <f t="shared" si="144"/>
        <v>0</v>
      </c>
      <c r="EA205" s="848">
        <f t="shared" si="144"/>
        <v>0</v>
      </c>
      <c r="EB205" s="848">
        <f t="shared" si="144"/>
        <v>0</v>
      </c>
      <c r="EC205" s="848">
        <f t="shared" si="144"/>
        <v>0</v>
      </c>
      <c r="ED205" s="848">
        <f t="shared" si="144"/>
        <v>0</v>
      </c>
      <c r="EE205" s="848">
        <f t="shared" si="144"/>
        <v>0</v>
      </c>
      <c r="EF205" s="848">
        <f t="shared" si="144"/>
        <v>0</v>
      </c>
      <c r="EG205" s="848">
        <f t="shared" si="144"/>
        <v>0</v>
      </c>
      <c r="EH205" s="848">
        <f t="shared" si="144"/>
        <v>0</v>
      </c>
      <c r="EI205" s="848">
        <f>EI201-EI204</f>
        <v>0</v>
      </c>
      <c r="EJ205" s="848">
        <f>EJ201-EJ204</f>
        <v>0</v>
      </c>
      <c r="EK205" s="848">
        <f>EK201-EK204</f>
        <v>0</v>
      </c>
      <c r="EL205" s="848">
        <f>EL201-EL204</f>
        <v>0</v>
      </c>
    </row>
    <row r="206" spans="2:142" s="888" customFormat="1" ht="13.5" hidden="1" outlineLevel="1">
      <c r="B206" s="1096"/>
      <c r="D206" s="1087" t="s">
        <v>976</v>
      </c>
      <c r="E206" s="1087"/>
      <c r="F206" s="1088"/>
      <c r="G206" s="530">
        <v>0</v>
      </c>
      <c r="H206" s="530">
        <f>IF(H193=0,0,((1+IRR(J205:EL205,1%))^12-1)*(ABS((1+IRR(J205:EL205,1%))^12-1)&gt;0.000001))</f>
        <v>0</v>
      </c>
      <c r="J206" s="536"/>
      <c r="K206" s="536"/>
      <c r="L206" s="536"/>
      <c r="M206" s="536"/>
      <c r="N206" s="536"/>
      <c r="O206" s="536"/>
      <c r="P206" s="536"/>
      <c r="Q206" s="536"/>
      <c r="R206" s="536"/>
      <c r="S206" s="536"/>
      <c r="T206" s="536"/>
      <c r="U206" s="536"/>
      <c r="V206" s="536"/>
      <c r="W206" s="536"/>
      <c r="X206" s="536"/>
      <c r="Y206" s="536"/>
      <c r="Z206" s="536"/>
      <c r="AA206" s="536"/>
      <c r="AB206" s="536"/>
      <c r="AC206" s="536"/>
      <c r="AD206" s="536"/>
      <c r="AE206" s="536"/>
      <c r="AF206" s="536"/>
      <c r="AG206" s="536"/>
      <c r="AH206" s="536"/>
      <c r="AI206" s="536"/>
      <c r="AJ206" s="536"/>
      <c r="AK206" s="536"/>
      <c r="AL206" s="536"/>
      <c r="AM206" s="536"/>
      <c r="AN206" s="536"/>
      <c r="AO206" s="536"/>
      <c r="AP206" s="536"/>
      <c r="AQ206" s="536"/>
      <c r="AR206" s="536"/>
      <c r="AS206" s="536"/>
      <c r="AT206" s="536"/>
      <c r="AU206" s="536"/>
      <c r="AV206" s="536"/>
      <c r="AW206" s="536"/>
      <c r="AX206" s="536"/>
      <c r="AY206" s="536"/>
      <c r="AZ206" s="536"/>
      <c r="BA206" s="536"/>
      <c r="BB206" s="536"/>
      <c r="BC206" s="536"/>
      <c r="BD206" s="536"/>
      <c r="BE206" s="536"/>
      <c r="BF206" s="536"/>
      <c r="BG206" s="536"/>
      <c r="BH206" s="536"/>
      <c r="BI206" s="536"/>
      <c r="BJ206" s="536"/>
      <c r="BK206" s="536"/>
      <c r="BL206" s="536"/>
      <c r="BM206" s="536"/>
      <c r="BN206" s="536"/>
      <c r="BO206" s="536"/>
      <c r="BP206" s="536"/>
      <c r="BQ206" s="536"/>
      <c r="BR206" s="536"/>
      <c r="BS206" s="536"/>
      <c r="BT206" s="536"/>
      <c r="BU206" s="536"/>
      <c r="BV206" s="536"/>
      <c r="BW206" s="536"/>
      <c r="BX206" s="536"/>
      <c r="BY206" s="536"/>
      <c r="BZ206" s="536"/>
      <c r="CA206" s="536"/>
      <c r="CB206" s="536"/>
      <c r="CC206" s="536"/>
      <c r="CD206" s="536"/>
      <c r="CE206" s="536"/>
      <c r="CF206" s="536"/>
      <c r="CG206" s="536"/>
      <c r="CH206" s="536"/>
      <c r="CI206" s="536"/>
      <c r="CJ206" s="536"/>
      <c r="CK206" s="536"/>
      <c r="CL206" s="536"/>
      <c r="CM206" s="536"/>
      <c r="CN206" s="536"/>
      <c r="CO206" s="536"/>
      <c r="CP206" s="536"/>
      <c r="CQ206" s="536"/>
      <c r="CR206" s="536"/>
      <c r="CS206" s="536"/>
      <c r="CT206" s="536"/>
      <c r="CU206" s="536"/>
      <c r="CV206" s="536"/>
      <c r="CW206" s="536"/>
      <c r="CX206" s="536"/>
      <c r="CY206" s="536"/>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row>
    <row r="207" spans="2:142" s="888" customFormat="1" hidden="1" outlineLevel="1">
      <c r="B207" s="1096"/>
      <c r="D207" s="1001"/>
      <c r="E207" s="1001"/>
      <c r="F207" s="1008"/>
      <c r="G207" s="531"/>
      <c r="H207" s="214"/>
      <c r="J207" s="536"/>
      <c r="K207" s="536"/>
      <c r="L207" s="536"/>
      <c r="M207" s="536"/>
      <c r="N207" s="536"/>
      <c r="O207" s="536"/>
      <c r="P207" s="536"/>
      <c r="Q207" s="536"/>
      <c r="R207" s="536"/>
      <c r="S207" s="536"/>
      <c r="T207" s="536"/>
      <c r="U207" s="536"/>
      <c r="V207" s="536"/>
      <c r="W207" s="536"/>
      <c r="X207" s="536"/>
      <c r="Y207" s="536"/>
      <c r="Z207" s="536"/>
      <c r="AA207" s="536"/>
      <c r="AB207" s="536"/>
      <c r="AC207" s="536"/>
      <c r="AD207" s="536"/>
      <c r="AE207" s="536"/>
      <c r="AF207" s="536"/>
      <c r="AG207" s="536"/>
      <c r="AH207" s="536"/>
      <c r="AI207" s="536"/>
      <c r="AJ207" s="536"/>
      <c r="AK207" s="536"/>
      <c r="AL207" s="536"/>
      <c r="AM207" s="536"/>
      <c r="AN207" s="536"/>
      <c r="AO207" s="536"/>
      <c r="AP207" s="536"/>
      <c r="AQ207" s="536"/>
      <c r="AR207" s="536"/>
      <c r="AS207" s="536"/>
      <c r="AT207" s="536"/>
      <c r="AU207" s="536"/>
      <c r="AV207" s="536"/>
      <c r="AW207" s="536"/>
      <c r="AX207" s="536"/>
      <c r="AY207" s="536"/>
      <c r="AZ207" s="536"/>
      <c r="BA207" s="536"/>
      <c r="BB207" s="536"/>
      <c r="BC207" s="536"/>
      <c r="BD207" s="536"/>
      <c r="BE207" s="536"/>
      <c r="BF207" s="536"/>
      <c r="BG207" s="536"/>
      <c r="BH207" s="536"/>
      <c r="BI207" s="536"/>
      <c r="BJ207" s="536"/>
      <c r="BK207" s="536"/>
      <c r="BL207" s="536"/>
      <c r="BM207" s="536"/>
      <c r="BN207" s="536"/>
      <c r="BO207" s="536"/>
      <c r="BP207" s="536"/>
      <c r="BQ207" s="536"/>
      <c r="BR207" s="536"/>
      <c r="BS207" s="536"/>
      <c r="BT207" s="536"/>
      <c r="BU207" s="536"/>
      <c r="BV207" s="536"/>
      <c r="BW207" s="536"/>
      <c r="BX207" s="536"/>
      <c r="BY207" s="536"/>
      <c r="BZ207" s="536"/>
      <c r="CA207" s="536"/>
      <c r="CB207" s="536"/>
      <c r="CC207" s="536"/>
      <c r="CD207" s="536"/>
      <c r="CE207" s="536"/>
      <c r="CF207" s="536"/>
      <c r="CG207" s="536"/>
      <c r="CH207" s="536"/>
      <c r="CI207" s="536"/>
      <c r="CJ207" s="536"/>
      <c r="CK207" s="536"/>
      <c r="CL207" s="536"/>
      <c r="CM207" s="536"/>
      <c r="CN207" s="536"/>
      <c r="CO207" s="536"/>
      <c r="CP207" s="536"/>
      <c r="CQ207" s="536"/>
      <c r="CR207" s="536"/>
      <c r="CS207" s="536"/>
      <c r="CT207" s="536"/>
      <c r="CU207" s="536"/>
      <c r="CV207" s="536"/>
      <c r="CW207" s="536"/>
      <c r="CX207" s="536"/>
      <c r="CY207" s="536"/>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row>
    <row r="208" spans="2:142" s="833" customFormat="1" ht="13.5" hidden="1" outlineLevel="1">
      <c r="B208" s="1000"/>
      <c r="D208" s="881" t="str">
        <f>D196</f>
        <v>2종 종류주 C.G 배당 [운영배당 부족분]</v>
      </c>
      <c r="E208" s="1001"/>
      <c r="F208" s="1008"/>
      <c r="G208" s="917"/>
      <c r="H208" s="848">
        <f>SUM(J208:EL208)</f>
        <v>0</v>
      </c>
      <c r="J208" s="848">
        <f t="shared" ref="J208:BU208" si="145">J196</f>
        <v>0</v>
      </c>
      <c r="K208" s="848">
        <f t="shared" si="145"/>
        <v>0</v>
      </c>
      <c r="L208" s="848">
        <f t="shared" si="145"/>
        <v>0</v>
      </c>
      <c r="M208" s="848">
        <f t="shared" si="145"/>
        <v>0</v>
      </c>
      <c r="N208" s="848">
        <f t="shared" si="145"/>
        <v>0</v>
      </c>
      <c r="O208" s="848">
        <f t="shared" si="145"/>
        <v>0</v>
      </c>
      <c r="P208" s="848">
        <f t="shared" si="145"/>
        <v>0</v>
      </c>
      <c r="Q208" s="848">
        <f t="shared" si="145"/>
        <v>0</v>
      </c>
      <c r="R208" s="848">
        <f t="shared" si="145"/>
        <v>0</v>
      </c>
      <c r="S208" s="848">
        <f t="shared" si="145"/>
        <v>0</v>
      </c>
      <c r="T208" s="848">
        <f t="shared" si="145"/>
        <v>0</v>
      </c>
      <c r="U208" s="848">
        <f t="shared" si="145"/>
        <v>0</v>
      </c>
      <c r="V208" s="848">
        <f t="shared" si="145"/>
        <v>0</v>
      </c>
      <c r="W208" s="848">
        <f t="shared" si="145"/>
        <v>0</v>
      </c>
      <c r="X208" s="848">
        <f t="shared" si="145"/>
        <v>0</v>
      </c>
      <c r="Y208" s="848">
        <f t="shared" si="145"/>
        <v>0</v>
      </c>
      <c r="Z208" s="848">
        <f t="shared" si="145"/>
        <v>0</v>
      </c>
      <c r="AA208" s="848">
        <f t="shared" si="145"/>
        <v>0</v>
      </c>
      <c r="AB208" s="848">
        <f t="shared" si="145"/>
        <v>0</v>
      </c>
      <c r="AC208" s="848">
        <f t="shared" si="145"/>
        <v>0</v>
      </c>
      <c r="AD208" s="848">
        <f t="shared" si="145"/>
        <v>0</v>
      </c>
      <c r="AE208" s="848">
        <f t="shared" si="145"/>
        <v>0</v>
      </c>
      <c r="AF208" s="848">
        <f t="shared" si="145"/>
        <v>0</v>
      </c>
      <c r="AG208" s="848">
        <f t="shared" si="145"/>
        <v>0</v>
      </c>
      <c r="AH208" s="848">
        <f t="shared" si="145"/>
        <v>0</v>
      </c>
      <c r="AI208" s="848">
        <f t="shared" si="145"/>
        <v>0</v>
      </c>
      <c r="AJ208" s="848">
        <f t="shared" si="145"/>
        <v>0</v>
      </c>
      <c r="AK208" s="848">
        <f t="shared" si="145"/>
        <v>0</v>
      </c>
      <c r="AL208" s="848">
        <f t="shared" si="145"/>
        <v>0</v>
      </c>
      <c r="AM208" s="848">
        <f t="shared" si="145"/>
        <v>0</v>
      </c>
      <c r="AN208" s="848">
        <f t="shared" si="145"/>
        <v>0</v>
      </c>
      <c r="AO208" s="848">
        <f t="shared" si="145"/>
        <v>0</v>
      </c>
      <c r="AP208" s="848">
        <f t="shared" si="145"/>
        <v>0</v>
      </c>
      <c r="AQ208" s="848">
        <f t="shared" si="145"/>
        <v>0</v>
      </c>
      <c r="AR208" s="848">
        <f t="shared" si="145"/>
        <v>0</v>
      </c>
      <c r="AS208" s="848">
        <f t="shared" si="145"/>
        <v>0</v>
      </c>
      <c r="AT208" s="848">
        <f t="shared" si="145"/>
        <v>0</v>
      </c>
      <c r="AU208" s="848">
        <f t="shared" si="145"/>
        <v>0</v>
      </c>
      <c r="AV208" s="848">
        <f t="shared" si="145"/>
        <v>0</v>
      </c>
      <c r="AW208" s="848">
        <f t="shared" si="145"/>
        <v>0</v>
      </c>
      <c r="AX208" s="848">
        <f t="shared" si="145"/>
        <v>0</v>
      </c>
      <c r="AY208" s="848">
        <f t="shared" si="145"/>
        <v>0</v>
      </c>
      <c r="AZ208" s="848">
        <f t="shared" si="145"/>
        <v>0</v>
      </c>
      <c r="BA208" s="848">
        <f t="shared" si="145"/>
        <v>0</v>
      </c>
      <c r="BB208" s="848">
        <f t="shared" si="145"/>
        <v>0</v>
      </c>
      <c r="BC208" s="848">
        <f t="shared" si="145"/>
        <v>0</v>
      </c>
      <c r="BD208" s="848">
        <f t="shared" si="145"/>
        <v>0</v>
      </c>
      <c r="BE208" s="848">
        <f t="shared" si="145"/>
        <v>0</v>
      </c>
      <c r="BF208" s="848">
        <f t="shared" si="145"/>
        <v>0</v>
      </c>
      <c r="BG208" s="848">
        <f t="shared" si="145"/>
        <v>0</v>
      </c>
      <c r="BH208" s="848">
        <f t="shared" si="145"/>
        <v>0</v>
      </c>
      <c r="BI208" s="848">
        <f t="shared" si="145"/>
        <v>0</v>
      </c>
      <c r="BJ208" s="848">
        <f t="shared" si="145"/>
        <v>0</v>
      </c>
      <c r="BK208" s="848">
        <f t="shared" si="145"/>
        <v>0</v>
      </c>
      <c r="BL208" s="848">
        <f t="shared" si="145"/>
        <v>0</v>
      </c>
      <c r="BM208" s="848">
        <f t="shared" si="145"/>
        <v>0</v>
      </c>
      <c r="BN208" s="848">
        <f t="shared" si="145"/>
        <v>0</v>
      </c>
      <c r="BO208" s="848">
        <f t="shared" si="145"/>
        <v>0</v>
      </c>
      <c r="BP208" s="848">
        <f t="shared" si="145"/>
        <v>0</v>
      </c>
      <c r="BQ208" s="848">
        <f t="shared" si="145"/>
        <v>0</v>
      </c>
      <c r="BR208" s="848">
        <f t="shared" si="145"/>
        <v>0</v>
      </c>
      <c r="BS208" s="848">
        <f t="shared" si="145"/>
        <v>0</v>
      </c>
      <c r="BT208" s="848">
        <f t="shared" si="145"/>
        <v>0</v>
      </c>
      <c r="BU208" s="848">
        <f t="shared" si="145"/>
        <v>0</v>
      </c>
      <c r="BV208" s="848">
        <f t="shared" ref="BV208:EG208" si="146">BV196</f>
        <v>0</v>
      </c>
      <c r="BW208" s="848">
        <f t="shared" si="146"/>
        <v>0</v>
      </c>
      <c r="BX208" s="848">
        <f t="shared" si="146"/>
        <v>0</v>
      </c>
      <c r="BY208" s="848">
        <f t="shared" si="146"/>
        <v>0</v>
      </c>
      <c r="BZ208" s="848">
        <f t="shared" si="146"/>
        <v>0</v>
      </c>
      <c r="CA208" s="848">
        <f t="shared" si="146"/>
        <v>0</v>
      </c>
      <c r="CB208" s="848">
        <f t="shared" si="146"/>
        <v>0</v>
      </c>
      <c r="CC208" s="848">
        <f t="shared" si="146"/>
        <v>0</v>
      </c>
      <c r="CD208" s="848">
        <f t="shared" si="146"/>
        <v>0</v>
      </c>
      <c r="CE208" s="848">
        <f t="shared" si="146"/>
        <v>0</v>
      </c>
      <c r="CF208" s="848">
        <f t="shared" si="146"/>
        <v>0</v>
      </c>
      <c r="CG208" s="848">
        <f t="shared" si="146"/>
        <v>0</v>
      </c>
      <c r="CH208" s="848">
        <f t="shared" si="146"/>
        <v>0</v>
      </c>
      <c r="CI208" s="848">
        <f t="shared" si="146"/>
        <v>0</v>
      </c>
      <c r="CJ208" s="848">
        <f t="shared" si="146"/>
        <v>0</v>
      </c>
      <c r="CK208" s="848">
        <f t="shared" si="146"/>
        <v>0</v>
      </c>
      <c r="CL208" s="848">
        <f t="shared" si="146"/>
        <v>0</v>
      </c>
      <c r="CM208" s="848">
        <f t="shared" si="146"/>
        <v>0</v>
      </c>
      <c r="CN208" s="848">
        <f t="shared" si="146"/>
        <v>0</v>
      </c>
      <c r="CO208" s="848">
        <f t="shared" si="146"/>
        <v>0</v>
      </c>
      <c r="CP208" s="848">
        <f t="shared" si="146"/>
        <v>0</v>
      </c>
      <c r="CQ208" s="848">
        <f t="shared" si="146"/>
        <v>0</v>
      </c>
      <c r="CR208" s="848">
        <f t="shared" si="146"/>
        <v>0</v>
      </c>
      <c r="CS208" s="848">
        <f t="shared" si="146"/>
        <v>0</v>
      </c>
      <c r="CT208" s="848">
        <f t="shared" si="146"/>
        <v>0</v>
      </c>
      <c r="CU208" s="848">
        <f t="shared" si="146"/>
        <v>0</v>
      </c>
      <c r="CV208" s="848">
        <f t="shared" si="146"/>
        <v>0</v>
      </c>
      <c r="CW208" s="848">
        <f t="shared" si="146"/>
        <v>0</v>
      </c>
      <c r="CX208" s="848">
        <f t="shared" si="146"/>
        <v>0</v>
      </c>
      <c r="CY208" s="848">
        <f t="shared" si="146"/>
        <v>0</v>
      </c>
      <c r="CZ208" s="848">
        <f t="shared" si="146"/>
        <v>0</v>
      </c>
      <c r="DA208" s="848">
        <f t="shared" si="146"/>
        <v>0</v>
      </c>
      <c r="DB208" s="848">
        <f t="shared" si="146"/>
        <v>0</v>
      </c>
      <c r="DC208" s="848">
        <f t="shared" si="146"/>
        <v>0</v>
      </c>
      <c r="DD208" s="848">
        <f t="shared" si="146"/>
        <v>0</v>
      </c>
      <c r="DE208" s="848">
        <f t="shared" si="146"/>
        <v>0</v>
      </c>
      <c r="DF208" s="848">
        <f t="shared" si="146"/>
        <v>0</v>
      </c>
      <c r="DG208" s="848">
        <f t="shared" si="146"/>
        <v>0</v>
      </c>
      <c r="DH208" s="848">
        <f t="shared" si="146"/>
        <v>0</v>
      </c>
      <c r="DI208" s="848">
        <f t="shared" si="146"/>
        <v>0</v>
      </c>
      <c r="DJ208" s="848">
        <f t="shared" si="146"/>
        <v>0</v>
      </c>
      <c r="DK208" s="848">
        <f t="shared" si="146"/>
        <v>0</v>
      </c>
      <c r="DL208" s="848">
        <f t="shared" si="146"/>
        <v>0</v>
      </c>
      <c r="DM208" s="848">
        <f t="shared" si="146"/>
        <v>0</v>
      </c>
      <c r="DN208" s="848">
        <f t="shared" si="146"/>
        <v>0</v>
      </c>
      <c r="DO208" s="848">
        <f t="shared" si="146"/>
        <v>0</v>
      </c>
      <c r="DP208" s="848">
        <f t="shared" si="146"/>
        <v>0</v>
      </c>
      <c r="DQ208" s="848">
        <f t="shared" si="146"/>
        <v>0</v>
      </c>
      <c r="DR208" s="848">
        <f t="shared" si="146"/>
        <v>0</v>
      </c>
      <c r="DS208" s="848">
        <f t="shared" si="146"/>
        <v>0</v>
      </c>
      <c r="DT208" s="848">
        <f t="shared" si="146"/>
        <v>0</v>
      </c>
      <c r="DU208" s="848">
        <f t="shared" si="146"/>
        <v>0</v>
      </c>
      <c r="DV208" s="848">
        <f t="shared" si="146"/>
        <v>0</v>
      </c>
      <c r="DW208" s="848">
        <f t="shared" si="146"/>
        <v>0</v>
      </c>
      <c r="DX208" s="848">
        <f t="shared" si="146"/>
        <v>0</v>
      </c>
      <c r="DY208" s="848">
        <f t="shared" si="146"/>
        <v>0</v>
      </c>
      <c r="DZ208" s="848">
        <f t="shared" si="146"/>
        <v>0</v>
      </c>
      <c r="EA208" s="848">
        <f t="shared" si="146"/>
        <v>0</v>
      </c>
      <c r="EB208" s="848">
        <f t="shared" si="146"/>
        <v>0</v>
      </c>
      <c r="EC208" s="848">
        <f t="shared" si="146"/>
        <v>0</v>
      </c>
      <c r="ED208" s="848">
        <f t="shared" si="146"/>
        <v>0</v>
      </c>
      <c r="EE208" s="848">
        <f t="shared" si="146"/>
        <v>0</v>
      </c>
      <c r="EF208" s="848">
        <f t="shared" si="146"/>
        <v>0</v>
      </c>
      <c r="EG208" s="848">
        <f t="shared" si="146"/>
        <v>0</v>
      </c>
      <c r="EH208" s="848">
        <f t="shared" ref="EH208:EL208" si="147">EH196</f>
        <v>0</v>
      </c>
      <c r="EI208" s="848">
        <f t="shared" si="147"/>
        <v>0</v>
      </c>
      <c r="EJ208" s="848">
        <f t="shared" si="147"/>
        <v>0</v>
      </c>
      <c r="EK208" s="848">
        <f t="shared" si="147"/>
        <v>0</v>
      </c>
      <c r="EL208" s="848">
        <f t="shared" si="147"/>
        <v>0</v>
      </c>
    </row>
    <row r="209" spans="2:142" s="833" customFormat="1" ht="13.5" hidden="1" outlineLevel="1">
      <c r="B209" s="1000"/>
      <c r="D209" s="1075" t="s">
        <v>2074</v>
      </c>
      <c r="E209" s="1001"/>
      <c r="F209" s="1008"/>
      <c r="G209" s="917"/>
      <c r="H209" s="848">
        <f>SUM(J209:EL209)</f>
        <v>0</v>
      </c>
      <c r="J209" s="848">
        <f>J205+J208</f>
        <v>0</v>
      </c>
      <c r="K209" s="848">
        <f t="shared" ref="K209:BV209" si="148">K205+K208</f>
        <v>0</v>
      </c>
      <c r="L209" s="848">
        <f t="shared" si="148"/>
        <v>0</v>
      </c>
      <c r="M209" s="848">
        <f t="shared" si="148"/>
        <v>0</v>
      </c>
      <c r="N209" s="848">
        <f t="shared" si="148"/>
        <v>0</v>
      </c>
      <c r="O209" s="848">
        <f t="shared" si="148"/>
        <v>0</v>
      </c>
      <c r="P209" s="848">
        <f t="shared" si="148"/>
        <v>0</v>
      </c>
      <c r="Q209" s="848">
        <f t="shared" si="148"/>
        <v>0</v>
      </c>
      <c r="R209" s="848">
        <f t="shared" si="148"/>
        <v>0</v>
      </c>
      <c r="S209" s="848">
        <f t="shared" si="148"/>
        <v>0</v>
      </c>
      <c r="T209" s="848">
        <f t="shared" si="148"/>
        <v>0</v>
      </c>
      <c r="U209" s="848">
        <f t="shared" si="148"/>
        <v>0</v>
      </c>
      <c r="V209" s="848">
        <f t="shared" si="148"/>
        <v>0</v>
      </c>
      <c r="W209" s="848">
        <f t="shared" si="148"/>
        <v>0</v>
      </c>
      <c r="X209" s="848">
        <f t="shared" si="148"/>
        <v>0</v>
      </c>
      <c r="Y209" s="848">
        <f t="shared" si="148"/>
        <v>0</v>
      </c>
      <c r="Z209" s="848">
        <f t="shared" si="148"/>
        <v>0</v>
      </c>
      <c r="AA209" s="848">
        <f t="shared" si="148"/>
        <v>0</v>
      </c>
      <c r="AB209" s="848">
        <f t="shared" si="148"/>
        <v>0</v>
      </c>
      <c r="AC209" s="848">
        <f t="shared" si="148"/>
        <v>0</v>
      </c>
      <c r="AD209" s="848">
        <f t="shared" si="148"/>
        <v>0</v>
      </c>
      <c r="AE209" s="848">
        <f t="shared" si="148"/>
        <v>0</v>
      </c>
      <c r="AF209" s="848">
        <f t="shared" si="148"/>
        <v>0</v>
      </c>
      <c r="AG209" s="848">
        <f t="shared" si="148"/>
        <v>0</v>
      </c>
      <c r="AH209" s="848">
        <f t="shared" si="148"/>
        <v>0</v>
      </c>
      <c r="AI209" s="848">
        <f t="shared" si="148"/>
        <v>0</v>
      </c>
      <c r="AJ209" s="848">
        <f t="shared" si="148"/>
        <v>0</v>
      </c>
      <c r="AK209" s="848">
        <f t="shared" si="148"/>
        <v>0</v>
      </c>
      <c r="AL209" s="848">
        <f t="shared" si="148"/>
        <v>0</v>
      </c>
      <c r="AM209" s="848">
        <f t="shared" si="148"/>
        <v>0</v>
      </c>
      <c r="AN209" s="848">
        <f t="shared" si="148"/>
        <v>0</v>
      </c>
      <c r="AO209" s="848">
        <f t="shared" si="148"/>
        <v>0</v>
      </c>
      <c r="AP209" s="848">
        <f t="shared" si="148"/>
        <v>0</v>
      </c>
      <c r="AQ209" s="848">
        <f t="shared" si="148"/>
        <v>0</v>
      </c>
      <c r="AR209" s="848">
        <f t="shared" si="148"/>
        <v>0</v>
      </c>
      <c r="AS209" s="848">
        <f t="shared" si="148"/>
        <v>0</v>
      </c>
      <c r="AT209" s="848">
        <f t="shared" si="148"/>
        <v>0</v>
      </c>
      <c r="AU209" s="848">
        <f t="shared" si="148"/>
        <v>0</v>
      </c>
      <c r="AV209" s="848">
        <f t="shared" si="148"/>
        <v>0</v>
      </c>
      <c r="AW209" s="848">
        <f t="shared" si="148"/>
        <v>0</v>
      </c>
      <c r="AX209" s="848">
        <f t="shared" si="148"/>
        <v>0</v>
      </c>
      <c r="AY209" s="848">
        <f t="shared" si="148"/>
        <v>0</v>
      </c>
      <c r="AZ209" s="848">
        <f t="shared" si="148"/>
        <v>0</v>
      </c>
      <c r="BA209" s="848">
        <f t="shared" si="148"/>
        <v>0</v>
      </c>
      <c r="BB209" s="848">
        <f t="shared" si="148"/>
        <v>0</v>
      </c>
      <c r="BC209" s="848">
        <f t="shared" si="148"/>
        <v>0</v>
      </c>
      <c r="BD209" s="848">
        <f t="shared" si="148"/>
        <v>0</v>
      </c>
      <c r="BE209" s="848">
        <f t="shared" si="148"/>
        <v>0</v>
      </c>
      <c r="BF209" s="848">
        <f t="shared" si="148"/>
        <v>0</v>
      </c>
      <c r="BG209" s="848">
        <f t="shared" si="148"/>
        <v>0</v>
      </c>
      <c r="BH209" s="848">
        <f t="shared" si="148"/>
        <v>0</v>
      </c>
      <c r="BI209" s="848">
        <f t="shared" si="148"/>
        <v>0</v>
      </c>
      <c r="BJ209" s="848">
        <f t="shared" si="148"/>
        <v>0</v>
      </c>
      <c r="BK209" s="848">
        <f t="shared" si="148"/>
        <v>0</v>
      </c>
      <c r="BL209" s="848">
        <f t="shared" si="148"/>
        <v>0</v>
      </c>
      <c r="BM209" s="848">
        <f t="shared" si="148"/>
        <v>0</v>
      </c>
      <c r="BN209" s="848">
        <f t="shared" si="148"/>
        <v>0</v>
      </c>
      <c r="BO209" s="848">
        <f t="shared" si="148"/>
        <v>0</v>
      </c>
      <c r="BP209" s="848">
        <f t="shared" si="148"/>
        <v>0</v>
      </c>
      <c r="BQ209" s="848">
        <f t="shared" si="148"/>
        <v>0</v>
      </c>
      <c r="BR209" s="848">
        <f t="shared" si="148"/>
        <v>0</v>
      </c>
      <c r="BS209" s="848">
        <f t="shared" si="148"/>
        <v>0</v>
      </c>
      <c r="BT209" s="848">
        <f t="shared" si="148"/>
        <v>0</v>
      </c>
      <c r="BU209" s="848">
        <f t="shared" si="148"/>
        <v>0</v>
      </c>
      <c r="BV209" s="848">
        <f t="shared" si="148"/>
        <v>0</v>
      </c>
      <c r="BW209" s="848">
        <f t="shared" ref="BW209:EH209" si="149">BW205+BW208</f>
        <v>0</v>
      </c>
      <c r="BX209" s="848">
        <f t="shared" si="149"/>
        <v>0</v>
      </c>
      <c r="BY209" s="848">
        <f t="shared" si="149"/>
        <v>0</v>
      </c>
      <c r="BZ209" s="848">
        <f t="shared" si="149"/>
        <v>0</v>
      </c>
      <c r="CA209" s="848">
        <f t="shared" si="149"/>
        <v>0</v>
      </c>
      <c r="CB209" s="848">
        <f t="shared" si="149"/>
        <v>0</v>
      </c>
      <c r="CC209" s="848">
        <f t="shared" si="149"/>
        <v>0</v>
      </c>
      <c r="CD209" s="848">
        <f t="shared" si="149"/>
        <v>0</v>
      </c>
      <c r="CE209" s="848">
        <f t="shared" si="149"/>
        <v>0</v>
      </c>
      <c r="CF209" s="848">
        <f t="shared" si="149"/>
        <v>0</v>
      </c>
      <c r="CG209" s="848">
        <f t="shared" si="149"/>
        <v>0</v>
      </c>
      <c r="CH209" s="848">
        <f t="shared" si="149"/>
        <v>0</v>
      </c>
      <c r="CI209" s="848">
        <f t="shared" si="149"/>
        <v>0</v>
      </c>
      <c r="CJ209" s="848">
        <f t="shared" si="149"/>
        <v>0</v>
      </c>
      <c r="CK209" s="848">
        <f t="shared" si="149"/>
        <v>0</v>
      </c>
      <c r="CL209" s="848">
        <f t="shared" si="149"/>
        <v>0</v>
      </c>
      <c r="CM209" s="848">
        <f t="shared" si="149"/>
        <v>0</v>
      </c>
      <c r="CN209" s="848">
        <f t="shared" si="149"/>
        <v>0</v>
      </c>
      <c r="CO209" s="848">
        <f t="shared" si="149"/>
        <v>0</v>
      </c>
      <c r="CP209" s="848">
        <f t="shared" si="149"/>
        <v>0</v>
      </c>
      <c r="CQ209" s="848">
        <f t="shared" si="149"/>
        <v>0</v>
      </c>
      <c r="CR209" s="848">
        <f t="shared" si="149"/>
        <v>0</v>
      </c>
      <c r="CS209" s="848">
        <f t="shared" si="149"/>
        <v>0</v>
      </c>
      <c r="CT209" s="848">
        <f t="shared" si="149"/>
        <v>0</v>
      </c>
      <c r="CU209" s="848">
        <f t="shared" si="149"/>
        <v>0</v>
      </c>
      <c r="CV209" s="848">
        <f t="shared" si="149"/>
        <v>0</v>
      </c>
      <c r="CW209" s="848">
        <f t="shared" si="149"/>
        <v>0</v>
      </c>
      <c r="CX209" s="848">
        <f t="shared" si="149"/>
        <v>0</v>
      </c>
      <c r="CY209" s="848">
        <f t="shared" si="149"/>
        <v>0</v>
      </c>
      <c r="CZ209" s="848">
        <f t="shared" si="149"/>
        <v>0</v>
      </c>
      <c r="DA209" s="848">
        <f t="shared" si="149"/>
        <v>0</v>
      </c>
      <c r="DB209" s="848">
        <f t="shared" si="149"/>
        <v>0</v>
      </c>
      <c r="DC209" s="848">
        <f t="shared" si="149"/>
        <v>0</v>
      </c>
      <c r="DD209" s="848">
        <f t="shared" si="149"/>
        <v>0</v>
      </c>
      <c r="DE209" s="848">
        <f t="shared" si="149"/>
        <v>0</v>
      </c>
      <c r="DF209" s="848">
        <f t="shared" si="149"/>
        <v>0</v>
      </c>
      <c r="DG209" s="848">
        <f t="shared" si="149"/>
        <v>0</v>
      </c>
      <c r="DH209" s="848">
        <f t="shared" si="149"/>
        <v>0</v>
      </c>
      <c r="DI209" s="848">
        <f t="shared" si="149"/>
        <v>0</v>
      </c>
      <c r="DJ209" s="848">
        <f t="shared" si="149"/>
        <v>0</v>
      </c>
      <c r="DK209" s="848">
        <f t="shared" si="149"/>
        <v>0</v>
      </c>
      <c r="DL209" s="848">
        <f t="shared" si="149"/>
        <v>0</v>
      </c>
      <c r="DM209" s="848">
        <f t="shared" si="149"/>
        <v>0</v>
      </c>
      <c r="DN209" s="848">
        <f t="shared" si="149"/>
        <v>0</v>
      </c>
      <c r="DO209" s="848">
        <f t="shared" si="149"/>
        <v>0</v>
      </c>
      <c r="DP209" s="848">
        <f t="shared" si="149"/>
        <v>0</v>
      </c>
      <c r="DQ209" s="848">
        <f t="shared" si="149"/>
        <v>0</v>
      </c>
      <c r="DR209" s="848">
        <f t="shared" si="149"/>
        <v>0</v>
      </c>
      <c r="DS209" s="848">
        <f t="shared" si="149"/>
        <v>0</v>
      </c>
      <c r="DT209" s="848">
        <f t="shared" si="149"/>
        <v>0</v>
      </c>
      <c r="DU209" s="848">
        <f t="shared" si="149"/>
        <v>0</v>
      </c>
      <c r="DV209" s="848">
        <f t="shared" si="149"/>
        <v>0</v>
      </c>
      <c r="DW209" s="848">
        <f t="shared" si="149"/>
        <v>0</v>
      </c>
      <c r="DX209" s="848">
        <f t="shared" si="149"/>
        <v>0</v>
      </c>
      <c r="DY209" s="848">
        <f t="shared" si="149"/>
        <v>0</v>
      </c>
      <c r="DZ209" s="848">
        <f t="shared" si="149"/>
        <v>0</v>
      </c>
      <c r="EA209" s="848">
        <f t="shared" si="149"/>
        <v>0</v>
      </c>
      <c r="EB209" s="848">
        <f t="shared" si="149"/>
        <v>0</v>
      </c>
      <c r="EC209" s="848">
        <f t="shared" si="149"/>
        <v>0</v>
      </c>
      <c r="ED209" s="848">
        <f t="shared" si="149"/>
        <v>0</v>
      </c>
      <c r="EE209" s="848">
        <f t="shared" si="149"/>
        <v>0</v>
      </c>
      <c r="EF209" s="848">
        <f t="shared" si="149"/>
        <v>0</v>
      </c>
      <c r="EG209" s="848">
        <f t="shared" si="149"/>
        <v>0</v>
      </c>
      <c r="EH209" s="848">
        <f t="shared" si="149"/>
        <v>0</v>
      </c>
      <c r="EI209" s="848">
        <f>EI205+EI208</f>
        <v>0</v>
      </c>
      <c r="EJ209" s="848">
        <f>EJ205+EJ208</f>
        <v>0</v>
      </c>
      <c r="EK209" s="848">
        <f>EK205+EK208</f>
        <v>0</v>
      </c>
      <c r="EL209" s="848">
        <f>EL205+EL208</f>
        <v>0</v>
      </c>
    </row>
    <row r="210" spans="2:142" s="888" customFormat="1" ht="13.5" hidden="1" outlineLevel="1">
      <c r="B210" s="1096"/>
      <c r="D210" s="1089" t="s">
        <v>976</v>
      </c>
      <c r="E210" s="1089"/>
      <c r="F210" s="1090"/>
      <c r="G210" s="532">
        <v>0</v>
      </c>
      <c r="H210" s="532">
        <f>IF(H193=0,0,((1+IRR(J209:EL209,1%))^12-1)*(ABS((1+IRR(J209:EL209,1%))^12-1)&gt;0.000001))</f>
        <v>0</v>
      </c>
      <c r="J210" s="536"/>
      <c r="K210" s="536"/>
      <c r="L210" s="536"/>
      <c r="M210" s="536"/>
      <c r="N210" s="536"/>
      <c r="O210" s="536"/>
      <c r="P210" s="536"/>
      <c r="Q210" s="536"/>
      <c r="R210" s="536"/>
      <c r="S210" s="536"/>
      <c r="T210" s="536"/>
      <c r="U210" s="536"/>
      <c r="V210" s="536"/>
      <c r="W210" s="536"/>
      <c r="X210" s="536"/>
      <c r="Y210" s="536"/>
      <c r="Z210" s="536"/>
      <c r="AA210" s="536"/>
      <c r="AB210" s="536"/>
      <c r="AC210" s="536"/>
      <c r="AD210" s="536"/>
      <c r="AE210" s="536"/>
      <c r="AF210" s="536"/>
      <c r="AG210" s="536"/>
      <c r="AH210" s="536"/>
      <c r="AI210" s="536"/>
      <c r="AJ210" s="536"/>
      <c r="AK210" s="536"/>
      <c r="AL210" s="536"/>
      <c r="AM210" s="536"/>
      <c r="AN210" s="536"/>
      <c r="AO210" s="536"/>
      <c r="AP210" s="536"/>
      <c r="AQ210" s="536"/>
      <c r="AR210" s="536"/>
      <c r="AS210" s="536"/>
      <c r="AT210" s="536"/>
      <c r="AU210" s="536"/>
      <c r="AV210" s="536"/>
      <c r="AW210" s="536"/>
      <c r="AX210" s="536"/>
      <c r="AY210" s="536"/>
      <c r="AZ210" s="536"/>
      <c r="BA210" s="536"/>
      <c r="BB210" s="536"/>
      <c r="BC210" s="536"/>
      <c r="BD210" s="536"/>
      <c r="BE210" s="536"/>
      <c r="BF210" s="536"/>
      <c r="BG210" s="536"/>
      <c r="BH210" s="536"/>
      <c r="BI210" s="536"/>
      <c r="BJ210" s="536"/>
      <c r="BK210" s="536"/>
      <c r="BL210" s="536"/>
      <c r="BM210" s="536"/>
      <c r="BN210" s="536"/>
      <c r="BO210" s="536"/>
      <c r="BP210" s="536"/>
      <c r="BQ210" s="536"/>
      <c r="BR210" s="536"/>
      <c r="BS210" s="536"/>
      <c r="BT210" s="536"/>
      <c r="BU210" s="536"/>
      <c r="BV210" s="536"/>
      <c r="BW210" s="536"/>
      <c r="BX210" s="536"/>
      <c r="BY210" s="536"/>
      <c r="BZ210" s="536"/>
      <c r="CA210" s="536"/>
      <c r="CB210" s="536"/>
      <c r="CC210" s="536"/>
      <c r="CD210" s="536"/>
      <c r="CE210" s="536"/>
      <c r="CF210" s="536"/>
      <c r="CG210" s="536"/>
      <c r="CH210" s="536"/>
      <c r="CI210" s="536"/>
      <c r="CJ210" s="536"/>
      <c r="CK210" s="536"/>
      <c r="CL210" s="536"/>
      <c r="CM210" s="536"/>
      <c r="CN210" s="536"/>
      <c r="CO210" s="536"/>
      <c r="CP210" s="536"/>
      <c r="CQ210" s="536"/>
      <c r="CR210" s="536"/>
      <c r="CS210" s="536"/>
      <c r="CT210" s="536"/>
      <c r="CU210" s="536"/>
      <c r="CV210" s="536"/>
      <c r="CW210" s="536"/>
      <c r="CX210" s="536"/>
      <c r="CY210" s="536"/>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row>
    <row r="211" spans="2:142" s="888" customFormat="1" hidden="1" outlineLevel="1">
      <c r="B211" s="1097"/>
      <c r="C211" s="1098"/>
      <c r="D211" s="1098"/>
      <c r="E211" s="1098"/>
      <c r="F211" s="1098"/>
      <c r="G211" s="1098"/>
      <c r="H211" s="537"/>
      <c r="J211" s="537"/>
      <c r="K211" s="537"/>
      <c r="L211" s="537"/>
      <c r="M211" s="537"/>
      <c r="N211" s="537"/>
      <c r="O211" s="537"/>
      <c r="P211" s="537"/>
      <c r="Q211" s="537"/>
      <c r="R211" s="537"/>
      <c r="S211" s="537"/>
      <c r="T211" s="537"/>
      <c r="U211" s="537"/>
      <c r="V211" s="537"/>
      <c r="W211" s="537"/>
      <c r="X211" s="537"/>
      <c r="Y211" s="537"/>
      <c r="Z211" s="537"/>
      <c r="AA211" s="537"/>
      <c r="AB211" s="537"/>
      <c r="AC211" s="537"/>
      <c r="AD211" s="537"/>
      <c r="AE211" s="537"/>
      <c r="AF211" s="537"/>
      <c r="AG211" s="537"/>
      <c r="AH211" s="537"/>
      <c r="AI211" s="537"/>
      <c r="AJ211" s="537"/>
      <c r="AK211" s="537"/>
      <c r="AL211" s="537"/>
      <c r="AM211" s="537"/>
      <c r="AN211" s="537"/>
      <c r="AO211" s="537"/>
      <c r="AP211" s="537"/>
      <c r="AQ211" s="537"/>
      <c r="AR211" s="537"/>
      <c r="AS211" s="537"/>
      <c r="AT211" s="537"/>
      <c r="AU211" s="537"/>
      <c r="AV211" s="537"/>
      <c r="AW211" s="537"/>
      <c r="AX211" s="537"/>
      <c r="AY211" s="537"/>
      <c r="AZ211" s="537"/>
      <c r="BA211" s="537"/>
      <c r="BB211" s="537"/>
      <c r="BC211" s="537"/>
      <c r="BD211" s="537"/>
      <c r="BE211" s="537"/>
      <c r="BF211" s="537"/>
      <c r="BG211" s="537"/>
      <c r="BH211" s="537"/>
      <c r="BI211" s="537"/>
      <c r="BJ211" s="537"/>
      <c r="BK211" s="537"/>
      <c r="BL211" s="537"/>
      <c r="BM211" s="537"/>
      <c r="BN211" s="537"/>
      <c r="BO211" s="537"/>
      <c r="BP211" s="537"/>
      <c r="BQ211" s="537"/>
      <c r="BR211" s="537"/>
      <c r="BS211" s="537"/>
      <c r="BT211" s="537"/>
      <c r="BU211" s="537"/>
      <c r="BV211" s="537"/>
      <c r="BW211" s="537"/>
      <c r="BX211" s="537"/>
      <c r="BY211" s="537"/>
      <c r="BZ211" s="537"/>
      <c r="CA211" s="537"/>
      <c r="CB211" s="537"/>
      <c r="CC211" s="537"/>
      <c r="CD211" s="537"/>
      <c r="CE211" s="537"/>
      <c r="CF211" s="537"/>
      <c r="CG211" s="537"/>
      <c r="CH211" s="537"/>
      <c r="CI211" s="537"/>
      <c r="CJ211" s="537"/>
      <c r="CK211" s="537"/>
      <c r="CL211" s="537"/>
      <c r="CM211" s="537"/>
      <c r="CN211" s="537"/>
      <c r="CO211" s="537"/>
      <c r="CP211" s="537"/>
      <c r="CQ211" s="537"/>
      <c r="CR211" s="537"/>
      <c r="CS211" s="537"/>
      <c r="CT211" s="537"/>
      <c r="CU211" s="537"/>
      <c r="CV211" s="537"/>
      <c r="CW211" s="537"/>
      <c r="CX211" s="537"/>
      <c r="CY211" s="537"/>
      <c r="CZ211" s="537"/>
      <c r="DA211" s="537"/>
      <c r="DB211" s="537"/>
      <c r="DC211" s="537"/>
      <c r="DD211" s="537"/>
      <c r="DE211" s="537"/>
      <c r="DF211" s="537"/>
      <c r="DG211" s="537"/>
      <c r="DH211" s="537"/>
      <c r="DI211" s="537"/>
      <c r="DJ211" s="537"/>
      <c r="DK211" s="537"/>
      <c r="DL211" s="537"/>
      <c r="DM211" s="537"/>
      <c r="DN211" s="537"/>
      <c r="DO211" s="537"/>
      <c r="DP211" s="537"/>
      <c r="DQ211" s="537"/>
      <c r="DR211" s="537"/>
      <c r="DS211" s="537"/>
      <c r="DT211" s="537"/>
      <c r="DU211" s="537"/>
      <c r="DV211" s="537"/>
      <c r="DW211" s="537"/>
      <c r="DX211" s="537"/>
      <c r="DY211" s="537"/>
      <c r="DZ211" s="537"/>
      <c r="EA211" s="537"/>
      <c r="EB211" s="537"/>
      <c r="EC211" s="537"/>
      <c r="ED211" s="537"/>
      <c r="EE211" s="537"/>
      <c r="EF211" s="537"/>
      <c r="EG211" s="537"/>
      <c r="EH211" s="537"/>
      <c r="EI211" s="537"/>
      <c r="EJ211" s="537"/>
      <c r="EK211" s="537"/>
      <c r="EL211" s="537"/>
    </row>
    <row r="212" spans="2:142" s="833" customFormat="1" collapsed="1">
      <c r="B212" s="1083"/>
      <c r="C212" s="1084"/>
      <c r="D212" s="1084"/>
      <c r="E212" s="1084"/>
      <c r="F212" s="1058"/>
      <c r="G212" s="1084"/>
      <c r="H212" s="527"/>
      <c r="J212" s="2345">
        <f>-SUM($J215:J215)*(J$7&lt;=$G$7)</f>
        <v>35000</v>
      </c>
      <c r="K212" s="2345">
        <f>-SUM($J215:K215)*(K$7&lt;=$G$7)</f>
        <v>35000</v>
      </c>
      <c r="L212" s="2345">
        <f>-SUM($J215:L215)*(L$7&lt;=$G$7)</f>
        <v>35000</v>
      </c>
      <c r="M212" s="2345">
        <f>-SUM($J215:M215)*(M$7&lt;=$G$7)</f>
        <v>35000</v>
      </c>
      <c r="N212" s="2345">
        <f>-SUM($J215:N215)*(N$7&lt;=$G$7)</f>
        <v>35000</v>
      </c>
      <c r="O212" s="2345">
        <f>-SUM($J215:O215)*(O$7&lt;=$G$7)</f>
        <v>35000</v>
      </c>
      <c r="P212" s="2345">
        <f>-SUM($J215:P215)*(P$7&lt;=$G$7)</f>
        <v>35000</v>
      </c>
      <c r="Q212" s="2345">
        <f>-SUM($J215:Q215)*(Q$7&lt;=$G$7)</f>
        <v>35000</v>
      </c>
      <c r="R212" s="2345">
        <f>-SUM($J215:R215)*(R$7&lt;=$G$7)</f>
        <v>35000</v>
      </c>
      <c r="S212" s="2345">
        <f>-SUM($J215:S215)*(S$7&lt;=$G$7)</f>
        <v>35000</v>
      </c>
      <c r="T212" s="2345">
        <f>-SUM($J215:T215)*(T$7&lt;=$G$7)</f>
        <v>35000</v>
      </c>
      <c r="U212" s="2345">
        <f>-SUM($J215:U215)*(U$7&lt;=$G$7)</f>
        <v>35000</v>
      </c>
      <c r="V212" s="2345">
        <f>-SUM($J215:V215)*(V$7&lt;=$G$7)</f>
        <v>35000</v>
      </c>
      <c r="W212" s="2345">
        <f>-SUM($J215:W215)*(W$7&lt;=$G$7)</f>
        <v>35000</v>
      </c>
      <c r="X212" s="2345">
        <f>-SUM($J215:X215)*(X$7&lt;=$G$7)</f>
        <v>35000</v>
      </c>
      <c r="Y212" s="2345">
        <f>-SUM($J215:Y215)*(Y$7&lt;=$G$7)</f>
        <v>35000</v>
      </c>
      <c r="Z212" s="2345">
        <f>-SUM($J215:Z215)*(Z$7&lt;=$G$7)</f>
        <v>35000</v>
      </c>
      <c r="AA212" s="2345">
        <f>-SUM($J215:AA215)*(AA$7&lt;=$G$7)</f>
        <v>35000</v>
      </c>
      <c r="AB212" s="2345">
        <f>-SUM($J215:AB215)*(AB$7&lt;=$G$7)</f>
        <v>35000</v>
      </c>
      <c r="AC212" s="2345">
        <f>-SUM($J215:AC215)*(AC$7&lt;=$G$7)</f>
        <v>35000</v>
      </c>
      <c r="AD212" s="2345">
        <f>-SUM($J215:AD215)*(AD$7&lt;=$G$7)</f>
        <v>35000</v>
      </c>
      <c r="AE212" s="2345">
        <f>-SUM($J215:AE215)*(AE$7&lt;=$G$7)</f>
        <v>35000</v>
      </c>
      <c r="AF212" s="2345">
        <f>-SUM($J215:AF215)*(AF$7&lt;=$G$7)</f>
        <v>35000</v>
      </c>
      <c r="AG212" s="2345">
        <f>-SUM($J215:AG215)*(AG$7&lt;=$G$7)</f>
        <v>35000</v>
      </c>
      <c r="AH212" s="2345">
        <f>-SUM($J215:AH215)*(AH$7&lt;=$G$7)</f>
        <v>35000</v>
      </c>
      <c r="AI212" s="2345">
        <f>-SUM($J215:AI215)*(AI$7&lt;=$G$7)</f>
        <v>35000</v>
      </c>
      <c r="AJ212" s="2345">
        <f>-SUM($J215:AJ215)*(AJ$7&lt;=$G$7)</f>
        <v>35000</v>
      </c>
      <c r="AK212" s="2345">
        <f>-SUM($J215:AK215)*(AK$7&lt;=$G$7)</f>
        <v>35000</v>
      </c>
      <c r="AL212" s="2345">
        <f>-SUM($J215:AL215)*(AL$7&lt;=$G$7)</f>
        <v>35000</v>
      </c>
      <c r="AM212" s="2345">
        <f>-SUM($J215:AM215)*(AM$7&lt;=$G$7)</f>
        <v>35000</v>
      </c>
      <c r="AN212" s="2345">
        <f>-SUM($J215:AN215)*(AN$7&lt;=$G$7)</f>
        <v>35000</v>
      </c>
      <c r="AO212" s="2345">
        <f>-SUM($J215:AO215)*(AO$7&lt;=$G$7)</f>
        <v>35000</v>
      </c>
      <c r="AP212" s="2345">
        <f>-SUM($J215:AP215)*(AP$7&lt;=$G$7)</f>
        <v>35000</v>
      </c>
      <c r="AQ212" s="2345">
        <f>-SUM($J215:AQ215)*(AQ$7&lt;=$G$7)</f>
        <v>35000</v>
      </c>
      <c r="AR212" s="2345">
        <f>-SUM($J215:AR215)*(AR$7&lt;=$G$7)</f>
        <v>35000</v>
      </c>
      <c r="AS212" s="2345">
        <f>-SUM($J215:AS215)*(AS$7&lt;=$G$7)</f>
        <v>35000</v>
      </c>
      <c r="AT212" s="2345">
        <f>-SUM($J215:AT215)*(AT$7&lt;=$G$7)</f>
        <v>35000</v>
      </c>
      <c r="AU212" s="2345">
        <f>-SUM($J215:AU215)*(AU$7&lt;=$G$7)</f>
        <v>35000</v>
      </c>
      <c r="AV212" s="2345">
        <f>-SUM($J215:AV215)*(AV$7&lt;=$G$7)</f>
        <v>35000</v>
      </c>
      <c r="AW212" s="2345">
        <f>-SUM($J215:AW215)*(AW$7&lt;=$G$7)</f>
        <v>35000</v>
      </c>
      <c r="AX212" s="2345">
        <f>-SUM($J215:AX215)*(AX$7&lt;=$G$7)</f>
        <v>35000</v>
      </c>
      <c r="AY212" s="2345">
        <f>-SUM($J215:AY215)*(AY$7&lt;=$G$7)</f>
        <v>35000</v>
      </c>
      <c r="AZ212" s="2345">
        <f>-SUM($J215:AZ215)*(AZ$7&lt;=$G$7)</f>
        <v>35000</v>
      </c>
      <c r="BA212" s="2345">
        <f>-SUM($J215:BA215)*(BA$7&lt;=$G$7)</f>
        <v>35000</v>
      </c>
      <c r="BB212" s="2345">
        <f>-SUM($J215:BB215)*(BB$7&lt;=$G$7)</f>
        <v>35000</v>
      </c>
      <c r="BC212" s="2345">
        <f>-SUM($J215:BC215)*(BC$7&lt;=$G$7)</f>
        <v>35000</v>
      </c>
      <c r="BD212" s="2345">
        <f>-SUM($J215:BD215)*(BD$7&lt;=$G$7)</f>
        <v>35000</v>
      </c>
      <c r="BE212" s="2345">
        <f>-SUM($J215:BE215)*(BE$7&lt;=$G$7)</f>
        <v>35000</v>
      </c>
      <c r="BF212" s="2345">
        <f>-SUM($J215:BF215)*(BF$7&lt;=$G$7)</f>
        <v>35000</v>
      </c>
      <c r="BG212" s="2345">
        <f>-SUM($J215:BG215)*(BG$7&lt;=$G$7)</f>
        <v>35000</v>
      </c>
      <c r="BH212" s="2345">
        <f>-SUM($J215:BH215)*(BH$7&lt;=$G$7)</f>
        <v>35000</v>
      </c>
      <c r="BI212" s="2345">
        <f>-SUM($J215:BI215)*(BI$7&lt;=$G$7)</f>
        <v>35000</v>
      </c>
      <c r="BJ212" s="2345">
        <f>-SUM($J215:BJ215)*(BJ$7&lt;=$G$7)</f>
        <v>35000</v>
      </c>
      <c r="BK212" s="2345">
        <f>-SUM($J215:BK215)*(BK$7&lt;=$G$7)</f>
        <v>35000</v>
      </c>
      <c r="BL212" s="2345">
        <f>-SUM($J215:BL215)*(BL$7&lt;=$G$7)</f>
        <v>35000</v>
      </c>
      <c r="BM212" s="2345">
        <f>-SUM($J215:BM215)*(BM$7&lt;=$G$7)</f>
        <v>35000</v>
      </c>
      <c r="BN212" s="2345">
        <f>-SUM($J215:BN215)*(BN$7&lt;=$G$7)</f>
        <v>35000</v>
      </c>
      <c r="BO212" s="2345">
        <f>-SUM($J215:BO215)*(BO$7&lt;=$G$7)</f>
        <v>35000</v>
      </c>
      <c r="BP212" s="2345">
        <f>-SUM($J215:BP215)*(BP$7&lt;=$G$7)</f>
        <v>35000</v>
      </c>
      <c r="BQ212" s="2345">
        <f>-SUM($J215:BQ215)*(BQ$7&lt;=$G$7)</f>
        <v>35000</v>
      </c>
      <c r="BR212" s="2345">
        <f>-SUM($J215:BR215)*(BR$7&lt;=$G$7)</f>
        <v>35000</v>
      </c>
      <c r="BS212" s="2345">
        <f>-SUM($J215:BS215)*(BS$7&lt;=$G$7)</f>
        <v>35000</v>
      </c>
      <c r="BT212" s="2345">
        <f>-SUM($J215:BT215)*(BT$7&lt;=$G$7)</f>
        <v>35000</v>
      </c>
      <c r="BU212" s="2345">
        <f>-SUM($J215:BU215)*(BU$7&lt;=$G$7)</f>
        <v>35000</v>
      </c>
      <c r="BV212" s="2345">
        <f>-SUM($J215:BV215)*(BV$7&lt;=$G$7)</f>
        <v>35000</v>
      </c>
      <c r="BW212" s="2345">
        <f>-SUM($J215:BW215)*(BW$7&lt;=$G$7)</f>
        <v>35000</v>
      </c>
      <c r="BX212" s="2345">
        <f>-SUM($J215:BX215)*(BX$7&lt;=$G$7)</f>
        <v>35000</v>
      </c>
      <c r="BY212" s="2345">
        <f>-SUM($J215:BY215)*(BY$7&lt;=$G$7)</f>
        <v>35000</v>
      </c>
      <c r="BZ212" s="2345">
        <f>-SUM($J215:BZ215)*(BZ$7&lt;=$G$7)</f>
        <v>35000</v>
      </c>
      <c r="CA212" s="2345">
        <f>-SUM($J215:CA215)*(CA$7&lt;=$G$7)</f>
        <v>35000</v>
      </c>
      <c r="CB212" s="2345">
        <f>-SUM($J215:CB215)*(CB$7&lt;=$G$7)</f>
        <v>35000</v>
      </c>
      <c r="CC212" s="2345">
        <f>-SUM($J215:CC215)*(CC$7&lt;=$G$7)</f>
        <v>35000</v>
      </c>
      <c r="CD212" s="2345">
        <f>-SUM($J215:CD215)*(CD$7&lt;=$G$7)</f>
        <v>35000</v>
      </c>
      <c r="CE212" s="2345">
        <f>-SUM($J215:CE215)*(CE$7&lt;=$G$7)</f>
        <v>35000</v>
      </c>
      <c r="CF212" s="2345">
        <f>-SUM($J215:CF215)*(CF$7&lt;=$G$7)</f>
        <v>35000</v>
      </c>
      <c r="CG212" s="2345">
        <f>-SUM($J215:CG215)*(CG$7&lt;=$G$7)</f>
        <v>35000</v>
      </c>
      <c r="CH212" s="2345">
        <f>-SUM($J215:CH215)*(CH$7&lt;=$G$7)</f>
        <v>35000</v>
      </c>
      <c r="CI212" s="2345">
        <f>-SUM($J215:CI215)*(CI$7&lt;=$G$7)</f>
        <v>35000</v>
      </c>
      <c r="CJ212" s="2345">
        <f>-SUM($J215:CJ215)*(CJ$7&lt;=$G$7)</f>
        <v>35000</v>
      </c>
      <c r="CK212" s="2345">
        <f>-SUM($J215:CK215)*(CK$7&lt;=$G$7)</f>
        <v>35000</v>
      </c>
      <c r="CL212" s="2345">
        <f>-SUM($J215:CL215)*(CL$7&lt;=$G$7)</f>
        <v>35000</v>
      </c>
      <c r="CM212" s="2345">
        <f>-SUM($J215:CM215)*(CM$7&lt;=$G$7)</f>
        <v>35000</v>
      </c>
      <c r="CN212" s="2345">
        <f>-SUM($J215:CN215)*(CN$7&lt;=$G$7)</f>
        <v>35000</v>
      </c>
      <c r="CO212" s="2345">
        <f>-SUM($J215:CO215)*(CO$7&lt;=$G$7)</f>
        <v>35000</v>
      </c>
      <c r="CP212" s="2345">
        <f>-SUM($J215:CP215)*(CP$7&lt;=$G$7)</f>
        <v>35000</v>
      </c>
      <c r="CQ212" s="2345">
        <f>-SUM($J215:CQ215)*(CQ$7&lt;=$G$7)</f>
        <v>35000</v>
      </c>
      <c r="CR212" s="2345">
        <f>-SUM($J215:CR215)*(CR$7&lt;=$G$7)</f>
        <v>35000</v>
      </c>
      <c r="CS212" s="2345">
        <f>-SUM($J215:CS215)*(CS$7&lt;=$G$7)</f>
        <v>35000</v>
      </c>
      <c r="CT212" s="2345">
        <f>-SUM($J215:CT215)*(CT$7&lt;=$G$7)</f>
        <v>35000</v>
      </c>
      <c r="CU212" s="2345">
        <f>-SUM($J215:CU215)*(CU$7&lt;=$G$7)</f>
        <v>35000</v>
      </c>
      <c r="CV212" s="2345">
        <f>-SUM($J215:CV215)*(CV$7&lt;=$G$7)</f>
        <v>35000</v>
      </c>
      <c r="CW212" s="2345">
        <f>-SUM($J215:CW215)*(CW$7&lt;=$G$7)</f>
        <v>35000</v>
      </c>
      <c r="CX212" s="2345">
        <f>-SUM($J215:CX215)*(CX$7&lt;=$G$7)</f>
        <v>35000</v>
      </c>
      <c r="CY212" s="2345">
        <f>-SUM($J215:CY215)*(CY$7&lt;=$G$7)</f>
        <v>35000</v>
      </c>
      <c r="CZ212" s="2345">
        <f>-SUM($J215:CZ215)*(CZ$7&lt;=$G$7)</f>
        <v>35000</v>
      </c>
      <c r="DA212" s="2345">
        <f>-SUM($J215:DA215)*(DA$7&lt;=$G$7)</f>
        <v>35000</v>
      </c>
      <c r="DB212" s="2345">
        <f>-SUM($J215:DB215)*(DB$7&lt;=$G$7)</f>
        <v>35000</v>
      </c>
      <c r="DC212" s="2345">
        <f>-SUM($J215:DC215)*(DC$7&lt;=$G$7)</f>
        <v>35000</v>
      </c>
      <c r="DD212" s="2345">
        <f>-SUM($J215:DD215)*(DD$7&lt;=$G$7)</f>
        <v>35000</v>
      </c>
      <c r="DE212" s="2345">
        <f>-SUM($J215:DE215)*(DE$7&lt;=$G$7)</f>
        <v>35000</v>
      </c>
      <c r="DF212" s="2345">
        <f>-SUM($J215:DF215)*(DF$7&lt;=$G$7)</f>
        <v>35000</v>
      </c>
      <c r="DG212" s="2345">
        <f>-SUM($J215:DG215)*(DG$7&lt;=$G$7)</f>
        <v>35000</v>
      </c>
      <c r="DH212" s="2345">
        <f>-SUM($J215:DH215)*(DH$7&lt;=$G$7)</f>
        <v>35000</v>
      </c>
      <c r="DI212" s="2345">
        <f>-SUM($J215:DI215)*(DI$7&lt;=$G$7)</f>
        <v>35000</v>
      </c>
      <c r="DJ212" s="2345">
        <f>-SUM($J215:DJ215)*(DJ$7&lt;=$G$7)</f>
        <v>35000</v>
      </c>
      <c r="DK212" s="2345">
        <f>-SUM($J215:DK215)*(DK$7&lt;=$G$7)</f>
        <v>35000</v>
      </c>
      <c r="DL212" s="2345">
        <f>-SUM($J215:DL215)*(DL$7&lt;=$G$7)</f>
        <v>35000</v>
      </c>
      <c r="DM212" s="2345">
        <f>-SUM($J215:DM215)*(DM$7&lt;=$G$7)</f>
        <v>35000</v>
      </c>
      <c r="DN212" s="2345">
        <f>-SUM($J215:DN215)*(DN$7&lt;=$G$7)</f>
        <v>35000</v>
      </c>
      <c r="DO212" s="2345">
        <f>-SUM($J215:DO215)*(DO$7&lt;=$G$7)</f>
        <v>35000</v>
      </c>
      <c r="DP212" s="2345">
        <f>-SUM($J215:DP215)*(DP$7&lt;=$G$7)</f>
        <v>35000</v>
      </c>
      <c r="DQ212" s="2345">
        <f>-SUM($J215:DQ215)*(DQ$7&lt;=$G$7)</f>
        <v>35000</v>
      </c>
      <c r="DR212" s="2345">
        <f>-SUM($J215:DR215)*(DR$7&lt;=$G$7)</f>
        <v>35000</v>
      </c>
      <c r="DS212" s="2345">
        <f>-SUM($J215:DS215)*(DS$7&lt;=$G$7)</f>
        <v>35000</v>
      </c>
      <c r="DT212" s="2345">
        <f>-SUM($J215:DT215)*(DT$7&lt;=$G$7)</f>
        <v>35000</v>
      </c>
      <c r="DU212" s="2345">
        <f>-SUM($J215:DU215)*(DU$7&lt;=$G$7)</f>
        <v>35000</v>
      </c>
      <c r="DV212" s="2345">
        <f>-SUM($J215:DV215)*(DV$7&lt;=$G$7)</f>
        <v>35000</v>
      </c>
      <c r="DW212" s="2345">
        <f>-SUM($J215:DW215)*(DW$7&lt;=$G$7)</f>
        <v>35000</v>
      </c>
      <c r="DX212" s="2345">
        <f>-SUM($J215:DX215)*(DX$7&lt;=$G$7)</f>
        <v>35000</v>
      </c>
      <c r="DY212" s="2345">
        <f>-SUM($J215:DY215)*(DY$7&lt;=$G$7)</f>
        <v>35000</v>
      </c>
      <c r="DZ212" s="2345">
        <f>-SUM($J215:DZ215)*(DZ$7&lt;=$G$7)</f>
        <v>35000</v>
      </c>
      <c r="EA212" s="2345">
        <f>-SUM($J215:EA215)*(EA$7&lt;=$G$7)</f>
        <v>0</v>
      </c>
      <c r="EB212" s="2345">
        <f>-SUM($J215:EB215)*(EB$7&lt;=$G$7)</f>
        <v>0</v>
      </c>
      <c r="EC212" s="2345">
        <f>-SUM($J215:EC215)*(EC$7&lt;=$G$7)</f>
        <v>0</v>
      </c>
      <c r="ED212" s="2345">
        <f>-SUM($J215:ED215)*(ED$7&lt;=$G$7)</f>
        <v>0</v>
      </c>
      <c r="EE212" s="2345">
        <f>-SUM($J215:EE215)*(EE$7&lt;=$G$7)</f>
        <v>0</v>
      </c>
      <c r="EF212" s="2345">
        <f>-SUM($J215:EF215)*(EF$7&lt;=$G$7)</f>
        <v>0</v>
      </c>
      <c r="EG212" s="2345">
        <f>-SUM($J215:EG215)*(EG$7&lt;=$G$7)</f>
        <v>0</v>
      </c>
      <c r="EH212" s="2345">
        <f>-SUM($J215:EH215)*(EH$7&lt;=$G$7)</f>
        <v>0</v>
      </c>
      <c r="EI212" s="2345">
        <f>-SUM($J215:EI215)*(EI$7&lt;=$G$7)</f>
        <v>0</v>
      </c>
      <c r="EJ212" s="2345">
        <f>-SUM($J215:EJ215)*(EJ$7&lt;=$G$7)</f>
        <v>0</v>
      </c>
      <c r="EK212" s="2345">
        <f>-SUM($J215:EK215)*(EK$7&lt;=$G$7)</f>
        <v>0</v>
      </c>
      <c r="EL212" s="2345">
        <f>-SUM($J215:EL215)*(EL$7&lt;=$G$7)</f>
        <v>0</v>
      </c>
    </row>
    <row r="213" spans="2:142" s="833" customFormat="1" ht="13.5">
      <c r="B213" s="1000"/>
      <c r="C213" s="822" t="s">
        <v>977</v>
      </c>
      <c r="D213" s="1001"/>
      <c r="E213" s="1001"/>
      <c r="F213" s="1008"/>
      <c r="G213" s="1001"/>
      <c r="H213" s="848"/>
      <c r="I213" s="848"/>
      <c r="J213" s="848"/>
      <c r="K213" s="848"/>
      <c r="L213" s="848"/>
      <c r="M213" s="848"/>
      <c r="N213" s="848"/>
      <c r="O213" s="848"/>
      <c r="P213" s="848"/>
      <c r="Q213" s="848"/>
      <c r="R213" s="848"/>
      <c r="S213" s="848"/>
      <c r="T213" s="848"/>
      <c r="U213" s="848"/>
      <c r="V213" s="848"/>
      <c r="W213" s="848"/>
      <c r="X213" s="848"/>
      <c r="Y213" s="848"/>
      <c r="Z213" s="848"/>
      <c r="AA213" s="848"/>
      <c r="AB213" s="848"/>
      <c r="AC213" s="848"/>
      <c r="AD213" s="848"/>
      <c r="AE213" s="848"/>
      <c r="AF213" s="848"/>
      <c r="AG213" s="848"/>
      <c r="AH213" s="848"/>
      <c r="AI213" s="848"/>
      <c r="AJ213" s="848"/>
      <c r="AK213" s="848"/>
      <c r="AL213" s="848"/>
      <c r="AM213" s="848"/>
      <c r="AN213" s="848"/>
      <c r="AO213" s="848"/>
      <c r="AP213" s="848"/>
      <c r="AQ213" s="848"/>
      <c r="AR213" s="848"/>
      <c r="AS213" s="848"/>
      <c r="AT213" s="848"/>
      <c r="AU213" s="848"/>
      <c r="AV213" s="848"/>
      <c r="AW213" s="848"/>
      <c r="AX213" s="848"/>
      <c r="AY213" s="848"/>
      <c r="AZ213" s="848"/>
      <c r="BA213" s="848"/>
      <c r="BB213" s="848"/>
      <c r="BC213" s="848"/>
      <c r="BD213" s="848"/>
      <c r="BE213" s="848"/>
      <c r="BF213" s="848"/>
      <c r="BG213" s="848"/>
      <c r="BH213" s="848"/>
      <c r="BI213" s="848"/>
      <c r="BJ213" s="848"/>
      <c r="BK213" s="848"/>
      <c r="BL213" s="848"/>
      <c r="BM213" s="848"/>
      <c r="BN213" s="848"/>
      <c r="BO213" s="848"/>
      <c r="BP213" s="848"/>
      <c r="BQ213" s="848"/>
      <c r="BR213" s="848"/>
      <c r="BS213" s="848"/>
      <c r="BT213" s="848"/>
      <c r="BU213" s="848"/>
      <c r="BV213" s="848"/>
      <c r="BW213" s="848"/>
      <c r="BX213" s="848"/>
      <c r="BY213" s="848"/>
      <c r="BZ213" s="848"/>
      <c r="CA213" s="848"/>
      <c r="CB213" s="848"/>
      <c r="CC213" s="848"/>
      <c r="CD213" s="848"/>
      <c r="CE213" s="848"/>
      <c r="CF213" s="848"/>
      <c r="CG213" s="848"/>
      <c r="CH213" s="848"/>
      <c r="CI213" s="848"/>
      <c r="CJ213" s="848"/>
      <c r="CK213" s="848"/>
      <c r="CL213" s="848"/>
      <c r="CM213" s="848"/>
      <c r="CN213" s="848"/>
      <c r="CO213" s="848"/>
      <c r="CP213" s="848"/>
      <c r="CQ213" s="848"/>
      <c r="CR213" s="848"/>
      <c r="CS213" s="848"/>
      <c r="CT213" s="848"/>
      <c r="CU213" s="848"/>
      <c r="CV213" s="848"/>
      <c r="CW213" s="848"/>
      <c r="CX213" s="848"/>
      <c r="CY213" s="848"/>
      <c r="CZ213" s="848"/>
      <c r="DA213" s="848"/>
      <c r="DB213" s="848"/>
      <c r="DC213" s="848"/>
      <c r="DD213" s="848"/>
      <c r="DE213" s="848"/>
      <c r="DF213" s="848"/>
      <c r="DG213" s="848"/>
      <c r="DH213" s="848"/>
      <c r="DI213" s="848"/>
      <c r="DJ213" s="848"/>
      <c r="DK213" s="848"/>
      <c r="DL213" s="848"/>
      <c r="DM213" s="848"/>
      <c r="DN213" s="848"/>
      <c r="DO213" s="848"/>
      <c r="DP213" s="848"/>
      <c r="DQ213" s="848"/>
      <c r="DR213" s="848"/>
      <c r="DS213" s="848"/>
      <c r="DT213" s="848"/>
      <c r="DU213" s="848"/>
      <c r="DV213" s="848"/>
      <c r="DW213" s="848"/>
      <c r="DX213" s="848"/>
      <c r="DY213" s="848"/>
      <c r="DZ213" s="848"/>
      <c r="EA213" s="848"/>
      <c r="EB213" s="848"/>
      <c r="EC213" s="848"/>
      <c r="ED213" s="848"/>
      <c r="EE213" s="848"/>
      <c r="EF213" s="848"/>
      <c r="EG213" s="848"/>
      <c r="EH213" s="848"/>
      <c r="EI213" s="848"/>
      <c r="EJ213" s="848"/>
      <c r="EK213" s="848"/>
      <c r="EL213" s="848"/>
    </row>
    <row r="214" spans="2:142" s="833" customFormat="1">
      <c r="B214" s="1000"/>
      <c r="C214" s="1001"/>
      <c r="D214" s="1001"/>
      <c r="E214" s="1001"/>
      <c r="F214" s="1008"/>
      <c r="G214" s="1001"/>
      <c r="H214" s="848"/>
      <c r="I214" s="848"/>
      <c r="J214" s="848"/>
      <c r="K214" s="848"/>
      <c r="L214" s="848"/>
      <c r="M214" s="848"/>
      <c r="N214" s="848"/>
      <c r="O214" s="848"/>
      <c r="P214" s="848"/>
      <c r="Q214" s="848"/>
      <c r="R214" s="848"/>
      <c r="S214" s="848"/>
      <c r="T214" s="848"/>
      <c r="U214" s="848"/>
      <c r="V214" s="848"/>
      <c r="W214" s="848"/>
      <c r="X214" s="848"/>
      <c r="Y214" s="848"/>
      <c r="Z214" s="848"/>
      <c r="AA214" s="848"/>
      <c r="AB214" s="848"/>
      <c r="AC214" s="848"/>
      <c r="AD214" s="848"/>
      <c r="AE214" s="848"/>
      <c r="AF214" s="848"/>
      <c r="AG214" s="848"/>
      <c r="AH214" s="848"/>
      <c r="AI214" s="848"/>
      <c r="AJ214" s="848"/>
      <c r="AK214" s="848"/>
      <c r="AL214" s="848"/>
      <c r="AM214" s="848"/>
      <c r="AN214" s="848"/>
      <c r="AO214" s="848"/>
      <c r="AP214" s="848"/>
      <c r="AQ214" s="848"/>
      <c r="AR214" s="848"/>
      <c r="AS214" s="848"/>
      <c r="AT214" s="848"/>
      <c r="AU214" s="848"/>
      <c r="AV214" s="848"/>
      <c r="AW214" s="848"/>
      <c r="AX214" s="848"/>
      <c r="AY214" s="848"/>
      <c r="AZ214" s="848"/>
      <c r="BA214" s="848"/>
      <c r="BB214" s="848"/>
      <c r="BC214" s="848"/>
      <c r="BD214" s="848"/>
      <c r="BE214" s="848"/>
      <c r="BF214" s="848"/>
      <c r="BG214" s="848"/>
      <c r="BH214" s="848"/>
      <c r="BI214" s="848"/>
      <c r="BJ214" s="848"/>
      <c r="BK214" s="848"/>
      <c r="BL214" s="848"/>
      <c r="BM214" s="848"/>
      <c r="BN214" s="848"/>
      <c r="BO214" s="848"/>
      <c r="BP214" s="848"/>
      <c r="BQ214" s="848"/>
      <c r="BR214" s="848"/>
      <c r="BS214" s="848"/>
      <c r="BT214" s="848"/>
      <c r="BU214" s="848"/>
      <c r="BV214" s="848"/>
      <c r="BW214" s="848"/>
      <c r="BX214" s="848"/>
      <c r="BY214" s="848"/>
      <c r="BZ214" s="848"/>
      <c r="CA214" s="848"/>
      <c r="CB214" s="848"/>
      <c r="CC214" s="848"/>
      <c r="CD214" s="848"/>
      <c r="CE214" s="848"/>
      <c r="CF214" s="848"/>
      <c r="CG214" s="848"/>
      <c r="CH214" s="848"/>
      <c r="CI214" s="848"/>
      <c r="CJ214" s="848"/>
      <c r="CK214" s="848"/>
      <c r="CL214" s="848"/>
      <c r="CM214" s="848"/>
      <c r="CN214" s="848"/>
      <c r="CO214" s="848"/>
      <c r="CP214" s="848"/>
      <c r="CQ214" s="848"/>
      <c r="CR214" s="848"/>
      <c r="CS214" s="848"/>
      <c r="CT214" s="848"/>
      <c r="CU214" s="848"/>
      <c r="CV214" s="848"/>
      <c r="CW214" s="848"/>
      <c r="CX214" s="848"/>
      <c r="CY214" s="848"/>
      <c r="CZ214" s="848"/>
      <c r="DA214" s="848"/>
      <c r="DB214" s="848"/>
      <c r="DC214" s="848"/>
      <c r="DD214" s="848"/>
      <c r="DE214" s="848"/>
      <c r="DF214" s="848"/>
      <c r="DG214" s="848"/>
      <c r="DH214" s="848"/>
      <c r="DI214" s="848"/>
      <c r="DJ214" s="848"/>
      <c r="DK214" s="848"/>
      <c r="DL214" s="848"/>
      <c r="DM214" s="848"/>
      <c r="DN214" s="848"/>
      <c r="DO214" s="848"/>
      <c r="DP214" s="848"/>
      <c r="DQ214" s="848"/>
      <c r="DR214" s="848"/>
      <c r="DS214" s="848"/>
      <c r="DT214" s="848"/>
      <c r="DU214" s="848"/>
      <c r="DV214" s="848"/>
      <c r="DW214" s="848"/>
      <c r="DX214" s="848"/>
      <c r="DY214" s="848"/>
      <c r="DZ214" s="848"/>
      <c r="EA214" s="848"/>
      <c r="EB214" s="848"/>
      <c r="EC214" s="848"/>
      <c r="ED214" s="848"/>
      <c r="EE214" s="848"/>
      <c r="EF214" s="848"/>
      <c r="EG214" s="848"/>
      <c r="EH214" s="848"/>
      <c r="EI214" s="848"/>
      <c r="EJ214" s="848"/>
      <c r="EK214" s="848"/>
      <c r="EL214" s="848"/>
    </row>
    <row r="215" spans="2:142" s="833" customFormat="1" ht="13.5">
      <c r="B215" s="1000"/>
      <c r="D215" s="881" t="s">
        <v>974</v>
      </c>
      <c r="E215" s="1001"/>
      <c r="F215" s="1008"/>
      <c r="G215" s="815">
        <v>-34708.333333333336</v>
      </c>
      <c r="H215" s="848">
        <f t="shared" ref="H215:H221" si="150">SUM(J215:EL215)</f>
        <v>-35000</v>
      </c>
      <c r="I215" s="848"/>
      <c r="J215" s="1858">
        <v>-35000</v>
      </c>
      <c r="K215" s="1858">
        <v>0</v>
      </c>
      <c r="L215" s="1858">
        <v>0</v>
      </c>
      <c r="M215" s="1858">
        <v>0</v>
      </c>
      <c r="N215" s="1858">
        <v>0</v>
      </c>
      <c r="O215" s="1858">
        <v>0</v>
      </c>
      <c r="P215" s="1858">
        <v>0</v>
      </c>
      <c r="Q215" s="1858">
        <v>0</v>
      </c>
      <c r="R215" s="1858">
        <v>0</v>
      </c>
      <c r="S215" s="1858">
        <v>0</v>
      </c>
      <c r="T215" s="1858">
        <v>0</v>
      </c>
      <c r="U215" s="1858">
        <v>0</v>
      </c>
      <c r="V215" s="1858">
        <v>0</v>
      </c>
      <c r="W215" s="1858">
        <v>0</v>
      </c>
      <c r="X215" s="1858">
        <v>0</v>
      </c>
      <c r="Y215" s="1858">
        <v>0</v>
      </c>
      <c r="Z215" s="1858">
        <v>0</v>
      </c>
      <c r="AA215" s="1858">
        <v>0</v>
      </c>
      <c r="AB215" s="1858">
        <v>0</v>
      </c>
      <c r="AC215" s="1858">
        <v>0</v>
      </c>
      <c r="AD215" s="1858">
        <v>0</v>
      </c>
      <c r="AE215" s="1858">
        <v>0</v>
      </c>
      <c r="AF215" s="1858">
        <v>0</v>
      </c>
      <c r="AG215" s="1858">
        <v>0</v>
      </c>
      <c r="AH215" s="1858">
        <v>0</v>
      </c>
      <c r="AI215" s="1858">
        <v>0</v>
      </c>
      <c r="AJ215" s="1858">
        <v>0</v>
      </c>
      <c r="AK215" s="1858">
        <v>0</v>
      </c>
      <c r="AL215" s="1858">
        <v>0</v>
      </c>
      <c r="AM215" s="1858">
        <v>0</v>
      </c>
      <c r="AN215" s="1858">
        <v>0</v>
      </c>
      <c r="AO215" s="1858">
        <v>0</v>
      </c>
      <c r="AP215" s="1858">
        <v>0</v>
      </c>
      <c r="AQ215" s="1858">
        <v>0</v>
      </c>
      <c r="AR215" s="1858">
        <v>0</v>
      </c>
      <c r="AS215" s="1858">
        <v>0</v>
      </c>
      <c r="AT215" s="1858">
        <v>0</v>
      </c>
      <c r="AU215" s="1858">
        <v>0</v>
      </c>
      <c r="AV215" s="1858">
        <v>0</v>
      </c>
      <c r="AW215" s="1858">
        <v>0</v>
      </c>
      <c r="AX215" s="1858">
        <v>0</v>
      </c>
      <c r="AY215" s="1858">
        <v>0</v>
      </c>
      <c r="AZ215" s="1858">
        <v>0</v>
      </c>
      <c r="BA215" s="1858">
        <v>0</v>
      </c>
      <c r="BB215" s="1858">
        <v>0</v>
      </c>
      <c r="BC215" s="1858">
        <v>0</v>
      </c>
      <c r="BD215" s="1858">
        <v>0</v>
      </c>
      <c r="BE215" s="1858">
        <v>0</v>
      </c>
      <c r="BF215" s="1858">
        <v>0</v>
      </c>
      <c r="BG215" s="1858">
        <v>0</v>
      </c>
      <c r="BH215" s="1858">
        <v>0</v>
      </c>
      <c r="BI215" s="1858">
        <v>0</v>
      </c>
      <c r="BJ215" s="1858">
        <v>0</v>
      </c>
      <c r="BK215" s="1858">
        <v>0</v>
      </c>
      <c r="BL215" s="1858">
        <v>0</v>
      </c>
      <c r="BM215" s="1858">
        <v>0</v>
      </c>
      <c r="BN215" s="1858">
        <v>0</v>
      </c>
      <c r="BO215" s="1858">
        <v>0</v>
      </c>
      <c r="BP215" s="1858">
        <v>0</v>
      </c>
      <c r="BQ215" s="1858">
        <v>0</v>
      </c>
      <c r="BR215" s="1858">
        <v>0</v>
      </c>
      <c r="BS215" s="1858">
        <v>0</v>
      </c>
      <c r="BT215" s="1858">
        <v>0</v>
      </c>
      <c r="BU215" s="1858">
        <v>0</v>
      </c>
      <c r="BV215" s="1858">
        <v>0</v>
      </c>
      <c r="BW215" s="1858">
        <v>0</v>
      </c>
      <c r="BX215" s="1858">
        <v>0</v>
      </c>
      <c r="BY215" s="1858">
        <v>0</v>
      </c>
      <c r="BZ215" s="1858">
        <v>0</v>
      </c>
      <c r="CA215" s="1858">
        <v>0</v>
      </c>
      <c r="CB215" s="1858">
        <v>0</v>
      </c>
      <c r="CC215" s="1858">
        <v>0</v>
      </c>
      <c r="CD215" s="1858">
        <v>0</v>
      </c>
      <c r="CE215" s="1858">
        <v>0</v>
      </c>
      <c r="CF215" s="1858">
        <v>0</v>
      </c>
      <c r="CG215" s="1858">
        <v>0</v>
      </c>
      <c r="CH215" s="1858">
        <v>0</v>
      </c>
      <c r="CI215" s="1858">
        <v>0</v>
      </c>
      <c r="CJ215" s="1858">
        <v>0</v>
      </c>
      <c r="CK215" s="1858">
        <v>0</v>
      </c>
      <c r="CL215" s="1858">
        <v>0</v>
      </c>
      <c r="CM215" s="1858">
        <v>0</v>
      </c>
      <c r="CN215" s="1858">
        <v>0</v>
      </c>
      <c r="CO215" s="1858">
        <v>0</v>
      </c>
      <c r="CP215" s="1858">
        <v>0</v>
      </c>
      <c r="CQ215" s="1858">
        <v>0</v>
      </c>
      <c r="CR215" s="1858">
        <v>0</v>
      </c>
      <c r="CS215" s="1858">
        <v>0</v>
      </c>
      <c r="CT215" s="1858">
        <v>0</v>
      </c>
      <c r="CU215" s="1858">
        <v>0</v>
      </c>
      <c r="CV215" s="1858">
        <v>0</v>
      </c>
      <c r="CW215" s="1858">
        <v>0</v>
      </c>
      <c r="CX215" s="1858">
        <v>0</v>
      </c>
      <c r="CY215" s="1858">
        <v>0</v>
      </c>
      <c r="CZ215" s="1858">
        <v>0</v>
      </c>
      <c r="DA215" s="1858">
        <v>0</v>
      </c>
      <c r="DB215" s="1858">
        <v>0</v>
      </c>
      <c r="DC215" s="1858">
        <v>0</v>
      </c>
      <c r="DD215" s="1858">
        <v>0</v>
      </c>
      <c r="DE215" s="1858">
        <v>0</v>
      </c>
      <c r="DF215" s="1858">
        <v>0</v>
      </c>
      <c r="DG215" s="1858">
        <v>0</v>
      </c>
      <c r="DH215" s="1858">
        <v>0</v>
      </c>
      <c r="DI215" s="1858">
        <v>0</v>
      </c>
      <c r="DJ215" s="1858">
        <v>0</v>
      </c>
      <c r="DK215" s="1858">
        <v>0</v>
      </c>
      <c r="DL215" s="1858">
        <v>0</v>
      </c>
      <c r="DM215" s="1858">
        <v>0</v>
      </c>
      <c r="DN215" s="1858">
        <v>0</v>
      </c>
      <c r="DO215" s="1858">
        <v>0</v>
      </c>
      <c r="DP215" s="1858">
        <v>0</v>
      </c>
      <c r="DQ215" s="1858">
        <v>0</v>
      </c>
      <c r="DR215" s="1858">
        <v>0</v>
      </c>
      <c r="DS215" s="1858">
        <v>0</v>
      </c>
      <c r="DT215" s="1858">
        <v>0</v>
      </c>
      <c r="DU215" s="1858">
        <v>0</v>
      </c>
      <c r="DV215" s="1858">
        <v>0</v>
      </c>
      <c r="DW215" s="1858">
        <v>0</v>
      </c>
      <c r="DX215" s="1858">
        <v>0</v>
      </c>
      <c r="DY215" s="1858">
        <v>0</v>
      </c>
      <c r="DZ215" s="1858">
        <v>0</v>
      </c>
      <c r="EA215" s="1858">
        <v>0</v>
      </c>
      <c r="EB215" s="1858">
        <v>0</v>
      </c>
      <c r="EC215" s="1858">
        <v>0</v>
      </c>
      <c r="ED215" s="1858">
        <v>0</v>
      </c>
      <c r="EE215" s="1858">
        <v>0</v>
      </c>
      <c r="EF215" s="1858">
        <v>0</v>
      </c>
      <c r="EG215" s="1858">
        <v>0</v>
      </c>
      <c r="EH215" s="1858">
        <v>0</v>
      </c>
      <c r="EI215" s="1858">
        <v>0</v>
      </c>
      <c r="EJ215" s="1858">
        <v>0</v>
      </c>
      <c r="EK215" s="1858">
        <v>0</v>
      </c>
      <c r="EL215" s="1858">
        <v>0</v>
      </c>
    </row>
    <row r="216" spans="2:142" s="833" customFormat="1" ht="13.5">
      <c r="B216" s="1000"/>
      <c r="D216" s="2344" t="s">
        <v>2078</v>
      </c>
      <c r="E216" s="1001"/>
      <c r="F216" s="1008"/>
      <c r="G216" s="1001"/>
      <c r="H216" s="848">
        <f t="shared" ref="H216" si="151">SUM(J216:EL216)</f>
        <v>0</v>
      </c>
      <c r="I216" s="848"/>
      <c r="J216" s="901">
        <v>0</v>
      </c>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row>
    <row r="217" spans="2:142" s="833" customFormat="1" ht="13.5">
      <c r="B217" s="1000"/>
      <c r="D217" s="881" t="s">
        <v>174</v>
      </c>
      <c r="E217" s="1001"/>
      <c r="F217" s="1008"/>
      <c r="G217" s="1001"/>
      <c r="H217" s="848">
        <f t="shared" si="150"/>
        <v>0</v>
      </c>
      <c r="I217" s="848"/>
      <c r="J217" s="848">
        <v>0</v>
      </c>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row>
    <row r="218" spans="2:142" s="833" customFormat="1" ht="13.5">
      <c r="B218" s="1000"/>
      <c r="D218" s="881"/>
      <c r="E218" s="1001"/>
      <c r="F218" s="1008"/>
      <c r="G218" s="1001"/>
      <c r="H218" s="848"/>
      <c r="I218" s="848"/>
      <c r="J218" s="848"/>
      <c r="K218" s="848"/>
      <c r="L218" s="848"/>
      <c r="M218" s="848"/>
      <c r="N218" s="848"/>
      <c r="O218" s="848"/>
      <c r="P218" s="848"/>
      <c r="Q218" s="848"/>
      <c r="R218" s="848"/>
      <c r="S218" s="848"/>
      <c r="T218" s="848"/>
      <c r="U218" s="848"/>
      <c r="V218" s="848"/>
      <c r="W218" s="848"/>
      <c r="X218" s="848"/>
      <c r="Y218" s="848"/>
      <c r="Z218" s="848"/>
      <c r="AA218" s="848"/>
      <c r="AB218" s="848"/>
      <c r="AC218" s="848"/>
      <c r="AD218" s="848"/>
      <c r="AE218" s="848"/>
      <c r="AF218" s="848"/>
      <c r="AG218" s="848"/>
      <c r="AH218" s="848"/>
      <c r="AI218" s="848"/>
      <c r="AJ218" s="848"/>
      <c r="AK218" s="848"/>
      <c r="AL218" s="848"/>
      <c r="AM218" s="848"/>
      <c r="AN218" s="848"/>
      <c r="AO218" s="848"/>
      <c r="AP218" s="848"/>
      <c r="AQ218" s="848"/>
      <c r="AR218" s="848"/>
      <c r="AS218" s="848"/>
      <c r="AT218" s="848"/>
      <c r="AU218" s="848"/>
      <c r="AV218" s="848"/>
      <c r="AW218" s="848"/>
      <c r="AX218" s="848"/>
      <c r="AY218" s="848"/>
      <c r="AZ218" s="848"/>
      <c r="BA218" s="848"/>
      <c r="BB218" s="848"/>
      <c r="BC218" s="848"/>
      <c r="BD218" s="848"/>
      <c r="BE218" s="848"/>
      <c r="BF218" s="848"/>
      <c r="BG218" s="848"/>
      <c r="BH218" s="848"/>
      <c r="BI218" s="848"/>
      <c r="BJ218" s="848"/>
      <c r="BK218" s="848"/>
      <c r="BL218" s="848"/>
      <c r="BM218" s="848"/>
      <c r="BN218" s="848"/>
      <c r="BO218" s="848"/>
      <c r="BP218" s="848"/>
      <c r="BQ218" s="848"/>
      <c r="BR218" s="848"/>
      <c r="BS218" s="848"/>
      <c r="BT218" s="848"/>
      <c r="BU218" s="848"/>
      <c r="BV218" s="848"/>
      <c r="BW218" s="848"/>
      <c r="BX218" s="848"/>
      <c r="BY218" s="848"/>
      <c r="BZ218" s="848"/>
      <c r="CA218" s="848"/>
      <c r="CB218" s="848"/>
      <c r="CC218" s="848"/>
      <c r="CD218" s="848"/>
      <c r="CE218" s="848"/>
      <c r="CF218" s="848"/>
      <c r="CG218" s="848"/>
      <c r="CH218" s="848"/>
      <c r="CI218" s="848"/>
      <c r="CJ218" s="848"/>
      <c r="CK218" s="848"/>
      <c r="CL218" s="848"/>
      <c r="CM218" s="848"/>
      <c r="CN218" s="848"/>
      <c r="CO218" s="848"/>
      <c r="CP218" s="848"/>
      <c r="CQ218" s="848"/>
      <c r="CR218" s="848"/>
      <c r="CS218" s="848"/>
      <c r="CT218" s="848"/>
      <c r="CU218" s="848"/>
      <c r="CV218" s="848"/>
      <c r="CW218" s="848"/>
      <c r="CX218" s="848"/>
      <c r="CY218" s="848"/>
      <c r="CZ218" s="848"/>
      <c r="DA218" s="848"/>
      <c r="DB218" s="848"/>
      <c r="DC218" s="848"/>
      <c r="DD218" s="848"/>
      <c r="DE218" s="848"/>
      <c r="DF218" s="848"/>
      <c r="DG218" s="848"/>
      <c r="DH218" s="848"/>
      <c r="DI218" s="848"/>
      <c r="DJ218" s="848"/>
      <c r="DK218" s="848"/>
      <c r="DL218" s="848"/>
      <c r="DM218" s="848"/>
      <c r="DN218" s="848"/>
      <c r="DO218" s="848"/>
      <c r="DP218" s="848"/>
      <c r="DQ218" s="848"/>
      <c r="DR218" s="848"/>
      <c r="DS218" s="848"/>
      <c r="DT218" s="848"/>
      <c r="DU218" s="848"/>
      <c r="DV218" s="848"/>
      <c r="DW218" s="848"/>
      <c r="DX218" s="848"/>
      <c r="DY218" s="848"/>
      <c r="DZ218" s="848"/>
      <c r="EA218" s="848"/>
      <c r="EB218" s="848"/>
      <c r="EC218" s="848"/>
      <c r="ED218" s="848"/>
      <c r="EE218" s="848"/>
      <c r="EF218" s="848"/>
      <c r="EG218" s="848"/>
      <c r="EH218" s="848"/>
      <c r="EI218" s="848"/>
      <c r="EJ218" s="848"/>
      <c r="EK218" s="848"/>
      <c r="EL218" s="848"/>
    </row>
    <row r="219" spans="2:142" s="833" customFormat="1" ht="13.5">
      <c r="B219" s="1000"/>
      <c r="D219" s="881" t="s">
        <v>778</v>
      </c>
      <c r="E219" s="1001"/>
      <c r="F219" s="1008"/>
      <c r="G219" s="1001"/>
      <c r="H219" s="848">
        <f t="shared" si="150"/>
        <v>107366.36056018627</v>
      </c>
      <c r="I219" s="848"/>
      <c r="J219" s="848">
        <v>0</v>
      </c>
      <c r="K219" s="848">
        <v>0</v>
      </c>
      <c r="L219" s="848">
        <v>0</v>
      </c>
      <c r="M219" s="848">
        <v>0</v>
      </c>
      <c r="N219" s="848">
        <v>0</v>
      </c>
      <c r="O219" s="848">
        <v>0</v>
      </c>
      <c r="P219" s="848">
        <v>0</v>
      </c>
      <c r="Q219" s="848">
        <v>0</v>
      </c>
      <c r="R219" s="848">
        <v>0</v>
      </c>
      <c r="S219" s="848">
        <v>0</v>
      </c>
      <c r="T219" s="848">
        <v>0</v>
      </c>
      <c r="U219" s="848">
        <v>0</v>
      </c>
      <c r="V219" s="848">
        <v>0</v>
      </c>
      <c r="W219" s="848">
        <v>0</v>
      </c>
      <c r="X219" s="848">
        <v>0</v>
      </c>
      <c r="Y219" s="848">
        <v>0</v>
      </c>
      <c r="Z219" s="848">
        <v>0</v>
      </c>
      <c r="AA219" s="848">
        <v>0</v>
      </c>
      <c r="AB219" s="848">
        <v>0</v>
      </c>
      <c r="AC219" s="848">
        <v>0</v>
      </c>
      <c r="AD219" s="848">
        <v>0</v>
      </c>
      <c r="AE219" s="848">
        <v>0</v>
      </c>
      <c r="AF219" s="848">
        <v>0</v>
      </c>
      <c r="AG219" s="848">
        <v>0</v>
      </c>
      <c r="AH219" s="848">
        <v>0</v>
      </c>
      <c r="AI219" s="848">
        <v>0</v>
      </c>
      <c r="AJ219" s="848">
        <v>0</v>
      </c>
      <c r="AK219" s="848">
        <v>0</v>
      </c>
      <c r="AL219" s="848">
        <v>0</v>
      </c>
      <c r="AM219" s="848">
        <v>0</v>
      </c>
      <c r="AN219" s="848">
        <v>0</v>
      </c>
      <c r="AO219" s="848">
        <v>0</v>
      </c>
      <c r="AP219" s="848">
        <v>0</v>
      </c>
      <c r="AQ219" s="848">
        <v>0</v>
      </c>
      <c r="AR219" s="848">
        <v>0</v>
      </c>
      <c r="AS219" s="848">
        <v>0</v>
      </c>
      <c r="AT219" s="848">
        <v>0</v>
      </c>
      <c r="AU219" s="848">
        <v>0</v>
      </c>
      <c r="AV219" s="848">
        <v>0</v>
      </c>
      <c r="AW219" s="848">
        <v>0</v>
      </c>
      <c r="AX219" s="848">
        <v>0</v>
      </c>
      <c r="AY219" s="848">
        <v>0</v>
      </c>
      <c r="AZ219" s="848">
        <v>0</v>
      </c>
      <c r="BA219" s="848">
        <v>0</v>
      </c>
      <c r="BB219" s="848">
        <v>0</v>
      </c>
      <c r="BC219" s="848">
        <v>0</v>
      </c>
      <c r="BD219" s="848">
        <v>0</v>
      </c>
      <c r="BE219" s="848">
        <v>0</v>
      </c>
      <c r="BF219" s="848">
        <v>0</v>
      </c>
      <c r="BG219" s="848">
        <v>0</v>
      </c>
      <c r="BH219" s="848">
        <v>0</v>
      </c>
      <c r="BI219" s="848">
        <v>0</v>
      </c>
      <c r="BJ219" s="848">
        <v>0</v>
      </c>
      <c r="BK219" s="848">
        <v>0</v>
      </c>
      <c r="BL219" s="848">
        <v>0</v>
      </c>
      <c r="BM219" s="848">
        <v>0</v>
      </c>
      <c r="BN219" s="848">
        <v>0</v>
      </c>
      <c r="BO219" s="848">
        <v>0</v>
      </c>
      <c r="BP219" s="848">
        <v>0</v>
      </c>
      <c r="BQ219" s="848">
        <v>0</v>
      </c>
      <c r="BR219" s="848">
        <v>0</v>
      </c>
      <c r="BS219" s="848">
        <v>0</v>
      </c>
      <c r="BT219" s="848">
        <v>0</v>
      </c>
      <c r="BU219" s="848">
        <v>0</v>
      </c>
      <c r="BV219" s="848">
        <v>0</v>
      </c>
      <c r="BW219" s="848">
        <v>0</v>
      </c>
      <c r="BX219" s="848">
        <v>0</v>
      </c>
      <c r="BY219" s="848">
        <v>0</v>
      </c>
      <c r="BZ219" s="848">
        <v>0</v>
      </c>
      <c r="CA219" s="848">
        <v>0</v>
      </c>
      <c r="CB219" s="848">
        <v>0</v>
      </c>
      <c r="CC219" s="848">
        <v>0</v>
      </c>
      <c r="CD219" s="848">
        <v>0</v>
      </c>
      <c r="CE219" s="848">
        <v>0</v>
      </c>
      <c r="CF219" s="848">
        <v>0</v>
      </c>
      <c r="CG219" s="848">
        <v>0</v>
      </c>
      <c r="CH219" s="848">
        <v>0</v>
      </c>
      <c r="CI219" s="848">
        <v>0</v>
      </c>
      <c r="CJ219" s="848">
        <v>0</v>
      </c>
      <c r="CK219" s="848">
        <v>0</v>
      </c>
      <c r="CL219" s="848">
        <v>0</v>
      </c>
      <c r="CM219" s="848">
        <v>0</v>
      </c>
      <c r="CN219" s="848">
        <v>0</v>
      </c>
      <c r="CO219" s="848">
        <v>0</v>
      </c>
      <c r="CP219" s="848">
        <v>0</v>
      </c>
      <c r="CQ219" s="848">
        <v>0</v>
      </c>
      <c r="CR219" s="848">
        <v>0</v>
      </c>
      <c r="CS219" s="848">
        <v>0</v>
      </c>
      <c r="CT219" s="848">
        <v>0</v>
      </c>
      <c r="CU219" s="848">
        <v>0</v>
      </c>
      <c r="CV219" s="848">
        <v>0</v>
      </c>
      <c r="CW219" s="848">
        <v>0</v>
      </c>
      <c r="CX219" s="848">
        <v>0</v>
      </c>
      <c r="CY219" s="848">
        <v>0</v>
      </c>
      <c r="CZ219" s="848">
        <v>0</v>
      </c>
      <c r="DA219" s="848">
        <v>0</v>
      </c>
      <c r="DB219" s="848">
        <v>0</v>
      </c>
      <c r="DC219" s="848">
        <v>0</v>
      </c>
      <c r="DD219" s="848">
        <v>0</v>
      </c>
      <c r="DE219" s="848">
        <v>0</v>
      </c>
      <c r="DF219" s="848">
        <v>0</v>
      </c>
      <c r="DG219" s="848">
        <v>0</v>
      </c>
      <c r="DH219" s="848">
        <v>0</v>
      </c>
      <c r="DI219" s="848">
        <v>0</v>
      </c>
      <c r="DJ219" s="848">
        <v>0</v>
      </c>
      <c r="DK219" s="848">
        <v>0</v>
      </c>
      <c r="DL219" s="848">
        <v>0</v>
      </c>
      <c r="DM219" s="848">
        <v>0</v>
      </c>
      <c r="DN219" s="848">
        <v>0</v>
      </c>
      <c r="DO219" s="848">
        <v>0</v>
      </c>
      <c r="DP219" s="848">
        <v>0</v>
      </c>
      <c r="DQ219" s="848">
        <v>0</v>
      </c>
      <c r="DR219" s="848">
        <v>0</v>
      </c>
      <c r="DS219" s="848">
        <v>0</v>
      </c>
      <c r="DT219" s="848">
        <v>0</v>
      </c>
      <c r="DU219" s="848">
        <v>0</v>
      </c>
      <c r="DV219" s="848">
        <v>0</v>
      </c>
      <c r="DW219" s="848">
        <v>0</v>
      </c>
      <c r="DX219" s="848">
        <v>0</v>
      </c>
      <c r="DY219" s="848">
        <v>0</v>
      </c>
      <c r="DZ219" s="848">
        <v>107366.36056018627</v>
      </c>
      <c r="EA219" s="848">
        <v>0</v>
      </c>
      <c r="EB219" s="848">
        <v>0</v>
      </c>
      <c r="EC219" s="848">
        <v>0</v>
      </c>
      <c r="ED219" s="848">
        <v>0</v>
      </c>
      <c r="EE219" s="848">
        <v>0</v>
      </c>
      <c r="EF219" s="848">
        <v>0</v>
      </c>
      <c r="EG219" s="848">
        <v>0</v>
      </c>
      <c r="EH219" s="848">
        <v>0</v>
      </c>
      <c r="EI219" s="848">
        <v>0</v>
      </c>
      <c r="EJ219" s="848">
        <v>0</v>
      </c>
      <c r="EK219" s="848">
        <v>0</v>
      </c>
      <c r="EL219" s="848">
        <v>0</v>
      </c>
    </row>
    <row r="220" spans="2:142" s="833" customFormat="1" ht="13.5">
      <c r="B220" s="1000"/>
      <c r="D220" s="881" t="s">
        <v>975</v>
      </c>
      <c r="E220" s="1001"/>
      <c r="F220" s="1008"/>
      <c r="G220" s="1001"/>
      <c r="H220" s="848">
        <f t="shared" si="150"/>
        <v>35000</v>
      </c>
      <c r="I220" s="848"/>
      <c r="J220" s="848">
        <v>0</v>
      </c>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35000</v>
      </c>
      <c r="EA220" s="848">
        <v>0</v>
      </c>
      <c r="EB220" s="848">
        <v>0</v>
      </c>
      <c r="EC220" s="848">
        <v>0</v>
      </c>
      <c r="ED220" s="848">
        <v>0</v>
      </c>
      <c r="EE220" s="848">
        <v>0</v>
      </c>
      <c r="EF220" s="848">
        <v>0</v>
      </c>
      <c r="EG220" s="848">
        <v>0</v>
      </c>
      <c r="EH220" s="848">
        <v>0</v>
      </c>
      <c r="EI220" s="848">
        <v>0</v>
      </c>
      <c r="EJ220" s="848">
        <v>0</v>
      </c>
      <c r="EK220" s="848">
        <v>0</v>
      </c>
      <c r="EL220" s="848">
        <v>0</v>
      </c>
    </row>
    <row r="221" spans="2:142" s="833" customFormat="1" ht="13.5">
      <c r="B221" s="1000"/>
      <c r="D221" s="1001" t="s">
        <v>969</v>
      </c>
      <c r="E221" s="1001"/>
      <c r="F221" s="1008"/>
      <c r="G221" s="1001"/>
      <c r="H221" s="848">
        <f t="shared" si="150"/>
        <v>107366.36056018627</v>
      </c>
      <c r="I221" s="848"/>
      <c r="J221" s="848">
        <f t="shared" ref="J221:AO221" si="152">SUM(J215:J220)</f>
        <v>-35000</v>
      </c>
      <c r="K221" s="848">
        <f t="shared" si="152"/>
        <v>0</v>
      </c>
      <c r="L221" s="848">
        <f t="shared" si="152"/>
        <v>0</v>
      </c>
      <c r="M221" s="848">
        <f t="shared" si="152"/>
        <v>0</v>
      </c>
      <c r="N221" s="848">
        <f t="shared" si="152"/>
        <v>0</v>
      </c>
      <c r="O221" s="848">
        <f t="shared" si="152"/>
        <v>0</v>
      </c>
      <c r="P221" s="848">
        <f t="shared" si="152"/>
        <v>0</v>
      </c>
      <c r="Q221" s="848">
        <f t="shared" si="152"/>
        <v>0</v>
      </c>
      <c r="R221" s="848">
        <f t="shared" si="152"/>
        <v>0</v>
      </c>
      <c r="S221" s="848">
        <f t="shared" si="152"/>
        <v>0</v>
      </c>
      <c r="T221" s="848">
        <f t="shared" si="152"/>
        <v>0</v>
      </c>
      <c r="U221" s="848">
        <f t="shared" si="152"/>
        <v>0</v>
      </c>
      <c r="V221" s="848">
        <f t="shared" si="152"/>
        <v>0</v>
      </c>
      <c r="W221" s="848">
        <f t="shared" si="152"/>
        <v>0</v>
      </c>
      <c r="X221" s="848">
        <f t="shared" si="152"/>
        <v>0</v>
      </c>
      <c r="Y221" s="848">
        <f t="shared" si="152"/>
        <v>0</v>
      </c>
      <c r="Z221" s="848">
        <f t="shared" si="152"/>
        <v>0</v>
      </c>
      <c r="AA221" s="848">
        <f t="shared" si="152"/>
        <v>0</v>
      </c>
      <c r="AB221" s="848">
        <f t="shared" si="152"/>
        <v>0</v>
      </c>
      <c r="AC221" s="848">
        <f t="shared" si="152"/>
        <v>0</v>
      </c>
      <c r="AD221" s="848">
        <f t="shared" si="152"/>
        <v>0</v>
      </c>
      <c r="AE221" s="848">
        <f t="shared" si="152"/>
        <v>0</v>
      </c>
      <c r="AF221" s="848">
        <f t="shared" si="152"/>
        <v>0</v>
      </c>
      <c r="AG221" s="848">
        <f t="shared" si="152"/>
        <v>0</v>
      </c>
      <c r="AH221" s="848">
        <f t="shared" si="152"/>
        <v>0</v>
      </c>
      <c r="AI221" s="848">
        <f t="shared" si="152"/>
        <v>0</v>
      </c>
      <c r="AJ221" s="848">
        <f t="shared" si="152"/>
        <v>0</v>
      </c>
      <c r="AK221" s="848">
        <f t="shared" si="152"/>
        <v>0</v>
      </c>
      <c r="AL221" s="848">
        <f t="shared" si="152"/>
        <v>0</v>
      </c>
      <c r="AM221" s="848">
        <f t="shared" si="152"/>
        <v>0</v>
      </c>
      <c r="AN221" s="848">
        <f t="shared" si="152"/>
        <v>0</v>
      </c>
      <c r="AO221" s="848">
        <f t="shared" si="152"/>
        <v>0</v>
      </c>
      <c r="AP221" s="848">
        <f t="shared" ref="AP221:DA221" si="153">SUM(AP215:AP220)</f>
        <v>0</v>
      </c>
      <c r="AQ221" s="848">
        <f t="shared" si="153"/>
        <v>0</v>
      </c>
      <c r="AR221" s="848">
        <f t="shared" si="153"/>
        <v>0</v>
      </c>
      <c r="AS221" s="848">
        <f t="shared" si="153"/>
        <v>0</v>
      </c>
      <c r="AT221" s="848">
        <f t="shared" si="153"/>
        <v>0</v>
      </c>
      <c r="AU221" s="848">
        <f t="shared" si="153"/>
        <v>0</v>
      </c>
      <c r="AV221" s="848">
        <f t="shared" si="153"/>
        <v>0</v>
      </c>
      <c r="AW221" s="848">
        <f t="shared" si="153"/>
        <v>0</v>
      </c>
      <c r="AX221" s="848">
        <f t="shared" si="153"/>
        <v>0</v>
      </c>
      <c r="AY221" s="848">
        <f t="shared" si="153"/>
        <v>0</v>
      </c>
      <c r="AZ221" s="848">
        <f t="shared" si="153"/>
        <v>0</v>
      </c>
      <c r="BA221" s="848">
        <f t="shared" si="153"/>
        <v>0</v>
      </c>
      <c r="BB221" s="848">
        <f t="shared" si="153"/>
        <v>0</v>
      </c>
      <c r="BC221" s="848">
        <f t="shared" si="153"/>
        <v>0</v>
      </c>
      <c r="BD221" s="848">
        <f t="shared" si="153"/>
        <v>0</v>
      </c>
      <c r="BE221" s="848">
        <f t="shared" si="153"/>
        <v>0</v>
      </c>
      <c r="BF221" s="848">
        <f t="shared" si="153"/>
        <v>0</v>
      </c>
      <c r="BG221" s="848">
        <f t="shared" si="153"/>
        <v>0</v>
      </c>
      <c r="BH221" s="848">
        <f t="shared" si="153"/>
        <v>0</v>
      </c>
      <c r="BI221" s="848">
        <f t="shared" si="153"/>
        <v>0</v>
      </c>
      <c r="BJ221" s="848">
        <f t="shared" si="153"/>
        <v>0</v>
      </c>
      <c r="BK221" s="848">
        <f t="shared" si="153"/>
        <v>0</v>
      </c>
      <c r="BL221" s="848">
        <f t="shared" si="153"/>
        <v>0</v>
      </c>
      <c r="BM221" s="848">
        <f t="shared" si="153"/>
        <v>0</v>
      </c>
      <c r="BN221" s="848">
        <f t="shared" si="153"/>
        <v>0</v>
      </c>
      <c r="BO221" s="848">
        <f t="shared" si="153"/>
        <v>0</v>
      </c>
      <c r="BP221" s="848">
        <f t="shared" si="153"/>
        <v>0</v>
      </c>
      <c r="BQ221" s="848">
        <f t="shared" si="153"/>
        <v>0</v>
      </c>
      <c r="BR221" s="848">
        <f t="shared" si="153"/>
        <v>0</v>
      </c>
      <c r="BS221" s="848">
        <f t="shared" si="153"/>
        <v>0</v>
      </c>
      <c r="BT221" s="848">
        <f t="shared" si="153"/>
        <v>0</v>
      </c>
      <c r="BU221" s="848">
        <f t="shared" si="153"/>
        <v>0</v>
      </c>
      <c r="BV221" s="848">
        <f t="shared" si="153"/>
        <v>0</v>
      </c>
      <c r="BW221" s="848">
        <f t="shared" si="153"/>
        <v>0</v>
      </c>
      <c r="BX221" s="848">
        <f t="shared" si="153"/>
        <v>0</v>
      </c>
      <c r="BY221" s="848">
        <f t="shared" si="153"/>
        <v>0</v>
      </c>
      <c r="BZ221" s="848">
        <f t="shared" si="153"/>
        <v>0</v>
      </c>
      <c r="CA221" s="848">
        <f t="shared" si="153"/>
        <v>0</v>
      </c>
      <c r="CB221" s="848">
        <f t="shared" si="153"/>
        <v>0</v>
      </c>
      <c r="CC221" s="848">
        <f t="shared" si="153"/>
        <v>0</v>
      </c>
      <c r="CD221" s="848">
        <f t="shared" si="153"/>
        <v>0</v>
      </c>
      <c r="CE221" s="848">
        <f t="shared" si="153"/>
        <v>0</v>
      </c>
      <c r="CF221" s="848">
        <f t="shared" si="153"/>
        <v>0</v>
      </c>
      <c r="CG221" s="848">
        <f t="shared" si="153"/>
        <v>0</v>
      </c>
      <c r="CH221" s="848">
        <f t="shared" si="153"/>
        <v>0</v>
      </c>
      <c r="CI221" s="848">
        <f t="shared" si="153"/>
        <v>0</v>
      </c>
      <c r="CJ221" s="848">
        <f t="shared" si="153"/>
        <v>0</v>
      </c>
      <c r="CK221" s="848">
        <f t="shared" si="153"/>
        <v>0</v>
      </c>
      <c r="CL221" s="848">
        <f t="shared" si="153"/>
        <v>0</v>
      </c>
      <c r="CM221" s="848">
        <f t="shared" si="153"/>
        <v>0</v>
      </c>
      <c r="CN221" s="848">
        <f t="shared" si="153"/>
        <v>0</v>
      </c>
      <c r="CO221" s="848">
        <f t="shared" si="153"/>
        <v>0</v>
      </c>
      <c r="CP221" s="848">
        <f t="shared" si="153"/>
        <v>0</v>
      </c>
      <c r="CQ221" s="848">
        <f t="shared" si="153"/>
        <v>0</v>
      </c>
      <c r="CR221" s="848">
        <f t="shared" si="153"/>
        <v>0</v>
      </c>
      <c r="CS221" s="848">
        <f t="shared" si="153"/>
        <v>0</v>
      </c>
      <c r="CT221" s="848">
        <f t="shared" si="153"/>
        <v>0</v>
      </c>
      <c r="CU221" s="848">
        <f t="shared" si="153"/>
        <v>0</v>
      </c>
      <c r="CV221" s="848">
        <f t="shared" si="153"/>
        <v>0</v>
      </c>
      <c r="CW221" s="848">
        <f t="shared" si="153"/>
        <v>0</v>
      </c>
      <c r="CX221" s="848">
        <f t="shared" si="153"/>
        <v>0</v>
      </c>
      <c r="CY221" s="848">
        <f t="shared" si="153"/>
        <v>0</v>
      </c>
      <c r="CZ221" s="848">
        <f t="shared" si="153"/>
        <v>0</v>
      </c>
      <c r="DA221" s="848">
        <f t="shared" si="153"/>
        <v>0</v>
      </c>
      <c r="DB221" s="848">
        <f t="shared" ref="DB221:EL221" si="154">SUM(DB215:DB220)</f>
        <v>0</v>
      </c>
      <c r="DC221" s="848">
        <f t="shared" si="154"/>
        <v>0</v>
      </c>
      <c r="DD221" s="848">
        <f t="shared" si="154"/>
        <v>0</v>
      </c>
      <c r="DE221" s="848">
        <f t="shared" si="154"/>
        <v>0</v>
      </c>
      <c r="DF221" s="848">
        <f t="shared" si="154"/>
        <v>0</v>
      </c>
      <c r="DG221" s="848">
        <f t="shared" si="154"/>
        <v>0</v>
      </c>
      <c r="DH221" s="848">
        <f t="shared" si="154"/>
        <v>0</v>
      </c>
      <c r="DI221" s="848">
        <f t="shared" si="154"/>
        <v>0</v>
      </c>
      <c r="DJ221" s="848">
        <f t="shared" si="154"/>
        <v>0</v>
      </c>
      <c r="DK221" s="848">
        <f t="shared" si="154"/>
        <v>0</v>
      </c>
      <c r="DL221" s="848">
        <f t="shared" si="154"/>
        <v>0</v>
      </c>
      <c r="DM221" s="848">
        <f t="shared" si="154"/>
        <v>0</v>
      </c>
      <c r="DN221" s="848">
        <f t="shared" si="154"/>
        <v>0</v>
      </c>
      <c r="DO221" s="848">
        <f t="shared" si="154"/>
        <v>0</v>
      </c>
      <c r="DP221" s="848">
        <f t="shared" si="154"/>
        <v>0</v>
      </c>
      <c r="DQ221" s="848">
        <f t="shared" si="154"/>
        <v>0</v>
      </c>
      <c r="DR221" s="848">
        <f t="shared" si="154"/>
        <v>0</v>
      </c>
      <c r="DS221" s="848">
        <f t="shared" si="154"/>
        <v>0</v>
      </c>
      <c r="DT221" s="848">
        <f t="shared" si="154"/>
        <v>0</v>
      </c>
      <c r="DU221" s="848">
        <f t="shared" si="154"/>
        <v>0</v>
      </c>
      <c r="DV221" s="848">
        <f t="shared" si="154"/>
        <v>0</v>
      </c>
      <c r="DW221" s="848">
        <f t="shared" si="154"/>
        <v>0</v>
      </c>
      <c r="DX221" s="848">
        <f t="shared" si="154"/>
        <v>0</v>
      </c>
      <c r="DY221" s="848">
        <f t="shared" si="154"/>
        <v>0</v>
      </c>
      <c r="DZ221" s="848">
        <f t="shared" si="154"/>
        <v>142366.36056018627</v>
      </c>
      <c r="EA221" s="848">
        <f t="shared" si="154"/>
        <v>0</v>
      </c>
      <c r="EB221" s="848">
        <f t="shared" si="154"/>
        <v>0</v>
      </c>
      <c r="EC221" s="848">
        <f t="shared" si="154"/>
        <v>0</v>
      </c>
      <c r="ED221" s="848">
        <f t="shared" si="154"/>
        <v>0</v>
      </c>
      <c r="EE221" s="848">
        <f t="shared" si="154"/>
        <v>0</v>
      </c>
      <c r="EF221" s="848">
        <f t="shared" si="154"/>
        <v>0</v>
      </c>
      <c r="EG221" s="848">
        <f t="shared" si="154"/>
        <v>0</v>
      </c>
      <c r="EH221" s="848">
        <f t="shared" si="154"/>
        <v>0</v>
      </c>
      <c r="EI221" s="848">
        <f t="shared" si="154"/>
        <v>0</v>
      </c>
      <c r="EJ221" s="848">
        <f t="shared" si="154"/>
        <v>0</v>
      </c>
      <c r="EK221" s="848">
        <f t="shared" si="154"/>
        <v>0</v>
      </c>
      <c r="EL221" s="848">
        <f t="shared" si="154"/>
        <v>0</v>
      </c>
    </row>
    <row r="222" spans="2:142" s="833" customFormat="1" ht="13.5">
      <c r="B222" s="1000"/>
      <c r="D222" s="1085" t="s">
        <v>2076</v>
      </c>
      <c r="E222" s="1085"/>
      <c r="F222" s="1086"/>
      <c r="G222" s="528">
        <v>0.30933885395491845</v>
      </c>
      <c r="H222" s="528">
        <f>IFERROR(((1+IRR(J221:EL221,1%))^12-1)*(ABS((1+IRR(J221:EL221,1%))^12-1)&gt;0.000001),)</f>
        <v>0.15062533914769771</v>
      </c>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row>
    <row r="223" spans="2:142" s="833" customFormat="1">
      <c r="B223" s="1000"/>
      <c r="D223" s="1001"/>
      <c r="E223" s="1001"/>
      <c r="F223" s="1008"/>
      <c r="G223" s="529"/>
      <c r="H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row>
    <row r="224" spans="2:142" s="833" customFormat="1" ht="13.5">
      <c r="B224" s="1000"/>
      <c r="D224" s="881" t="s">
        <v>2198</v>
      </c>
      <c r="E224" s="1001"/>
      <c r="F224" s="1008"/>
      <c r="G224" s="917"/>
      <c r="H224" s="848">
        <f>SUM(J224:EL224)</f>
        <v>107366.36056018627</v>
      </c>
      <c r="J224" s="848">
        <f t="shared" ref="J224:BU224" si="155">SUM(J219:J219)</f>
        <v>0</v>
      </c>
      <c r="K224" s="848">
        <f t="shared" si="155"/>
        <v>0</v>
      </c>
      <c r="L224" s="848">
        <f t="shared" si="155"/>
        <v>0</v>
      </c>
      <c r="M224" s="848">
        <f t="shared" si="155"/>
        <v>0</v>
      </c>
      <c r="N224" s="848">
        <f t="shared" si="155"/>
        <v>0</v>
      </c>
      <c r="O224" s="848">
        <f t="shared" si="155"/>
        <v>0</v>
      </c>
      <c r="P224" s="848">
        <f t="shared" si="155"/>
        <v>0</v>
      </c>
      <c r="Q224" s="848">
        <f t="shared" si="155"/>
        <v>0</v>
      </c>
      <c r="R224" s="848">
        <f t="shared" si="155"/>
        <v>0</v>
      </c>
      <c r="S224" s="848">
        <f t="shared" si="155"/>
        <v>0</v>
      </c>
      <c r="T224" s="848">
        <f t="shared" si="155"/>
        <v>0</v>
      </c>
      <c r="U224" s="848">
        <f t="shared" si="155"/>
        <v>0</v>
      </c>
      <c r="V224" s="848">
        <f t="shared" si="155"/>
        <v>0</v>
      </c>
      <c r="W224" s="848">
        <f t="shared" si="155"/>
        <v>0</v>
      </c>
      <c r="X224" s="848">
        <f t="shared" si="155"/>
        <v>0</v>
      </c>
      <c r="Y224" s="848">
        <f t="shared" si="155"/>
        <v>0</v>
      </c>
      <c r="Z224" s="848">
        <f t="shared" si="155"/>
        <v>0</v>
      </c>
      <c r="AA224" s="848">
        <f t="shared" si="155"/>
        <v>0</v>
      </c>
      <c r="AB224" s="848">
        <f t="shared" si="155"/>
        <v>0</v>
      </c>
      <c r="AC224" s="848">
        <f t="shared" si="155"/>
        <v>0</v>
      </c>
      <c r="AD224" s="848">
        <f t="shared" si="155"/>
        <v>0</v>
      </c>
      <c r="AE224" s="848">
        <f t="shared" si="155"/>
        <v>0</v>
      </c>
      <c r="AF224" s="848">
        <f t="shared" si="155"/>
        <v>0</v>
      </c>
      <c r="AG224" s="848">
        <f t="shared" si="155"/>
        <v>0</v>
      </c>
      <c r="AH224" s="848">
        <f t="shared" si="155"/>
        <v>0</v>
      </c>
      <c r="AI224" s="848">
        <f t="shared" si="155"/>
        <v>0</v>
      </c>
      <c r="AJ224" s="848">
        <f t="shared" si="155"/>
        <v>0</v>
      </c>
      <c r="AK224" s="848">
        <f t="shared" si="155"/>
        <v>0</v>
      </c>
      <c r="AL224" s="848">
        <f t="shared" si="155"/>
        <v>0</v>
      </c>
      <c r="AM224" s="848">
        <f t="shared" si="155"/>
        <v>0</v>
      </c>
      <c r="AN224" s="848">
        <f t="shared" si="155"/>
        <v>0</v>
      </c>
      <c r="AO224" s="848">
        <f t="shared" si="155"/>
        <v>0</v>
      </c>
      <c r="AP224" s="848">
        <f t="shared" si="155"/>
        <v>0</v>
      </c>
      <c r="AQ224" s="848">
        <f t="shared" si="155"/>
        <v>0</v>
      </c>
      <c r="AR224" s="848">
        <f t="shared" si="155"/>
        <v>0</v>
      </c>
      <c r="AS224" s="848">
        <f t="shared" si="155"/>
        <v>0</v>
      </c>
      <c r="AT224" s="848">
        <f t="shared" si="155"/>
        <v>0</v>
      </c>
      <c r="AU224" s="848">
        <f t="shared" si="155"/>
        <v>0</v>
      </c>
      <c r="AV224" s="848">
        <f t="shared" si="155"/>
        <v>0</v>
      </c>
      <c r="AW224" s="848">
        <f t="shared" si="155"/>
        <v>0</v>
      </c>
      <c r="AX224" s="848">
        <f t="shared" si="155"/>
        <v>0</v>
      </c>
      <c r="AY224" s="848">
        <f t="shared" si="155"/>
        <v>0</v>
      </c>
      <c r="AZ224" s="848">
        <f t="shared" si="155"/>
        <v>0</v>
      </c>
      <c r="BA224" s="848">
        <f t="shared" si="155"/>
        <v>0</v>
      </c>
      <c r="BB224" s="848">
        <f t="shared" si="155"/>
        <v>0</v>
      </c>
      <c r="BC224" s="848">
        <f t="shared" si="155"/>
        <v>0</v>
      </c>
      <c r="BD224" s="848">
        <f t="shared" si="155"/>
        <v>0</v>
      </c>
      <c r="BE224" s="848">
        <f t="shared" si="155"/>
        <v>0</v>
      </c>
      <c r="BF224" s="848">
        <f t="shared" si="155"/>
        <v>0</v>
      </c>
      <c r="BG224" s="848">
        <f t="shared" si="155"/>
        <v>0</v>
      </c>
      <c r="BH224" s="848">
        <f t="shared" si="155"/>
        <v>0</v>
      </c>
      <c r="BI224" s="848">
        <f t="shared" si="155"/>
        <v>0</v>
      </c>
      <c r="BJ224" s="848">
        <f t="shared" si="155"/>
        <v>0</v>
      </c>
      <c r="BK224" s="848">
        <f t="shared" si="155"/>
        <v>0</v>
      </c>
      <c r="BL224" s="848">
        <f t="shared" si="155"/>
        <v>0</v>
      </c>
      <c r="BM224" s="848">
        <f t="shared" si="155"/>
        <v>0</v>
      </c>
      <c r="BN224" s="848">
        <f t="shared" si="155"/>
        <v>0</v>
      </c>
      <c r="BO224" s="848">
        <f t="shared" si="155"/>
        <v>0</v>
      </c>
      <c r="BP224" s="848">
        <f t="shared" si="155"/>
        <v>0</v>
      </c>
      <c r="BQ224" s="848">
        <f t="shared" si="155"/>
        <v>0</v>
      </c>
      <c r="BR224" s="848">
        <f t="shared" si="155"/>
        <v>0</v>
      </c>
      <c r="BS224" s="848">
        <f t="shared" si="155"/>
        <v>0</v>
      </c>
      <c r="BT224" s="848">
        <f t="shared" si="155"/>
        <v>0</v>
      </c>
      <c r="BU224" s="848">
        <f t="shared" si="155"/>
        <v>0</v>
      </c>
      <c r="BV224" s="848">
        <f t="shared" ref="BV224:EG224" si="156">SUM(BV219:BV219)</f>
        <v>0</v>
      </c>
      <c r="BW224" s="848">
        <f t="shared" si="156"/>
        <v>0</v>
      </c>
      <c r="BX224" s="848">
        <f t="shared" si="156"/>
        <v>0</v>
      </c>
      <c r="BY224" s="848">
        <f t="shared" si="156"/>
        <v>0</v>
      </c>
      <c r="BZ224" s="848">
        <f t="shared" si="156"/>
        <v>0</v>
      </c>
      <c r="CA224" s="848">
        <f t="shared" si="156"/>
        <v>0</v>
      </c>
      <c r="CB224" s="848">
        <f t="shared" si="156"/>
        <v>0</v>
      </c>
      <c r="CC224" s="848">
        <f t="shared" si="156"/>
        <v>0</v>
      </c>
      <c r="CD224" s="848">
        <f t="shared" si="156"/>
        <v>0</v>
      </c>
      <c r="CE224" s="848">
        <f t="shared" si="156"/>
        <v>0</v>
      </c>
      <c r="CF224" s="848">
        <f t="shared" si="156"/>
        <v>0</v>
      </c>
      <c r="CG224" s="848">
        <f t="shared" si="156"/>
        <v>0</v>
      </c>
      <c r="CH224" s="848">
        <f t="shared" si="156"/>
        <v>0</v>
      </c>
      <c r="CI224" s="848">
        <f t="shared" si="156"/>
        <v>0</v>
      </c>
      <c r="CJ224" s="848">
        <f t="shared" si="156"/>
        <v>0</v>
      </c>
      <c r="CK224" s="848">
        <f t="shared" si="156"/>
        <v>0</v>
      </c>
      <c r="CL224" s="848">
        <f t="shared" si="156"/>
        <v>0</v>
      </c>
      <c r="CM224" s="848">
        <f t="shared" si="156"/>
        <v>0</v>
      </c>
      <c r="CN224" s="848">
        <f t="shared" si="156"/>
        <v>0</v>
      </c>
      <c r="CO224" s="848">
        <f t="shared" si="156"/>
        <v>0</v>
      </c>
      <c r="CP224" s="848">
        <f t="shared" si="156"/>
        <v>0</v>
      </c>
      <c r="CQ224" s="848">
        <f t="shared" si="156"/>
        <v>0</v>
      </c>
      <c r="CR224" s="848">
        <f t="shared" si="156"/>
        <v>0</v>
      </c>
      <c r="CS224" s="848">
        <f t="shared" si="156"/>
        <v>0</v>
      </c>
      <c r="CT224" s="848">
        <f t="shared" si="156"/>
        <v>0</v>
      </c>
      <c r="CU224" s="848">
        <f t="shared" si="156"/>
        <v>0</v>
      </c>
      <c r="CV224" s="848">
        <f t="shared" si="156"/>
        <v>0</v>
      </c>
      <c r="CW224" s="848">
        <f t="shared" si="156"/>
        <v>0</v>
      </c>
      <c r="CX224" s="848">
        <f t="shared" si="156"/>
        <v>0</v>
      </c>
      <c r="CY224" s="848">
        <f t="shared" si="156"/>
        <v>0</v>
      </c>
      <c r="CZ224" s="848">
        <f t="shared" si="156"/>
        <v>0</v>
      </c>
      <c r="DA224" s="848">
        <f t="shared" si="156"/>
        <v>0</v>
      </c>
      <c r="DB224" s="848">
        <f t="shared" si="156"/>
        <v>0</v>
      </c>
      <c r="DC224" s="848">
        <f t="shared" si="156"/>
        <v>0</v>
      </c>
      <c r="DD224" s="848">
        <f t="shared" si="156"/>
        <v>0</v>
      </c>
      <c r="DE224" s="848">
        <f t="shared" si="156"/>
        <v>0</v>
      </c>
      <c r="DF224" s="848">
        <f t="shared" si="156"/>
        <v>0</v>
      </c>
      <c r="DG224" s="848">
        <f t="shared" si="156"/>
        <v>0</v>
      </c>
      <c r="DH224" s="848">
        <f t="shared" si="156"/>
        <v>0</v>
      </c>
      <c r="DI224" s="848">
        <f t="shared" si="156"/>
        <v>0</v>
      </c>
      <c r="DJ224" s="848">
        <f t="shared" si="156"/>
        <v>0</v>
      </c>
      <c r="DK224" s="848">
        <f t="shared" si="156"/>
        <v>0</v>
      </c>
      <c r="DL224" s="848">
        <f t="shared" si="156"/>
        <v>0</v>
      </c>
      <c r="DM224" s="848">
        <f t="shared" si="156"/>
        <v>0</v>
      </c>
      <c r="DN224" s="848">
        <f t="shared" si="156"/>
        <v>0</v>
      </c>
      <c r="DO224" s="848">
        <f t="shared" si="156"/>
        <v>0</v>
      </c>
      <c r="DP224" s="848">
        <f t="shared" si="156"/>
        <v>0</v>
      </c>
      <c r="DQ224" s="848">
        <f t="shared" si="156"/>
        <v>0</v>
      </c>
      <c r="DR224" s="848">
        <f t="shared" si="156"/>
        <v>0</v>
      </c>
      <c r="DS224" s="848">
        <f t="shared" si="156"/>
        <v>0</v>
      </c>
      <c r="DT224" s="848">
        <f t="shared" si="156"/>
        <v>0</v>
      </c>
      <c r="DU224" s="848">
        <f t="shared" si="156"/>
        <v>0</v>
      </c>
      <c r="DV224" s="848">
        <f t="shared" si="156"/>
        <v>0</v>
      </c>
      <c r="DW224" s="848">
        <f t="shared" si="156"/>
        <v>0</v>
      </c>
      <c r="DX224" s="848">
        <f t="shared" si="156"/>
        <v>0</v>
      </c>
      <c r="DY224" s="848">
        <f t="shared" si="156"/>
        <v>0</v>
      </c>
      <c r="DZ224" s="848">
        <f t="shared" si="156"/>
        <v>107366.36056018627</v>
      </c>
      <c r="EA224" s="848">
        <f t="shared" si="156"/>
        <v>0</v>
      </c>
      <c r="EB224" s="848">
        <f t="shared" si="156"/>
        <v>0</v>
      </c>
      <c r="EC224" s="848">
        <f t="shared" si="156"/>
        <v>0</v>
      </c>
      <c r="ED224" s="848">
        <f t="shared" si="156"/>
        <v>0</v>
      </c>
      <c r="EE224" s="848">
        <f t="shared" si="156"/>
        <v>0</v>
      </c>
      <c r="EF224" s="848">
        <f t="shared" si="156"/>
        <v>0</v>
      </c>
      <c r="EG224" s="848">
        <f t="shared" si="156"/>
        <v>0</v>
      </c>
      <c r="EH224" s="848">
        <f t="shared" ref="EH224:EL224" si="157">SUM(EH219:EH219)</f>
        <v>0</v>
      </c>
      <c r="EI224" s="848">
        <f t="shared" si="157"/>
        <v>0</v>
      </c>
      <c r="EJ224" s="848">
        <f t="shared" si="157"/>
        <v>0</v>
      </c>
      <c r="EK224" s="848">
        <f t="shared" si="157"/>
        <v>0</v>
      </c>
      <c r="EL224" s="848">
        <f t="shared" si="157"/>
        <v>0</v>
      </c>
    </row>
    <row r="225" spans="2:142" s="833" customFormat="1" ht="13.5">
      <c r="B225" s="1000"/>
      <c r="D225" s="1001" t="s">
        <v>978</v>
      </c>
      <c r="E225" s="1001"/>
      <c r="F225" s="1008"/>
      <c r="G225" s="917"/>
      <c r="H225" s="848">
        <f>SUM(J225:EL225)</f>
        <v>0</v>
      </c>
      <c r="J225" s="848">
        <f>J221-J224</f>
        <v>-35000</v>
      </c>
      <c r="K225" s="848">
        <f t="shared" ref="K225:BV225" si="158">K221-K224</f>
        <v>0</v>
      </c>
      <c r="L225" s="848">
        <f t="shared" si="158"/>
        <v>0</v>
      </c>
      <c r="M225" s="848">
        <f t="shared" si="158"/>
        <v>0</v>
      </c>
      <c r="N225" s="848">
        <f t="shared" si="158"/>
        <v>0</v>
      </c>
      <c r="O225" s="848">
        <f t="shared" si="158"/>
        <v>0</v>
      </c>
      <c r="P225" s="848">
        <f t="shared" si="158"/>
        <v>0</v>
      </c>
      <c r="Q225" s="848">
        <f t="shared" si="158"/>
        <v>0</v>
      </c>
      <c r="R225" s="848">
        <f t="shared" si="158"/>
        <v>0</v>
      </c>
      <c r="S225" s="848">
        <f t="shared" si="158"/>
        <v>0</v>
      </c>
      <c r="T225" s="848">
        <f t="shared" si="158"/>
        <v>0</v>
      </c>
      <c r="U225" s="848">
        <f t="shared" si="158"/>
        <v>0</v>
      </c>
      <c r="V225" s="848">
        <f t="shared" si="158"/>
        <v>0</v>
      </c>
      <c r="W225" s="848">
        <f t="shared" si="158"/>
        <v>0</v>
      </c>
      <c r="X225" s="848">
        <f t="shared" si="158"/>
        <v>0</v>
      </c>
      <c r="Y225" s="848">
        <f t="shared" si="158"/>
        <v>0</v>
      </c>
      <c r="Z225" s="848">
        <f t="shared" si="158"/>
        <v>0</v>
      </c>
      <c r="AA225" s="848">
        <f t="shared" si="158"/>
        <v>0</v>
      </c>
      <c r="AB225" s="848">
        <f t="shared" si="158"/>
        <v>0</v>
      </c>
      <c r="AC225" s="848">
        <f t="shared" si="158"/>
        <v>0</v>
      </c>
      <c r="AD225" s="848">
        <f t="shared" si="158"/>
        <v>0</v>
      </c>
      <c r="AE225" s="848">
        <f t="shared" si="158"/>
        <v>0</v>
      </c>
      <c r="AF225" s="848">
        <f t="shared" si="158"/>
        <v>0</v>
      </c>
      <c r="AG225" s="848">
        <f t="shared" si="158"/>
        <v>0</v>
      </c>
      <c r="AH225" s="848">
        <f t="shared" si="158"/>
        <v>0</v>
      </c>
      <c r="AI225" s="848">
        <f t="shared" si="158"/>
        <v>0</v>
      </c>
      <c r="AJ225" s="848">
        <f t="shared" si="158"/>
        <v>0</v>
      </c>
      <c r="AK225" s="848">
        <f t="shared" si="158"/>
        <v>0</v>
      </c>
      <c r="AL225" s="848">
        <f t="shared" si="158"/>
        <v>0</v>
      </c>
      <c r="AM225" s="848">
        <f t="shared" si="158"/>
        <v>0</v>
      </c>
      <c r="AN225" s="848">
        <f t="shared" si="158"/>
        <v>0</v>
      </c>
      <c r="AO225" s="848">
        <f t="shared" si="158"/>
        <v>0</v>
      </c>
      <c r="AP225" s="848">
        <f t="shared" si="158"/>
        <v>0</v>
      </c>
      <c r="AQ225" s="848">
        <f t="shared" si="158"/>
        <v>0</v>
      </c>
      <c r="AR225" s="848">
        <f t="shared" si="158"/>
        <v>0</v>
      </c>
      <c r="AS225" s="848">
        <f t="shared" si="158"/>
        <v>0</v>
      </c>
      <c r="AT225" s="848">
        <f t="shared" si="158"/>
        <v>0</v>
      </c>
      <c r="AU225" s="848">
        <f t="shared" si="158"/>
        <v>0</v>
      </c>
      <c r="AV225" s="848">
        <f t="shared" si="158"/>
        <v>0</v>
      </c>
      <c r="AW225" s="848">
        <f t="shared" si="158"/>
        <v>0</v>
      </c>
      <c r="AX225" s="848">
        <f t="shared" si="158"/>
        <v>0</v>
      </c>
      <c r="AY225" s="848">
        <f t="shared" si="158"/>
        <v>0</v>
      </c>
      <c r="AZ225" s="848">
        <f t="shared" si="158"/>
        <v>0</v>
      </c>
      <c r="BA225" s="848">
        <f t="shared" si="158"/>
        <v>0</v>
      </c>
      <c r="BB225" s="848">
        <f t="shared" si="158"/>
        <v>0</v>
      </c>
      <c r="BC225" s="848">
        <f t="shared" si="158"/>
        <v>0</v>
      </c>
      <c r="BD225" s="848">
        <f t="shared" si="158"/>
        <v>0</v>
      </c>
      <c r="BE225" s="848">
        <f t="shared" si="158"/>
        <v>0</v>
      </c>
      <c r="BF225" s="848">
        <f t="shared" si="158"/>
        <v>0</v>
      </c>
      <c r="BG225" s="848">
        <f t="shared" si="158"/>
        <v>0</v>
      </c>
      <c r="BH225" s="848">
        <f t="shared" si="158"/>
        <v>0</v>
      </c>
      <c r="BI225" s="848">
        <f t="shared" si="158"/>
        <v>0</v>
      </c>
      <c r="BJ225" s="848">
        <f t="shared" si="158"/>
        <v>0</v>
      </c>
      <c r="BK225" s="848">
        <f t="shared" si="158"/>
        <v>0</v>
      </c>
      <c r="BL225" s="848">
        <f t="shared" si="158"/>
        <v>0</v>
      </c>
      <c r="BM225" s="848">
        <f t="shared" si="158"/>
        <v>0</v>
      </c>
      <c r="BN225" s="848">
        <f t="shared" si="158"/>
        <v>0</v>
      </c>
      <c r="BO225" s="848">
        <f t="shared" si="158"/>
        <v>0</v>
      </c>
      <c r="BP225" s="848">
        <f t="shared" si="158"/>
        <v>0</v>
      </c>
      <c r="BQ225" s="848">
        <f t="shared" si="158"/>
        <v>0</v>
      </c>
      <c r="BR225" s="848">
        <f t="shared" si="158"/>
        <v>0</v>
      </c>
      <c r="BS225" s="848">
        <f t="shared" si="158"/>
        <v>0</v>
      </c>
      <c r="BT225" s="848">
        <f t="shared" si="158"/>
        <v>0</v>
      </c>
      <c r="BU225" s="848">
        <f t="shared" si="158"/>
        <v>0</v>
      </c>
      <c r="BV225" s="848">
        <f t="shared" si="158"/>
        <v>0</v>
      </c>
      <c r="BW225" s="848">
        <f t="shared" ref="BW225:EH225" si="159">BW221-BW224</f>
        <v>0</v>
      </c>
      <c r="BX225" s="848">
        <f t="shared" si="159"/>
        <v>0</v>
      </c>
      <c r="BY225" s="848">
        <f t="shared" si="159"/>
        <v>0</v>
      </c>
      <c r="BZ225" s="848">
        <f t="shared" si="159"/>
        <v>0</v>
      </c>
      <c r="CA225" s="848">
        <f t="shared" si="159"/>
        <v>0</v>
      </c>
      <c r="CB225" s="848">
        <f t="shared" si="159"/>
        <v>0</v>
      </c>
      <c r="CC225" s="848">
        <f t="shared" si="159"/>
        <v>0</v>
      </c>
      <c r="CD225" s="848">
        <f t="shared" si="159"/>
        <v>0</v>
      </c>
      <c r="CE225" s="848">
        <f t="shared" si="159"/>
        <v>0</v>
      </c>
      <c r="CF225" s="848">
        <f t="shared" si="159"/>
        <v>0</v>
      </c>
      <c r="CG225" s="848">
        <f t="shared" si="159"/>
        <v>0</v>
      </c>
      <c r="CH225" s="848">
        <f t="shared" si="159"/>
        <v>0</v>
      </c>
      <c r="CI225" s="848">
        <f t="shared" si="159"/>
        <v>0</v>
      </c>
      <c r="CJ225" s="848">
        <f t="shared" si="159"/>
        <v>0</v>
      </c>
      <c r="CK225" s="848">
        <f t="shared" si="159"/>
        <v>0</v>
      </c>
      <c r="CL225" s="848">
        <f t="shared" si="159"/>
        <v>0</v>
      </c>
      <c r="CM225" s="848">
        <f t="shared" si="159"/>
        <v>0</v>
      </c>
      <c r="CN225" s="848">
        <f t="shared" si="159"/>
        <v>0</v>
      </c>
      <c r="CO225" s="848">
        <f t="shared" si="159"/>
        <v>0</v>
      </c>
      <c r="CP225" s="848">
        <f t="shared" si="159"/>
        <v>0</v>
      </c>
      <c r="CQ225" s="848">
        <f t="shared" si="159"/>
        <v>0</v>
      </c>
      <c r="CR225" s="848">
        <f t="shared" si="159"/>
        <v>0</v>
      </c>
      <c r="CS225" s="848">
        <f t="shared" si="159"/>
        <v>0</v>
      </c>
      <c r="CT225" s="848">
        <f t="shared" si="159"/>
        <v>0</v>
      </c>
      <c r="CU225" s="848">
        <f t="shared" si="159"/>
        <v>0</v>
      </c>
      <c r="CV225" s="848">
        <f t="shared" si="159"/>
        <v>0</v>
      </c>
      <c r="CW225" s="848">
        <f t="shared" si="159"/>
        <v>0</v>
      </c>
      <c r="CX225" s="848">
        <f t="shared" si="159"/>
        <v>0</v>
      </c>
      <c r="CY225" s="848">
        <f t="shared" si="159"/>
        <v>0</v>
      </c>
      <c r="CZ225" s="848">
        <f t="shared" si="159"/>
        <v>0</v>
      </c>
      <c r="DA225" s="848">
        <f t="shared" si="159"/>
        <v>0</v>
      </c>
      <c r="DB225" s="848">
        <f t="shared" si="159"/>
        <v>0</v>
      </c>
      <c r="DC225" s="848">
        <f t="shared" si="159"/>
        <v>0</v>
      </c>
      <c r="DD225" s="848">
        <f t="shared" si="159"/>
        <v>0</v>
      </c>
      <c r="DE225" s="848">
        <f t="shared" si="159"/>
        <v>0</v>
      </c>
      <c r="DF225" s="848">
        <f t="shared" si="159"/>
        <v>0</v>
      </c>
      <c r="DG225" s="848">
        <f t="shared" si="159"/>
        <v>0</v>
      </c>
      <c r="DH225" s="848">
        <f t="shared" si="159"/>
        <v>0</v>
      </c>
      <c r="DI225" s="848">
        <f t="shared" si="159"/>
        <v>0</v>
      </c>
      <c r="DJ225" s="848">
        <f t="shared" si="159"/>
        <v>0</v>
      </c>
      <c r="DK225" s="848">
        <f t="shared" si="159"/>
        <v>0</v>
      </c>
      <c r="DL225" s="848">
        <f t="shared" si="159"/>
        <v>0</v>
      </c>
      <c r="DM225" s="848">
        <f t="shared" si="159"/>
        <v>0</v>
      </c>
      <c r="DN225" s="848">
        <f t="shared" si="159"/>
        <v>0</v>
      </c>
      <c r="DO225" s="848">
        <f t="shared" si="159"/>
        <v>0</v>
      </c>
      <c r="DP225" s="848">
        <f t="shared" si="159"/>
        <v>0</v>
      </c>
      <c r="DQ225" s="848">
        <f t="shared" si="159"/>
        <v>0</v>
      </c>
      <c r="DR225" s="848">
        <f t="shared" si="159"/>
        <v>0</v>
      </c>
      <c r="DS225" s="848">
        <f t="shared" si="159"/>
        <v>0</v>
      </c>
      <c r="DT225" s="848">
        <f t="shared" si="159"/>
        <v>0</v>
      </c>
      <c r="DU225" s="848">
        <f t="shared" si="159"/>
        <v>0</v>
      </c>
      <c r="DV225" s="848">
        <f t="shared" si="159"/>
        <v>0</v>
      </c>
      <c r="DW225" s="848">
        <f t="shared" si="159"/>
        <v>0</v>
      </c>
      <c r="DX225" s="848">
        <f t="shared" si="159"/>
        <v>0</v>
      </c>
      <c r="DY225" s="848">
        <f t="shared" si="159"/>
        <v>0</v>
      </c>
      <c r="DZ225" s="848">
        <f t="shared" si="159"/>
        <v>35000</v>
      </c>
      <c r="EA225" s="848">
        <f t="shared" si="159"/>
        <v>0</v>
      </c>
      <c r="EB225" s="848">
        <f t="shared" si="159"/>
        <v>0</v>
      </c>
      <c r="EC225" s="848">
        <f t="shared" si="159"/>
        <v>0</v>
      </c>
      <c r="ED225" s="848">
        <f t="shared" si="159"/>
        <v>0</v>
      </c>
      <c r="EE225" s="848">
        <f t="shared" si="159"/>
        <v>0</v>
      </c>
      <c r="EF225" s="848">
        <f t="shared" si="159"/>
        <v>0</v>
      </c>
      <c r="EG225" s="848">
        <f t="shared" si="159"/>
        <v>0</v>
      </c>
      <c r="EH225" s="848">
        <f t="shared" si="159"/>
        <v>0</v>
      </c>
      <c r="EI225" s="848">
        <f>EI221-EI224</f>
        <v>0</v>
      </c>
      <c r="EJ225" s="848">
        <f>EJ221-EJ224</f>
        <v>0</v>
      </c>
      <c r="EK225" s="848">
        <f>EK221-EK224</f>
        <v>0</v>
      </c>
      <c r="EL225" s="848">
        <f>EL221-EL224</f>
        <v>0</v>
      </c>
    </row>
    <row r="226" spans="2:142" s="833" customFormat="1" ht="13.5">
      <c r="B226" s="1000"/>
      <c r="D226" s="1087" t="s">
        <v>2077</v>
      </c>
      <c r="E226" s="1087"/>
      <c r="F226" s="1088"/>
      <c r="G226" s="530">
        <v>0</v>
      </c>
      <c r="H226" s="530">
        <f>IFERROR(((1+IRR(J225:EL225,1%))^12-1)*(ABS((1+IRR(J225:EL225,1%))^12-1)&gt;0.000001),)</f>
        <v>0</v>
      </c>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row>
    <row r="227" spans="2:142" s="833" customFormat="1">
      <c r="B227" s="1013"/>
      <c r="C227" s="1014"/>
      <c r="D227" s="1014"/>
      <c r="E227" s="1014"/>
      <c r="F227" s="1014"/>
      <c r="G227" s="1014"/>
      <c r="H227" s="217"/>
      <c r="J227" s="217"/>
      <c r="K227" s="217"/>
      <c r="L227" s="217"/>
      <c r="M227" s="217"/>
      <c r="N227" s="217"/>
      <c r="O227" s="217"/>
      <c r="P227" s="217"/>
      <c r="Q227" s="217"/>
      <c r="R227" s="217"/>
      <c r="S227" s="217"/>
      <c r="T227" s="217"/>
      <c r="U227" s="217"/>
      <c r="V227" s="217"/>
      <c r="W227" s="217"/>
      <c r="X227" s="217"/>
      <c r="Y227" s="217"/>
      <c r="Z227" s="217"/>
      <c r="AA227" s="217"/>
      <c r="AB227" s="217"/>
      <c r="AC227" s="217"/>
      <c r="AD227" s="217"/>
      <c r="AE227" s="217"/>
      <c r="AF227" s="217"/>
      <c r="AG227" s="217"/>
      <c r="AH227" s="217"/>
      <c r="AI227" s="217"/>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c r="CW227" s="217"/>
      <c r="CX227" s="217"/>
      <c r="CY227" s="217"/>
      <c r="CZ227" s="217"/>
      <c r="DA227" s="217"/>
      <c r="DB227" s="217"/>
      <c r="DC227" s="217"/>
      <c r="DD227" s="217"/>
      <c r="DE227" s="217"/>
      <c r="DF227" s="217"/>
      <c r="DG227" s="217"/>
      <c r="DH227" s="217"/>
      <c r="DI227" s="217"/>
      <c r="DJ227" s="217"/>
      <c r="DK227" s="217"/>
      <c r="DL227" s="217"/>
      <c r="DM227" s="217"/>
      <c r="DN227" s="217"/>
      <c r="DO227" s="217"/>
      <c r="DP227" s="217"/>
      <c r="DQ227" s="217"/>
      <c r="DR227" s="217"/>
      <c r="DS227" s="217"/>
      <c r="DT227" s="217"/>
      <c r="DU227" s="217"/>
      <c r="DV227" s="217"/>
      <c r="DW227" s="217"/>
      <c r="DX227" s="217"/>
      <c r="DY227" s="217"/>
      <c r="DZ227" s="217"/>
      <c r="EA227" s="217"/>
      <c r="EB227" s="217"/>
      <c r="EC227" s="217"/>
      <c r="ED227" s="217"/>
      <c r="EE227" s="217"/>
      <c r="EF227" s="217"/>
      <c r="EG227" s="217"/>
      <c r="EH227" s="217"/>
      <c r="EI227" s="217"/>
      <c r="EJ227" s="217"/>
      <c r="EK227" s="217"/>
      <c r="EL227" s="217"/>
    </row>
    <row r="228" spans="2:142">
      <c r="EA228" s="835"/>
      <c r="EB228" s="835"/>
      <c r="EC228" s="835"/>
      <c r="ED228" s="835"/>
      <c r="EE228" s="835"/>
      <c r="EF228" s="835"/>
      <c r="EG228" s="835"/>
      <c r="EH228" s="835"/>
      <c r="EI228" s="835"/>
      <c r="EJ228" s="835"/>
      <c r="EK228" s="835"/>
      <c r="EL228" s="835"/>
    </row>
  </sheetData>
  <phoneticPr fontId="3" type="noConversion"/>
  <conditionalFormatting sqref="D186">
    <cfRule type="expression" dxfId="566" priority="22">
      <formula>($H186=0)*1</formula>
    </cfRule>
  </conditionalFormatting>
  <conditionalFormatting sqref="D163">
    <cfRule type="expression" dxfId="565" priority="21">
      <formula>($H163=0)*1</formula>
    </cfRule>
  </conditionalFormatting>
  <conditionalFormatting sqref="D159">
    <cfRule type="expression" dxfId="564" priority="20">
      <formula>($H159=0)*1</formula>
    </cfRule>
  </conditionalFormatting>
  <conditionalFormatting sqref="D148 D150:D155">
    <cfRule type="expression" dxfId="563" priority="19">
      <formula>($H148=0)*1</formula>
    </cfRule>
  </conditionalFormatting>
  <conditionalFormatting sqref="D178">
    <cfRule type="expression" dxfId="562" priority="18">
      <formula>($H178=0)*1</formula>
    </cfRule>
  </conditionalFormatting>
  <conditionalFormatting sqref="D200">
    <cfRule type="expression" dxfId="561" priority="17">
      <formula>($H200=0)*1</formula>
    </cfRule>
  </conditionalFormatting>
  <conditionalFormatting sqref="D13:D14">
    <cfRule type="expression" dxfId="560" priority="16">
      <formula>($H13=0)*1</formula>
    </cfRule>
  </conditionalFormatting>
  <conditionalFormatting sqref="C13:C15">
    <cfRule type="expression" dxfId="559" priority="15">
      <formula>($H13=0)*1</formula>
    </cfRule>
  </conditionalFormatting>
  <conditionalFormatting sqref="C16:C18">
    <cfRule type="expression" dxfId="558" priority="14">
      <formula>($H16=0)*1</formula>
    </cfRule>
  </conditionalFormatting>
  <conditionalFormatting sqref="C57:C59">
    <cfRule type="expression" dxfId="557" priority="13">
      <formula>($H57=0)*1</formula>
    </cfRule>
  </conditionalFormatting>
  <conditionalFormatting sqref="C63:C66">
    <cfRule type="expression" dxfId="556" priority="12">
      <formula>($H63=0)*1</formula>
    </cfRule>
  </conditionalFormatting>
  <conditionalFormatting sqref="C73:C75 C77:C81">
    <cfRule type="expression" dxfId="555" priority="11">
      <formula>($H73=0)*1</formula>
    </cfRule>
  </conditionalFormatting>
  <conditionalFormatting sqref="C85 C89:C100">
    <cfRule type="expression" dxfId="554" priority="10">
      <formula>($H85=0)*1</formula>
    </cfRule>
  </conditionalFormatting>
  <conditionalFormatting sqref="D172">
    <cfRule type="expression" dxfId="553" priority="8">
      <formula>($H172=0)*1</formula>
    </cfRule>
  </conditionalFormatting>
  <conditionalFormatting sqref="C76">
    <cfRule type="expression" dxfId="552" priority="3">
      <formula>($H76=0)*1</formula>
    </cfRule>
  </conditionalFormatting>
  <conditionalFormatting sqref="D194">
    <cfRule type="expression" dxfId="551" priority="7">
      <formula>($H194=0)*1</formula>
    </cfRule>
  </conditionalFormatting>
  <conditionalFormatting sqref="C86">
    <cfRule type="expression" dxfId="550" priority="2">
      <formula>($H86=0)*1</formula>
    </cfRule>
  </conditionalFormatting>
  <conditionalFormatting sqref="D216">
    <cfRule type="expression" dxfId="549" priority="6">
      <formula>($H216=0)*1</formula>
    </cfRule>
  </conditionalFormatting>
  <conditionalFormatting sqref="D149">
    <cfRule type="expression" dxfId="548" priority="5">
      <formula>($H149=0)*1</formula>
    </cfRule>
  </conditionalFormatting>
  <conditionalFormatting sqref="C87:C88">
    <cfRule type="expression" dxfId="547" priority="4">
      <formula>($H87=0)*1</formula>
    </cfRule>
  </conditionalFormatting>
  <conditionalFormatting sqref="D182">
    <cfRule type="expression" dxfId="546" priority="23">
      <formula>($H182=0)*1</formula>
    </cfRule>
  </conditionalFormatting>
  <conditionalFormatting sqref="G6:G7">
    <cfRule type="cellIs" dxfId="545" priority="30" operator="equal">
      <formula>0</formula>
    </cfRule>
  </conditionalFormatting>
  <conditionalFormatting sqref="D171 D218:D220 D193 D195:D199 C22:D39 C41:C50">
    <cfRule type="expression" dxfId="544" priority="29">
      <formula>($H22=0)*1</formula>
    </cfRule>
  </conditionalFormatting>
  <conditionalFormatting sqref="D173:D177">
    <cfRule type="expression" dxfId="543" priority="28">
      <formula>($H173=0)*1</formula>
    </cfRule>
  </conditionalFormatting>
  <conditionalFormatting sqref="D215 D217">
    <cfRule type="expression" dxfId="542" priority="27">
      <formula>($H215=0)*1</formula>
    </cfRule>
  </conditionalFormatting>
  <conditionalFormatting sqref="D204">
    <cfRule type="expression" dxfId="541" priority="26">
      <formula>($H204=0)*1</formula>
    </cfRule>
  </conditionalFormatting>
  <conditionalFormatting sqref="D208">
    <cfRule type="expression" dxfId="540" priority="25">
      <formula>($H208=0)*1</formula>
    </cfRule>
  </conditionalFormatting>
  <conditionalFormatting sqref="D224">
    <cfRule type="expression" dxfId="539" priority="24">
      <formula>($H224=0)*1</formula>
    </cfRule>
  </conditionalFormatting>
  <conditionalFormatting sqref="G5">
    <cfRule type="cellIs" dxfId="538" priority="9" operator="equal">
      <formula>0</formula>
    </cfRule>
  </conditionalFormatting>
  <conditionalFormatting sqref="C40">
    <cfRule type="expression" dxfId="537" priority="1">
      <formula>($H40=0)*1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XFD174"/>
  <sheetViews>
    <sheetView showGridLines="0" zoomScale="80" zoomScaleNormal="80" workbookViewId="0">
      <pane ySplit="2" topLeftCell="A18" activePane="bottomLeft" state="frozen"/>
      <selection activeCell="K146" sqref="K146"/>
      <selection pane="bottomLeft" activeCell="AG108" sqref="AG107:AG108"/>
    </sheetView>
  </sheetViews>
  <sheetFormatPr defaultColWidth="0" defaultRowHeight="15" customHeight="1" outlineLevelCol="1"/>
  <cols>
    <col min="1" max="1" width="1.125" style="1198" customWidth="1"/>
    <col min="2" max="2" width="1.25" style="1198" customWidth="1"/>
    <col min="3" max="3" width="0.875" style="1198" customWidth="1"/>
    <col min="4" max="4" width="16.375" style="1198" customWidth="1"/>
    <col min="5" max="5" width="12.875" style="1198" customWidth="1"/>
    <col min="6" max="6" width="15.25" style="1198" customWidth="1"/>
    <col min="7" max="7" width="12.875" style="1198" customWidth="1"/>
    <col min="8" max="8" width="10.75" style="1198" customWidth="1"/>
    <col min="9" max="9" width="0.625" style="1198" customWidth="1"/>
    <col min="10" max="10" width="1.25" style="1198" customWidth="1"/>
    <col min="11" max="11" width="0.875" style="1198" customWidth="1"/>
    <col min="12" max="12" width="0.375" style="1198" customWidth="1"/>
    <col min="13" max="13" width="21.875" style="1198" customWidth="1"/>
    <col min="14" max="15" width="9.875" style="1198" customWidth="1"/>
    <col min="16" max="16" width="11.5" style="1198" customWidth="1"/>
    <col min="17" max="17" width="11.375" style="1198" customWidth="1"/>
    <col min="18" max="18" width="14.25" style="1198" bestFit="1" customWidth="1"/>
    <col min="19" max="19" width="11.375" style="1198" customWidth="1"/>
    <col min="20" max="20" width="7.875" style="1198" customWidth="1"/>
    <col min="21" max="21" width="6.875" style="1198" customWidth="1"/>
    <col min="22" max="22" width="0.875" style="1198" customWidth="1"/>
    <col min="23" max="23" width="0.625" style="1198" customWidth="1"/>
    <col min="24" max="24" width="11.375" style="1198" customWidth="1"/>
    <col min="25" max="26" width="7.625" style="1198" customWidth="1"/>
    <col min="27" max="27" width="8.25" style="1198" customWidth="1"/>
    <col min="28" max="28" width="7.75" style="1198" customWidth="1"/>
    <col min="29" max="29" width="8.5" style="1198" customWidth="1"/>
    <col min="30" max="30" width="10.75" style="1198" customWidth="1"/>
    <col min="31" max="31" width="8.875" style="1198" customWidth="1"/>
    <col min="32" max="32" width="1.75" style="1198" customWidth="1"/>
    <col min="33" max="33" width="7.75" style="1198" customWidth="1"/>
    <col min="34" max="34" width="9.875" style="1198" customWidth="1"/>
    <col min="35" max="35" width="7.25" style="1198" hidden="1" customWidth="1" outlineLevel="1"/>
    <col min="36" max="36" width="7" style="1198" hidden="1" customWidth="1" outlineLevel="1"/>
    <col min="37" max="37" width="8.25" style="1198" bestFit="1" customWidth="1" collapsed="1"/>
    <col min="38" max="38" width="7" style="1198" customWidth="1"/>
    <col min="39" max="39" width="0.625" style="1198" customWidth="1"/>
    <col min="40" max="40" width="1.25" style="1198" customWidth="1"/>
    <col min="41" max="41" width="0.75" style="1198" customWidth="1"/>
    <col min="42" max="42" width="2.375" style="1198" customWidth="1"/>
    <col min="43" max="43" width="6.125" style="1198" customWidth="1"/>
    <col min="44" max="44" width="6" style="1198" customWidth="1"/>
    <col min="45" max="45" width="5.875" style="1198" customWidth="1"/>
    <col min="46" max="46" width="5.375" style="1198" customWidth="1"/>
    <col min="47" max="47" width="1.75" style="1198" customWidth="1"/>
    <col min="48" max="48" width="2.125" style="1198" hidden="1" customWidth="1" outlineLevel="1"/>
    <col min="49" max="49" width="6.5" style="1212" hidden="1" customWidth="1" outlineLevel="1"/>
    <col min="50" max="51" width="0.375" style="1198" hidden="1" customWidth="1" outlineLevel="1"/>
    <col min="52" max="52" width="6.375" style="1198" hidden="1" customWidth="1" outlineLevel="1"/>
    <col min="53" max="53" width="0.75" style="1198" hidden="1" customWidth="1" outlineLevel="1"/>
    <col min="54" max="54" width="6.375" style="1198" hidden="1" customWidth="1" outlineLevel="1"/>
    <col min="55" max="55" width="0.375" style="1198" hidden="1" customWidth="1" outlineLevel="1"/>
    <col min="56" max="56" width="6.375" style="1198" hidden="1" customWidth="1" outlineLevel="1"/>
    <col min="57" max="57" width="1.75" style="1198" customWidth="1" collapsed="1"/>
    <col min="58" max="73" width="0" style="1198" hidden="1" customWidth="1"/>
    <col min="74" max="16384" width="8" style="1198" hidden="1"/>
  </cols>
  <sheetData>
    <row r="1" spans="1:56" s="1194" customFormat="1" ht="30.6" customHeight="1">
      <c r="A1" s="1192"/>
      <c r="B1" s="1927" t="s">
        <v>1667</v>
      </c>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28"/>
      <c r="AC1" s="1928"/>
      <c r="AD1" s="1929" t="s">
        <v>1668</v>
      </c>
      <c r="AE1" s="1928"/>
      <c r="AF1" s="1928"/>
      <c r="AG1" s="1928"/>
      <c r="AH1" s="1928"/>
      <c r="AI1" s="1928"/>
      <c r="AJ1" s="1928"/>
      <c r="AK1" s="1928"/>
      <c r="AL1" s="1928"/>
      <c r="AM1" s="1930"/>
      <c r="AN1" s="1930"/>
      <c r="AO1" s="1930"/>
      <c r="AP1" s="1930"/>
      <c r="AQ1" s="1930"/>
      <c r="AR1" s="1930"/>
      <c r="AS1" s="1930"/>
      <c r="AT1" s="1930"/>
      <c r="AU1" s="1930"/>
      <c r="AV1" s="1193"/>
      <c r="AW1" s="1193"/>
    </row>
    <row r="2" spans="1:56" s="356" customFormat="1" ht="12.75">
      <c r="I2" s="1195"/>
      <c r="J2" s="1195"/>
      <c r="K2" s="1195"/>
      <c r="L2" s="1195"/>
      <c r="M2" s="1195"/>
      <c r="N2" s="1195"/>
      <c r="O2" s="1195"/>
      <c r="P2" s="1195"/>
      <c r="Q2" s="1195"/>
      <c r="R2" s="1195"/>
      <c r="S2" s="1195"/>
      <c r="T2" s="1195"/>
      <c r="U2" s="1195"/>
      <c r="V2" s="1195"/>
      <c r="W2" s="1195"/>
      <c r="X2" s="1195"/>
      <c r="Y2" s="1195"/>
      <c r="Z2" s="1195"/>
      <c r="AA2" s="1196"/>
      <c r="AB2" s="1196"/>
      <c r="AC2" s="1196"/>
      <c r="AM2" s="1197"/>
      <c r="AN2" s="1197"/>
      <c r="AO2" s="1197"/>
      <c r="AP2" s="1197"/>
      <c r="AQ2" s="1197"/>
      <c r="AR2" s="1197"/>
      <c r="AS2" s="1197"/>
      <c r="AT2" s="1197"/>
      <c r="AU2" s="1197"/>
      <c r="AV2" s="1197"/>
      <c r="AW2" s="1197"/>
    </row>
    <row r="3" spans="1:56" ht="13.5">
      <c r="B3" s="1199" t="s">
        <v>1669</v>
      </c>
      <c r="C3" s="1200"/>
      <c r="D3" s="1200"/>
      <c r="E3" s="1200"/>
      <c r="F3" s="1200"/>
      <c r="G3" s="1200"/>
      <c r="H3" s="1200"/>
      <c r="I3" s="1201"/>
      <c r="K3" s="1202" t="s">
        <v>1670</v>
      </c>
      <c r="L3" s="1202"/>
      <c r="M3" s="1202"/>
      <c r="N3" s="1202"/>
      <c r="O3" s="1202"/>
      <c r="P3" s="1202"/>
      <c r="Q3" s="1202"/>
      <c r="R3" s="1203" t="s">
        <v>1671</v>
      </c>
      <c r="S3" s="1204">
        <f>O12</f>
        <v>25759.096020092238</v>
      </c>
      <c r="T3" s="1202"/>
      <c r="U3" s="311"/>
      <c r="V3" s="1205" t="s">
        <v>982</v>
      </c>
      <c r="W3" s="1206"/>
      <c r="X3" s="1206"/>
      <c r="Y3" s="1206"/>
      <c r="Z3" s="1206"/>
      <c r="AA3" s="1206"/>
      <c r="AB3" s="1206"/>
      <c r="AC3" s="1206"/>
      <c r="AD3" s="337" t="s">
        <v>1672</v>
      </c>
      <c r="AE3" s="338"/>
      <c r="AF3" s="339"/>
      <c r="AG3" s="337" t="s">
        <v>1673</v>
      </c>
      <c r="AH3" s="340"/>
      <c r="AI3" s="337" t="s">
        <v>1674</v>
      </c>
      <c r="AJ3" s="341"/>
      <c r="AK3" s="337" t="s">
        <v>1037</v>
      </c>
      <c r="AL3" s="342"/>
      <c r="AM3" s="1206"/>
      <c r="AN3" s="1207"/>
      <c r="AO3" s="1208" t="s">
        <v>1675</v>
      </c>
      <c r="AP3" s="1209"/>
      <c r="AQ3" s="1210"/>
      <c r="AR3" s="1210"/>
      <c r="AS3" s="1210"/>
      <c r="AT3" s="1210"/>
      <c r="AU3" s="1211"/>
      <c r="AV3" s="1212"/>
      <c r="AW3" s="1213" t="s">
        <v>1676</v>
      </c>
      <c r="AX3" s="1214"/>
      <c r="AY3" s="1214"/>
      <c r="AZ3" s="1214"/>
      <c r="BA3" s="1214"/>
      <c r="BB3" s="1214"/>
      <c r="BC3" s="1214"/>
      <c r="BD3" s="1215"/>
    </row>
    <row r="4" spans="1:56" ht="17.25" thickBot="1">
      <c r="B4" s="1216"/>
      <c r="C4" s="1217" t="s">
        <v>1677</v>
      </c>
      <c r="D4" s="1197"/>
      <c r="F4" s="1218" t="s">
        <v>1678</v>
      </c>
      <c r="G4" s="1219" t="s">
        <v>1679</v>
      </c>
      <c r="I4" s="1220"/>
      <c r="K4" s="1221"/>
      <c r="L4" s="1222" t="s">
        <v>984</v>
      </c>
      <c r="M4" s="1223"/>
      <c r="N4" s="1223"/>
      <c r="O4" s="1224"/>
      <c r="P4" s="1225"/>
      <c r="Q4" s="1225"/>
      <c r="R4" s="1225"/>
      <c r="S4" s="1225"/>
      <c r="T4" s="1220"/>
      <c r="U4" s="311"/>
      <c r="V4" s="1216"/>
      <c r="W4" s="1226" t="s">
        <v>985</v>
      </c>
      <c r="X4" s="1227"/>
      <c r="Y4" s="1227"/>
      <c r="Z4" s="1228" t="s">
        <v>1680</v>
      </c>
      <c r="AA4" s="1227"/>
      <c r="AB4" s="1227"/>
      <c r="AC4" s="1227"/>
      <c r="AD4" s="1229">
        <f>AW27</f>
        <v>272491.66666666669</v>
      </c>
      <c r="AE4" s="1230">
        <f>SUM(AH4,AJ4,AL4)</f>
        <v>277800</v>
      </c>
      <c r="AF4" s="1231"/>
      <c r="AG4" s="1232">
        <f>AZ27</f>
        <v>237783.33333333334</v>
      </c>
      <c r="AH4" s="1230">
        <f>H61</f>
        <v>242800</v>
      </c>
      <c r="AI4" s="1232">
        <f>BB27</f>
        <v>0</v>
      </c>
      <c r="AJ4" s="1230">
        <f>SUM(H62,H132)</f>
        <v>0</v>
      </c>
      <c r="AK4" s="1232">
        <f>BD27</f>
        <v>34708.333333333336</v>
      </c>
      <c r="AL4" s="1230">
        <f>H63</f>
        <v>35000</v>
      </c>
      <c r="AM4" s="1233"/>
      <c r="AN4" s="1234"/>
      <c r="AO4" s="1235"/>
      <c r="AP4" s="2448"/>
      <c r="AQ4" s="2449"/>
      <c r="AR4" s="1931" t="s">
        <v>986</v>
      </c>
      <c r="AS4" s="1932"/>
      <c r="AT4" s="1932"/>
      <c r="AU4" s="1236"/>
      <c r="AV4" s="1237"/>
      <c r="AW4" s="1238"/>
      <c r="AX4" s="1212"/>
      <c r="AY4" s="1212"/>
      <c r="AZ4" s="1212"/>
      <c r="BA4" s="1212"/>
      <c r="BB4" s="1212"/>
      <c r="BC4" s="1212"/>
      <c r="BD4" s="1239"/>
    </row>
    <row r="5" spans="1:56" ht="14.25" thickTop="1">
      <c r="B5" s="1216"/>
      <c r="C5" s="1217"/>
      <c r="D5" s="1197"/>
      <c r="F5" s="1240"/>
      <c r="G5" s="1241"/>
      <c r="H5" s="1933"/>
      <c r="I5" s="1220"/>
      <c r="K5" s="1216"/>
      <c r="L5" s="1242"/>
      <c r="M5" s="1243" t="s">
        <v>987</v>
      </c>
      <c r="N5" s="1244"/>
      <c r="O5" s="1245" t="s">
        <v>1681</v>
      </c>
      <c r="P5" s="1244"/>
      <c r="Q5" s="1244" t="s">
        <v>1682</v>
      </c>
      <c r="R5" s="1244" t="s">
        <v>1683</v>
      </c>
      <c r="S5" s="1244" t="s">
        <v>1684</v>
      </c>
      <c r="T5" s="1246"/>
      <c r="V5" s="1247"/>
      <c r="W5" s="1248"/>
      <c r="X5" s="1249" t="s">
        <v>988</v>
      </c>
      <c r="Y5" s="1250"/>
      <c r="Z5" s="1251">
        <v>3</v>
      </c>
      <c r="AA5" s="1252"/>
      <c r="AB5" s="1253" t="s">
        <v>1685</v>
      </c>
      <c r="AC5" s="1254" t="s">
        <v>1686</v>
      </c>
      <c r="AD5" s="1255" t="s">
        <v>1687</v>
      </c>
      <c r="AE5" s="1256" t="s">
        <v>990</v>
      </c>
      <c r="AF5" s="1212"/>
      <c r="AG5" s="1257" t="s">
        <v>989</v>
      </c>
      <c r="AH5" s="1256" t="s">
        <v>990</v>
      </c>
      <c r="AI5" s="1257" t="s">
        <v>989</v>
      </c>
      <c r="AJ5" s="1256" t="s">
        <v>990</v>
      </c>
      <c r="AK5" s="1255" t="s">
        <v>989</v>
      </c>
      <c r="AL5" s="1258" t="s">
        <v>1688</v>
      </c>
      <c r="AM5" s="1259"/>
      <c r="AN5" s="1260"/>
      <c r="AO5" s="1261"/>
      <c r="AP5" s="1262" t="s">
        <v>1689</v>
      </c>
      <c r="AQ5" s="1263"/>
      <c r="AR5" s="1263" t="s">
        <v>1690</v>
      </c>
      <c r="AS5" s="1264">
        <v>0</v>
      </c>
      <c r="AT5" s="1263" t="s">
        <v>1690</v>
      </c>
      <c r="AU5" s="1265"/>
      <c r="AV5" s="1212"/>
      <c r="AW5" s="1266" t="str">
        <f>AD3</f>
        <v>[자기자본]</v>
      </c>
      <c r="AX5" s="1267"/>
      <c r="AY5" s="1212"/>
      <c r="AZ5" s="1268" t="str">
        <f>AG3</f>
        <v>[1종]</v>
      </c>
      <c r="BA5" s="1212"/>
      <c r="BB5" s="1268" t="str">
        <f>AI3</f>
        <v>[2종]</v>
      </c>
      <c r="BC5" s="1269"/>
      <c r="BD5" s="1270" t="str">
        <f>AK3</f>
        <v>[보통주]</v>
      </c>
    </row>
    <row r="6" spans="1:56" ht="13.5">
      <c r="B6" s="1216"/>
      <c r="C6" s="1217"/>
      <c r="D6" s="1223" t="s">
        <v>1691</v>
      </c>
      <c r="E6" s="1729">
        <v>11286.29</v>
      </c>
      <c r="F6" s="1271">
        <f>0.3025*E6</f>
        <v>3414.1027250000002</v>
      </c>
      <c r="I6" s="1220"/>
      <c r="K6" s="1216"/>
      <c r="L6" s="1242"/>
      <c r="M6" s="1272" t="s">
        <v>1879</v>
      </c>
      <c r="N6" s="1273"/>
      <c r="O6" s="1274">
        <v>21705.113100000002</v>
      </c>
      <c r="P6" s="1275"/>
      <c r="Q6" s="1276">
        <v>70628.751849258959</v>
      </c>
      <c r="R6" s="1276">
        <v>298072.05312374065</v>
      </c>
      <c r="S6" s="1276">
        <v>35096.585237328247</v>
      </c>
      <c r="T6" s="1277"/>
      <c r="V6" s="1247"/>
      <c r="W6" s="1278"/>
      <c r="X6" s="1934">
        <v>1</v>
      </c>
      <c r="Y6" s="1935">
        <v>44500</v>
      </c>
      <c r="Z6" s="1936">
        <f t="shared" ref="Z6:Z26" si="0">IF(Y6=0,0,MIN(EOMONTH(Y6,Z$5),$H$19))</f>
        <v>44592</v>
      </c>
      <c r="AA6" s="1937">
        <v>4</v>
      </c>
      <c r="AB6" s="1938">
        <v>0</v>
      </c>
      <c r="AC6" s="1939">
        <v>6005.5151180000003</v>
      </c>
      <c r="AD6" s="1940">
        <f>SUM(AG6,AK6)</f>
        <v>3302.6805479999998</v>
      </c>
      <c r="AE6" s="1941">
        <f t="shared" ref="AE6:AE26" si="1">IF($AA6*$AW6&gt;0,AD6/$AW6/$AA6*12,0)</f>
        <v>5.1658194181439E-2</v>
      </c>
      <c r="AF6" s="1721"/>
      <c r="AG6" s="1942">
        <v>3302.6805479999998</v>
      </c>
      <c r="AH6" s="1941">
        <f t="shared" ref="AH6:AH26" si="2">IF($AA6*$AZ6&gt;0,AG6/$AZ6/$AA6*12,0)</f>
        <v>6.3189041096938778E-2</v>
      </c>
      <c r="AI6" s="1943">
        <v>0</v>
      </c>
      <c r="AJ6" s="1941">
        <f t="shared" ref="AJ6:AJ26" si="3">IF($AA6*$BB6&gt;0,AI6/$BB6/$AA6*12,0)</f>
        <v>0</v>
      </c>
      <c r="AK6" s="1942">
        <v>0</v>
      </c>
      <c r="AL6" s="1941">
        <f t="shared" ref="AL6:AL26" si="4">IF($AA6*$BD6&gt;0,AK6/$BD6/$AA6*12,0)</f>
        <v>0</v>
      </c>
      <c r="AM6" s="1944"/>
      <c r="AN6" s="1945"/>
      <c r="AO6" s="1946"/>
      <c r="AP6" s="1947"/>
      <c r="AQ6" s="1948">
        <f t="shared" ref="AQ6:AQ26" si="5">Y6</f>
        <v>44500</v>
      </c>
      <c r="AR6" s="1949"/>
      <c r="AS6" s="1950">
        <f>AR6*AS$5</f>
        <v>0</v>
      </c>
      <c r="AT6" s="1950">
        <f>SUM(AR6:AS6)</f>
        <v>0</v>
      </c>
      <c r="AU6" s="1951"/>
      <c r="AV6" s="1952"/>
      <c r="AW6" s="1953">
        <f>SUM(AZ6,BB6,BD6)</f>
        <v>191800</v>
      </c>
      <c r="AX6" s="1721"/>
      <c r="AY6" s="1721"/>
      <c r="AZ6" s="1950">
        <v>156800</v>
      </c>
      <c r="BA6" s="1721"/>
      <c r="BB6" s="1950">
        <v>0</v>
      </c>
      <c r="BC6" s="1721"/>
      <c r="BD6" s="1954">
        <v>35000</v>
      </c>
    </row>
    <row r="7" spans="1:56" ht="13.5">
      <c r="B7" s="1238"/>
      <c r="C7" s="1212"/>
      <c r="D7" s="1241" t="s">
        <v>1692</v>
      </c>
      <c r="E7" s="1729">
        <f>56010.6+29143.43</f>
        <v>85154.03</v>
      </c>
      <c r="F7" s="1271">
        <f>0.3025*E7</f>
        <v>25759.094074999997</v>
      </c>
      <c r="I7" s="1239"/>
      <c r="K7" s="1216"/>
      <c r="L7" s="1242"/>
      <c r="M7" s="1272" t="s">
        <v>1880</v>
      </c>
      <c r="N7" s="1273"/>
      <c r="O7" s="1274">
        <v>1235.794175</v>
      </c>
      <c r="P7" s="1275"/>
      <c r="Q7" s="1276">
        <v>91999.948130521007</v>
      </c>
      <c r="R7" s="1276">
        <v>534849.71718692558</v>
      </c>
      <c r="S7" s="1276">
        <v>35999.52233145944</v>
      </c>
      <c r="T7" s="1277"/>
      <c r="V7" s="1247"/>
      <c r="W7" s="1278"/>
      <c r="X7" s="1955">
        <f t="shared" ref="X7:X26" si="6">X6+1</f>
        <v>2</v>
      </c>
      <c r="Y7" s="1956">
        <v>44681</v>
      </c>
      <c r="Z7" s="1957">
        <f t="shared" si="0"/>
        <v>44773</v>
      </c>
      <c r="AA7" s="1958">
        <v>6</v>
      </c>
      <c r="AB7" s="1959">
        <v>0</v>
      </c>
      <c r="AC7" s="1960">
        <v>9500.3191439999991</v>
      </c>
      <c r="AD7" s="1961">
        <f t="shared" ref="AD7:AD10" si="7">SUM(AG7,AK7)</f>
        <v>6219.1806189999998</v>
      </c>
      <c r="AE7" s="1962">
        <f t="shared" si="1"/>
        <v>5.2974281252129468E-2</v>
      </c>
      <c r="AF7" s="1721"/>
      <c r="AG7" s="1963">
        <v>6219.1806189999998</v>
      </c>
      <c r="AH7" s="1962">
        <f t="shared" si="2"/>
        <v>6.2254060250250251E-2</v>
      </c>
      <c r="AI7" s="1964">
        <v>0</v>
      </c>
      <c r="AJ7" s="1962">
        <f t="shared" si="3"/>
        <v>0</v>
      </c>
      <c r="AK7" s="1965">
        <v>0</v>
      </c>
      <c r="AL7" s="1962">
        <f t="shared" si="4"/>
        <v>0</v>
      </c>
      <c r="AM7" s="1944"/>
      <c r="AN7" s="1945"/>
      <c r="AO7" s="1946"/>
      <c r="AP7" s="1966"/>
      <c r="AQ7" s="1967">
        <f t="shared" si="5"/>
        <v>44681</v>
      </c>
      <c r="AR7" s="1968"/>
      <c r="AS7" s="1969">
        <f t="shared" ref="AS7:AS26" si="8">AR7*AS$5</f>
        <v>0</v>
      </c>
      <c r="AT7" s="1969">
        <f t="shared" ref="AT7:AT26" si="9">SUM(AR7:AS7)</f>
        <v>0</v>
      </c>
      <c r="AU7" s="1951"/>
      <c r="AV7" s="1952"/>
      <c r="AW7" s="1970">
        <f t="shared" ref="AW7:AW26" si="10">SUM(AZ7,BB7,BD7)</f>
        <v>234800</v>
      </c>
      <c r="AX7" s="1721"/>
      <c r="AY7" s="1721"/>
      <c r="AZ7" s="1969">
        <v>199800</v>
      </c>
      <c r="BA7" s="1721"/>
      <c r="BB7" s="1969">
        <v>0</v>
      </c>
      <c r="BC7" s="1721"/>
      <c r="BD7" s="1971">
        <v>35000</v>
      </c>
    </row>
    <row r="8" spans="1:56" ht="13.5">
      <c r="B8" s="1238"/>
      <c r="C8" s="1212"/>
      <c r="D8" s="1241" t="s">
        <v>1693</v>
      </c>
      <c r="E8" s="1287"/>
      <c r="F8" s="1288" t="s">
        <v>991</v>
      </c>
      <c r="G8" s="1289"/>
      <c r="I8" s="1239"/>
      <c r="K8" s="1216"/>
      <c r="L8" s="1242"/>
      <c r="M8" s="1272" t="s">
        <v>1881</v>
      </c>
      <c r="N8" s="1273"/>
      <c r="O8" s="1274">
        <v>2818.1887450922368</v>
      </c>
      <c r="P8" s="1290"/>
      <c r="Q8" s="1276">
        <v>84018.669229427498</v>
      </c>
      <c r="R8" s="1276">
        <v>177587.71937172714</v>
      </c>
      <c r="S8" s="1276">
        <v>35794.342084315736</v>
      </c>
      <c r="T8" s="1277"/>
      <c r="V8" s="1247"/>
      <c r="W8" s="1278"/>
      <c r="X8" s="1955">
        <f t="shared" si="6"/>
        <v>3</v>
      </c>
      <c r="Y8" s="1956">
        <v>44865</v>
      </c>
      <c r="Z8" s="1957">
        <f t="shared" si="0"/>
        <v>44957</v>
      </c>
      <c r="AA8" s="1958">
        <v>6</v>
      </c>
      <c r="AB8" s="1959">
        <v>0</v>
      </c>
      <c r="AC8" s="1960">
        <v>9311.0818220000001</v>
      </c>
      <c r="AD8" s="1961">
        <f t="shared" si="7"/>
        <v>7466.2662870000004</v>
      </c>
      <c r="AE8" s="1962">
        <f t="shared" si="1"/>
        <v>5.375281704103671E-2</v>
      </c>
      <c r="AF8" s="1721"/>
      <c r="AG8" s="1963">
        <v>7466.2662870000004</v>
      </c>
      <c r="AH8" s="1962">
        <f t="shared" si="2"/>
        <v>6.1501369744645804E-2</v>
      </c>
      <c r="AI8" s="1964">
        <v>0</v>
      </c>
      <c r="AJ8" s="1962">
        <f t="shared" si="3"/>
        <v>0</v>
      </c>
      <c r="AK8" s="1965">
        <v>0</v>
      </c>
      <c r="AL8" s="1962">
        <f t="shared" si="4"/>
        <v>0</v>
      </c>
      <c r="AM8" s="1944"/>
      <c r="AN8" s="1945"/>
      <c r="AO8" s="1946"/>
      <c r="AP8" s="1966"/>
      <c r="AQ8" s="1967">
        <f t="shared" si="5"/>
        <v>44865</v>
      </c>
      <c r="AR8" s="1968"/>
      <c r="AS8" s="1969">
        <f t="shared" si="8"/>
        <v>0</v>
      </c>
      <c r="AT8" s="1969">
        <f t="shared" si="9"/>
        <v>0</v>
      </c>
      <c r="AU8" s="1951"/>
      <c r="AV8" s="1952"/>
      <c r="AW8" s="1970">
        <f t="shared" si="10"/>
        <v>277800</v>
      </c>
      <c r="AX8" s="1721"/>
      <c r="AY8" s="1721"/>
      <c r="AZ8" s="1969">
        <v>242800</v>
      </c>
      <c r="BA8" s="1721"/>
      <c r="BB8" s="1969">
        <v>0</v>
      </c>
      <c r="BC8" s="1721"/>
      <c r="BD8" s="1971">
        <v>35000</v>
      </c>
    </row>
    <row r="9" spans="1:56" ht="13.5">
      <c r="B9" s="1238"/>
      <c r="C9" s="1217"/>
      <c r="D9" s="1241" t="s">
        <v>1694</v>
      </c>
      <c r="E9" s="1933">
        <v>40633</v>
      </c>
      <c r="F9" s="1291"/>
      <c r="G9" s="1933"/>
      <c r="H9" s="1933"/>
      <c r="I9" s="1239"/>
      <c r="K9" s="1216"/>
      <c r="L9" s="1242"/>
      <c r="M9" s="1272"/>
      <c r="N9" s="1273"/>
      <c r="O9" s="1274"/>
      <c r="P9" s="1290"/>
      <c r="Q9" s="1276"/>
      <c r="R9" s="1276"/>
      <c r="S9" s="1276"/>
      <c r="T9" s="1277"/>
      <c r="V9" s="1247"/>
      <c r="W9" s="1278"/>
      <c r="X9" s="1955">
        <f t="shared" si="6"/>
        <v>4</v>
      </c>
      <c r="Y9" s="1956">
        <v>45046</v>
      </c>
      <c r="Z9" s="1957">
        <f t="shared" si="0"/>
        <v>45138</v>
      </c>
      <c r="AA9" s="1958">
        <v>6</v>
      </c>
      <c r="AB9" s="1959">
        <v>0</v>
      </c>
      <c r="AC9" s="1960">
        <v>8709.6619370000008</v>
      </c>
      <c r="AD9" s="1961">
        <f t="shared" si="7"/>
        <v>7344.5336880000004</v>
      </c>
      <c r="AE9" s="1962">
        <f t="shared" si="1"/>
        <v>5.2876412440604752E-2</v>
      </c>
      <c r="AF9" s="1721"/>
      <c r="AG9" s="1963">
        <v>7344.5336880000004</v>
      </c>
      <c r="AH9" s="1962">
        <f t="shared" si="2"/>
        <v>6.0498630049423407E-2</v>
      </c>
      <c r="AI9" s="1964">
        <v>0</v>
      </c>
      <c r="AJ9" s="1962">
        <f t="shared" si="3"/>
        <v>0</v>
      </c>
      <c r="AK9" s="1965">
        <v>0</v>
      </c>
      <c r="AL9" s="1962">
        <f t="shared" si="4"/>
        <v>0</v>
      </c>
      <c r="AM9" s="1944"/>
      <c r="AN9" s="1945"/>
      <c r="AO9" s="1946"/>
      <c r="AP9" s="1966"/>
      <c r="AQ9" s="1967">
        <f t="shared" si="5"/>
        <v>45046</v>
      </c>
      <c r="AR9" s="1968"/>
      <c r="AS9" s="1969">
        <f t="shared" si="8"/>
        <v>0</v>
      </c>
      <c r="AT9" s="1969">
        <f t="shared" si="9"/>
        <v>0</v>
      </c>
      <c r="AU9" s="1951"/>
      <c r="AV9" s="1952"/>
      <c r="AW9" s="1970">
        <f t="shared" si="10"/>
        <v>277800</v>
      </c>
      <c r="AX9" s="1721"/>
      <c r="AY9" s="1721"/>
      <c r="AZ9" s="1969">
        <v>242800</v>
      </c>
      <c r="BA9" s="1721"/>
      <c r="BB9" s="1969">
        <v>0</v>
      </c>
      <c r="BC9" s="1721"/>
      <c r="BD9" s="1971">
        <v>35000</v>
      </c>
    </row>
    <row r="10" spans="1:56" ht="13.5">
      <c r="B10" s="1292" t="s">
        <v>1695</v>
      </c>
      <c r="C10" s="1292"/>
      <c r="D10" s="1292"/>
      <c r="E10" s="1292"/>
      <c r="F10" s="1292"/>
      <c r="G10" s="1292"/>
      <c r="H10" s="1292"/>
      <c r="I10" s="1292"/>
      <c r="K10" s="1216"/>
      <c r="L10" s="1242"/>
      <c r="M10" s="1293" t="s">
        <v>992</v>
      </c>
      <c r="N10" s="1294"/>
      <c r="O10" s="1295">
        <f>SUM(O6:O9)</f>
        <v>25759.096020092238</v>
      </c>
      <c r="P10" s="1290"/>
      <c r="Q10" s="1296">
        <f>SUMPRODUCT(Q6:Q9,$O6:$O9)/$O10</f>
        <v>73118.967898985124</v>
      </c>
      <c r="R10" s="1296">
        <f>SUMPRODUCT(R6:R9,$O6:$O9)/$O10</f>
        <v>296249.81777495908</v>
      </c>
      <c r="S10" s="1296">
        <f>SUMPRODUCT(S6:S9,$O6:$O9)/$O10</f>
        <v>35216.242188484677</v>
      </c>
      <c r="T10" s="1297"/>
      <c r="V10" s="1247"/>
      <c r="W10" s="1278"/>
      <c r="X10" s="1955">
        <f t="shared" si="6"/>
        <v>5</v>
      </c>
      <c r="Y10" s="1956">
        <v>45230</v>
      </c>
      <c r="Z10" s="1957">
        <f t="shared" si="0"/>
        <v>45322</v>
      </c>
      <c r="AA10" s="1958">
        <v>6</v>
      </c>
      <c r="AB10" s="1959">
        <v>14828.781546538568</v>
      </c>
      <c r="AC10" s="1960">
        <v>7402.5572240000001</v>
      </c>
      <c r="AD10" s="1961">
        <f t="shared" si="7"/>
        <v>7466.2662870000004</v>
      </c>
      <c r="AE10" s="1962">
        <f t="shared" si="1"/>
        <v>5.375281704103671E-2</v>
      </c>
      <c r="AF10" s="1721"/>
      <c r="AG10" s="1963">
        <v>7466.2662870000004</v>
      </c>
      <c r="AH10" s="1962">
        <f t="shared" si="2"/>
        <v>6.1501369744645804E-2</v>
      </c>
      <c r="AI10" s="1964">
        <v>0</v>
      </c>
      <c r="AJ10" s="1962">
        <f t="shared" si="3"/>
        <v>0</v>
      </c>
      <c r="AK10" s="1965">
        <v>0</v>
      </c>
      <c r="AL10" s="1962">
        <f t="shared" si="4"/>
        <v>0</v>
      </c>
      <c r="AM10" s="1944"/>
      <c r="AN10" s="1945"/>
      <c r="AO10" s="1946"/>
      <c r="AP10" s="1966"/>
      <c r="AQ10" s="1967">
        <f t="shared" si="5"/>
        <v>45230</v>
      </c>
      <c r="AR10" s="1968"/>
      <c r="AS10" s="1969">
        <f t="shared" si="8"/>
        <v>0</v>
      </c>
      <c r="AT10" s="1969">
        <f t="shared" si="9"/>
        <v>0</v>
      </c>
      <c r="AU10" s="1951"/>
      <c r="AV10" s="1952"/>
      <c r="AW10" s="1970">
        <f t="shared" si="10"/>
        <v>277800</v>
      </c>
      <c r="AX10" s="1721"/>
      <c r="AY10" s="1721"/>
      <c r="AZ10" s="1969">
        <v>242800</v>
      </c>
      <c r="BA10" s="1721"/>
      <c r="BB10" s="1969">
        <v>0</v>
      </c>
      <c r="BC10" s="1721"/>
      <c r="BD10" s="1971">
        <v>35000</v>
      </c>
    </row>
    <row r="11" spans="1:56" ht="13.5">
      <c r="B11" s="1238"/>
      <c r="C11" s="1779" t="s">
        <v>1696</v>
      </c>
      <c r="D11" s="1779"/>
      <c r="E11" s="1212"/>
      <c r="F11" s="1212"/>
      <c r="G11" s="1197"/>
      <c r="H11" s="1972">
        <v>44377</v>
      </c>
      <c r="I11" s="1239"/>
      <c r="K11" s="1216"/>
      <c r="L11" s="1242"/>
      <c r="M11" s="1272" t="s">
        <v>1087</v>
      </c>
      <c r="N11" s="1298"/>
      <c r="O11" s="1299">
        <v>0</v>
      </c>
      <c r="P11" s="1290"/>
      <c r="Q11" s="1300"/>
      <c r="R11" s="1300"/>
      <c r="S11" s="1300"/>
      <c r="T11" s="1301"/>
      <c r="U11" s="1302"/>
      <c r="V11" s="1247"/>
      <c r="W11" s="1278"/>
      <c r="X11" s="1283">
        <f t="shared" si="6"/>
        <v>6</v>
      </c>
      <c r="Y11" s="1973">
        <v>45412</v>
      </c>
      <c r="Z11" s="1974">
        <f t="shared" si="0"/>
        <v>45504</v>
      </c>
      <c r="AA11" s="1284">
        <v>6</v>
      </c>
      <c r="AB11" s="1975">
        <v>30252.992647544852</v>
      </c>
      <c r="AC11" s="1976">
        <v>4860</v>
      </c>
      <c r="AD11" s="815">
        <v>4860</v>
      </c>
      <c r="AE11" s="1285">
        <f t="shared" si="1"/>
        <v>3.4989200863930883E-2</v>
      </c>
      <c r="AF11" s="1197"/>
      <c r="AG11" s="1977">
        <v>4860</v>
      </c>
      <c r="AH11" s="1285">
        <f t="shared" si="2"/>
        <v>4.0032948929159803E-2</v>
      </c>
      <c r="AI11" s="1977">
        <v>0</v>
      </c>
      <c r="AJ11" s="1285">
        <f t="shared" si="3"/>
        <v>0</v>
      </c>
      <c r="AK11" s="815">
        <v>0</v>
      </c>
      <c r="AL11" s="1285">
        <f t="shared" si="4"/>
        <v>0</v>
      </c>
      <c r="AM11" s="1279"/>
      <c r="AN11" s="1280"/>
      <c r="AO11" s="1281"/>
      <c r="AP11" s="1286"/>
      <c r="AQ11" s="1978">
        <f t="shared" si="5"/>
        <v>45412</v>
      </c>
      <c r="AR11" s="1979"/>
      <c r="AS11" s="1980">
        <f t="shared" si="8"/>
        <v>0</v>
      </c>
      <c r="AT11" s="1980">
        <f t="shared" si="9"/>
        <v>0</v>
      </c>
      <c r="AU11" s="1282"/>
      <c r="AV11" s="1237"/>
      <c r="AW11" s="1981">
        <f t="shared" si="10"/>
        <v>277800</v>
      </c>
      <c r="AX11" s="1212"/>
      <c r="AY11" s="1212"/>
      <c r="AZ11" s="1982">
        <v>242800</v>
      </c>
      <c r="BA11" s="1212"/>
      <c r="BB11" s="1982">
        <v>0</v>
      </c>
      <c r="BC11" s="1212"/>
      <c r="BD11" s="1983">
        <v>35000</v>
      </c>
    </row>
    <row r="12" spans="1:56" ht="13.5">
      <c r="B12" s="1303"/>
      <c r="C12" s="1984" t="s">
        <v>1697</v>
      </c>
      <c r="D12" s="1985"/>
      <c r="E12" s="1304"/>
      <c r="F12" s="1304"/>
      <c r="G12" s="1325"/>
      <c r="H12" s="1305">
        <f>H11</f>
        <v>44377</v>
      </c>
      <c r="I12" s="1239"/>
      <c r="K12" s="1216"/>
      <c r="L12" s="1242"/>
      <c r="M12" s="1272" t="s">
        <v>769</v>
      </c>
      <c r="N12" s="1298"/>
      <c r="O12" s="1306">
        <f>SUM(O10:O11)</f>
        <v>25759.096020092238</v>
      </c>
      <c r="P12" s="1290"/>
      <c r="Q12" s="1300"/>
      <c r="R12" s="1300"/>
      <c r="S12" s="1300"/>
      <c r="T12" s="1301"/>
      <c r="U12" s="1302"/>
      <c r="V12" s="1216"/>
      <c r="W12" s="1278"/>
      <c r="X12" s="1283">
        <f t="shared" si="6"/>
        <v>7</v>
      </c>
      <c r="Y12" s="1973">
        <v>45596</v>
      </c>
      <c r="Z12" s="1974">
        <f t="shared" si="0"/>
        <v>45688</v>
      </c>
      <c r="AA12" s="1284">
        <v>6</v>
      </c>
      <c r="AB12" s="1975">
        <v>26870.382330984132</v>
      </c>
      <c r="AC12" s="1976">
        <f>AC11</f>
        <v>4860</v>
      </c>
      <c r="AD12" s="815">
        <v>4860</v>
      </c>
      <c r="AE12" s="1285">
        <f t="shared" si="1"/>
        <v>3.4989200863930883E-2</v>
      </c>
      <c r="AF12" s="1197"/>
      <c r="AG12" s="1977">
        <v>4860</v>
      </c>
      <c r="AH12" s="1285">
        <f t="shared" si="2"/>
        <v>4.0032948929159803E-2</v>
      </c>
      <c r="AI12" s="1977">
        <v>0</v>
      </c>
      <c r="AJ12" s="1285">
        <f t="shared" si="3"/>
        <v>0</v>
      </c>
      <c r="AK12" s="815">
        <v>0</v>
      </c>
      <c r="AL12" s="1285">
        <f t="shared" si="4"/>
        <v>0</v>
      </c>
      <c r="AM12" s="1279"/>
      <c r="AN12" s="1280"/>
      <c r="AO12" s="1281"/>
      <c r="AP12" s="1286"/>
      <c r="AQ12" s="1978">
        <f t="shared" si="5"/>
        <v>45596</v>
      </c>
      <c r="AR12" s="1979"/>
      <c r="AS12" s="1980">
        <f t="shared" si="8"/>
        <v>0</v>
      </c>
      <c r="AT12" s="1980">
        <f>SUM(AR12:AS12)</f>
        <v>0</v>
      </c>
      <c r="AU12" s="1282"/>
      <c r="AV12" s="1237"/>
      <c r="AW12" s="1981">
        <f t="shared" si="10"/>
        <v>277800</v>
      </c>
      <c r="AX12" s="1212"/>
      <c r="AY12" s="1212"/>
      <c r="AZ12" s="1982">
        <v>242800</v>
      </c>
      <c r="BA12" s="1212"/>
      <c r="BB12" s="1982">
        <v>0</v>
      </c>
      <c r="BC12" s="1212"/>
      <c r="BD12" s="1983">
        <v>35000</v>
      </c>
    </row>
    <row r="13" spans="1:56" ht="14.25" thickBot="1">
      <c r="B13" s="1303"/>
      <c r="C13" s="826" t="s">
        <v>1698</v>
      </c>
      <c r="D13" s="1779"/>
      <c r="E13" s="1212"/>
      <c r="F13" s="1307"/>
      <c r="G13" s="1197"/>
      <c r="H13" s="1986">
        <f>EOMONTH(H12,0)</f>
        <v>44377</v>
      </c>
      <c r="I13" s="1239"/>
      <c r="K13" s="1216"/>
      <c r="L13" s="1242"/>
      <c r="M13" s="1308"/>
      <c r="N13" s="1309"/>
      <c r="O13" s="1310"/>
      <c r="P13" s="1275"/>
      <c r="Q13" s="1311"/>
      <c r="R13" s="1312"/>
      <c r="S13" s="1313"/>
      <c r="T13" s="1314"/>
      <c r="U13" s="311"/>
      <c r="V13" s="1216"/>
      <c r="W13" s="1278"/>
      <c r="X13" s="1283">
        <f t="shared" si="6"/>
        <v>8</v>
      </c>
      <c r="Y13" s="1973">
        <v>45777</v>
      </c>
      <c r="Z13" s="1974">
        <f t="shared" si="0"/>
        <v>45869</v>
      </c>
      <c r="AA13" s="1284">
        <v>6</v>
      </c>
      <c r="AB13" s="1975">
        <v>23040.22448696482</v>
      </c>
      <c r="AC13" s="1976">
        <f>AC12</f>
        <v>4860</v>
      </c>
      <c r="AD13" s="815">
        <v>4860.0000000000009</v>
      </c>
      <c r="AE13" s="1285">
        <f t="shared" si="1"/>
        <v>3.498920086393089E-2</v>
      </c>
      <c r="AF13" s="1197"/>
      <c r="AG13" s="1977">
        <v>4860.0000000000009</v>
      </c>
      <c r="AH13" s="1285">
        <f t="shared" si="2"/>
        <v>4.003294892915981E-2</v>
      </c>
      <c r="AI13" s="1977">
        <v>0</v>
      </c>
      <c r="AJ13" s="1285">
        <f t="shared" si="3"/>
        <v>0</v>
      </c>
      <c r="AK13" s="815">
        <v>0</v>
      </c>
      <c r="AL13" s="1285">
        <f t="shared" si="4"/>
        <v>0</v>
      </c>
      <c r="AM13" s="1279"/>
      <c r="AN13" s="1280"/>
      <c r="AO13" s="1281"/>
      <c r="AP13" s="1286"/>
      <c r="AQ13" s="1978">
        <f t="shared" si="5"/>
        <v>45777</v>
      </c>
      <c r="AR13" s="1979"/>
      <c r="AS13" s="1982">
        <f t="shared" si="8"/>
        <v>0</v>
      </c>
      <c r="AT13" s="1982">
        <f t="shared" si="9"/>
        <v>0</v>
      </c>
      <c r="AU13" s="1282"/>
      <c r="AV13" s="1237"/>
      <c r="AW13" s="1981">
        <f t="shared" si="10"/>
        <v>277800</v>
      </c>
      <c r="AX13" s="1212"/>
      <c r="AY13" s="1212"/>
      <c r="AZ13" s="1982">
        <v>242800</v>
      </c>
      <c r="BA13" s="1212"/>
      <c r="BB13" s="1982">
        <v>0</v>
      </c>
      <c r="BC13" s="1212"/>
      <c r="BD13" s="1983">
        <v>35000</v>
      </c>
    </row>
    <row r="14" spans="1:56" ht="14.25" thickTop="1">
      <c r="B14" s="1303"/>
      <c r="C14" s="819" t="s">
        <v>1699</v>
      </c>
      <c r="D14" s="1776"/>
      <c r="E14" s="1315"/>
      <c r="F14" s="1987" t="s">
        <v>1700</v>
      </c>
      <c r="G14" s="1988">
        <v>28</v>
      </c>
      <c r="H14" s="1986">
        <f>EOMONTH(H13,G14)</f>
        <v>45230</v>
      </c>
      <c r="I14" s="1316"/>
      <c r="K14" s="1216"/>
      <c r="L14" s="1242"/>
      <c r="M14" s="1243" t="s">
        <v>1701</v>
      </c>
      <c r="N14" s="1317"/>
      <c r="O14" s="1318" t="s">
        <v>993</v>
      </c>
      <c r="P14" s="1989">
        <v>2024</v>
      </c>
      <c r="Q14" s="1319"/>
      <c r="R14" s="1319"/>
      <c r="S14" s="1319"/>
      <c r="T14" s="1320"/>
      <c r="U14" s="311"/>
      <c r="V14" s="1216"/>
      <c r="W14" s="1278"/>
      <c r="X14" s="1283">
        <f t="shared" si="6"/>
        <v>9</v>
      </c>
      <c r="Y14" s="1973">
        <v>45961</v>
      </c>
      <c r="Z14" s="1974">
        <f t="shared" si="0"/>
        <v>46053</v>
      </c>
      <c r="AA14" s="1284">
        <v>6</v>
      </c>
      <c r="AB14" s="1975">
        <v>19964.353589874845</v>
      </c>
      <c r="AC14" s="1976">
        <f>AC13</f>
        <v>4860</v>
      </c>
      <c r="AD14" s="815">
        <v>4860.0000000000009</v>
      </c>
      <c r="AE14" s="1285">
        <f t="shared" si="1"/>
        <v>3.498920086393089E-2</v>
      </c>
      <c r="AF14" s="1197"/>
      <c r="AG14" s="1977">
        <v>4860.0000000000009</v>
      </c>
      <c r="AH14" s="1285">
        <f t="shared" si="2"/>
        <v>4.003294892915981E-2</v>
      </c>
      <c r="AI14" s="1990">
        <v>0</v>
      </c>
      <c r="AJ14" s="1321">
        <f t="shared" si="3"/>
        <v>0</v>
      </c>
      <c r="AK14" s="1991">
        <v>0</v>
      </c>
      <c r="AL14" s="1321">
        <f t="shared" si="4"/>
        <v>0</v>
      </c>
      <c r="AM14" s="1279"/>
      <c r="AN14" s="1280"/>
      <c r="AO14" s="1281"/>
      <c r="AP14" s="1286"/>
      <c r="AQ14" s="1978">
        <f t="shared" si="5"/>
        <v>45961</v>
      </c>
      <c r="AR14" s="1979"/>
      <c r="AS14" s="1982">
        <f t="shared" si="8"/>
        <v>0</v>
      </c>
      <c r="AT14" s="1982">
        <f t="shared" si="9"/>
        <v>0</v>
      </c>
      <c r="AU14" s="1282"/>
      <c r="AV14" s="1237"/>
      <c r="AW14" s="1981">
        <f t="shared" si="10"/>
        <v>277800</v>
      </c>
      <c r="AX14" s="1212"/>
      <c r="AY14" s="1212"/>
      <c r="AZ14" s="1982">
        <v>242800</v>
      </c>
      <c r="BA14" s="1212"/>
      <c r="BB14" s="1982">
        <v>0</v>
      </c>
      <c r="BC14" s="1212"/>
      <c r="BD14" s="1983">
        <v>35000</v>
      </c>
    </row>
    <row r="15" spans="1:56" ht="13.5">
      <c r="B15" s="1303"/>
      <c r="C15" s="1779" t="s">
        <v>1702</v>
      </c>
      <c r="D15" s="1779"/>
      <c r="E15" s="1212"/>
      <c r="F15" s="1197"/>
      <c r="G15" s="1197"/>
      <c r="H15" s="1986">
        <f>H14+1</f>
        <v>45231</v>
      </c>
      <c r="I15" s="1239"/>
      <c r="K15" s="1216"/>
      <c r="L15" s="1322"/>
      <c r="M15" s="1323" t="s">
        <v>1703</v>
      </c>
      <c r="N15" s="1324"/>
      <c r="O15" s="1992" t="s">
        <v>994</v>
      </c>
      <c r="P15" s="1993">
        <v>1</v>
      </c>
      <c r="Q15" s="1994">
        <v>91000</v>
      </c>
      <c r="R15" s="1346">
        <f>Q15*10</f>
        <v>910000</v>
      </c>
      <c r="S15" s="1994">
        <v>42000</v>
      </c>
      <c r="T15" s="1314"/>
      <c r="U15" s="311"/>
      <c r="V15" s="1216"/>
      <c r="W15" s="1278"/>
      <c r="X15" s="1283">
        <f t="shared" si="6"/>
        <v>10</v>
      </c>
      <c r="Y15" s="1973">
        <v>46142</v>
      </c>
      <c r="Z15" s="1974">
        <f t="shared" si="0"/>
        <v>46234</v>
      </c>
      <c r="AA15" s="1284">
        <v>6</v>
      </c>
      <c r="AB15" s="1975">
        <v>8111.4473773832651</v>
      </c>
      <c r="AC15" s="1976">
        <f>AC14</f>
        <v>4860</v>
      </c>
      <c r="AD15" s="815">
        <v>4860.0000000000009</v>
      </c>
      <c r="AE15" s="1285">
        <f t="shared" si="1"/>
        <v>3.498920086393089E-2</v>
      </c>
      <c r="AF15" s="1197"/>
      <c r="AG15" s="1990">
        <v>4860.0000000000009</v>
      </c>
      <c r="AH15" s="1321">
        <f t="shared" si="2"/>
        <v>4.003294892915981E-2</v>
      </c>
      <c r="AI15" s="1990">
        <v>0</v>
      </c>
      <c r="AJ15" s="1321">
        <f t="shared" si="3"/>
        <v>0</v>
      </c>
      <c r="AK15" s="1991">
        <v>0</v>
      </c>
      <c r="AL15" s="1321">
        <f t="shared" si="4"/>
        <v>0</v>
      </c>
      <c r="AM15" s="1279"/>
      <c r="AN15" s="1280"/>
      <c r="AO15" s="1281"/>
      <c r="AP15" s="1286"/>
      <c r="AQ15" s="1978">
        <f t="shared" si="5"/>
        <v>46142</v>
      </c>
      <c r="AR15" s="1979"/>
      <c r="AS15" s="1982">
        <f t="shared" si="8"/>
        <v>0</v>
      </c>
      <c r="AT15" s="1982">
        <f t="shared" si="9"/>
        <v>0</v>
      </c>
      <c r="AU15" s="1282"/>
      <c r="AV15" s="1237"/>
      <c r="AW15" s="1981">
        <f t="shared" si="10"/>
        <v>277800</v>
      </c>
      <c r="AX15" s="1212"/>
      <c r="AY15" s="1212"/>
      <c r="AZ15" s="1982">
        <v>242800</v>
      </c>
      <c r="BA15" s="1212"/>
      <c r="BB15" s="1982">
        <v>0</v>
      </c>
      <c r="BC15" s="1212"/>
      <c r="BD15" s="1983">
        <v>35000</v>
      </c>
    </row>
    <row r="16" spans="1:56" ht="14.25" thickBot="1">
      <c r="B16" s="1303"/>
      <c r="C16" s="1985" t="s">
        <v>1704</v>
      </c>
      <c r="D16" s="1985"/>
      <c r="E16" s="1304"/>
      <c r="F16" s="1325"/>
      <c r="G16" s="1325"/>
      <c r="H16" s="1995">
        <f>EOMONTH(H15,0)</f>
        <v>45260</v>
      </c>
      <c r="I16" s="1239"/>
      <c r="K16" s="1216"/>
      <c r="L16" s="1322"/>
      <c r="M16" s="1326" t="s">
        <v>995</v>
      </c>
      <c r="N16" s="1327"/>
      <c r="O16" s="1328"/>
      <c r="P16" s="1329"/>
      <c r="Q16" s="1330">
        <v>0.03</v>
      </c>
      <c r="R16" s="1330">
        <v>0</v>
      </c>
      <c r="S16" s="1330">
        <v>0.03</v>
      </c>
      <c r="T16" s="1331"/>
      <c r="U16" s="311"/>
      <c r="V16" s="1216"/>
      <c r="W16" s="1278"/>
      <c r="X16" s="1283">
        <f t="shared" si="6"/>
        <v>11</v>
      </c>
      <c r="Y16" s="1973">
        <v>46326</v>
      </c>
      <c r="Z16" s="1974">
        <f t="shared" si="0"/>
        <v>46418</v>
      </c>
      <c r="AA16" s="1284">
        <v>6</v>
      </c>
      <c r="AB16" s="1975">
        <v>6528.8423695042093</v>
      </c>
      <c r="AC16" s="1976">
        <v>5943</v>
      </c>
      <c r="AD16" s="815">
        <v>5943</v>
      </c>
      <c r="AE16" s="1285">
        <f t="shared" si="1"/>
        <v>4.2786177105831533E-2</v>
      </c>
      <c r="AF16" s="1197"/>
      <c r="AG16" s="1990">
        <v>5943</v>
      </c>
      <c r="AH16" s="1321">
        <f t="shared" si="2"/>
        <v>4.895387149917628E-2</v>
      </c>
      <c r="AI16" s="1990">
        <v>0</v>
      </c>
      <c r="AJ16" s="1321">
        <f t="shared" si="3"/>
        <v>0</v>
      </c>
      <c r="AK16" s="1991">
        <v>0</v>
      </c>
      <c r="AL16" s="1321">
        <f t="shared" si="4"/>
        <v>0</v>
      </c>
      <c r="AM16" s="1279"/>
      <c r="AN16" s="1280"/>
      <c r="AO16" s="1281"/>
      <c r="AP16" s="1286"/>
      <c r="AQ16" s="1978">
        <f t="shared" si="5"/>
        <v>46326</v>
      </c>
      <c r="AR16" s="1979"/>
      <c r="AS16" s="1982">
        <f t="shared" si="8"/>
        <v>0</v>
      </c>
      <c r="AT16" s="1982">
        <f t="shared" si="9"/>
        <v>0</v>
      </c>
      <c r="AU16" s="1282"/>
      <c r="AV16" s="1237"/>
      <c r="AW16" s="1981">
        <f t="shared" si="10"/>
        <v>277800</v>
      </c>
      <c r="AX16" s="1212"/>
      <c r="AY16" s="1212"/>
      <c r="AZ16" s="1982">
        <v>242800</v>
      </c>
      <c r="BA16" s="1212"/>
      <c r="BB16" s="1982">
        <v>0</v>
      </c>
      <c r="BC16" s="1212"/>
      <c r="BD16" s="1983">
        <v>35000</v>
      </c>
    </row>
    <row r="17" spans="2:56" ht="14.25" thickTop="1">
      <c r="B17" s="1303"/>
      <c r="C17" s="1498" t="s">
        <v>1705</v>
      </c>
      <c r="D17" s="1985"/>
      <c r="E17" s="1304"/>
      <c r="F17" s="1325"/>
      <c r="G17" s="1996">
        <f>H17/12</f>
        <v>7.666666666666667</v>
      </c>
      <c r="H17" s="1997">
        <f>H18-G14</f>
        <v>92</v>
      </c>
      <c r="I17" s="1239"/>
      <c r="K17" s="1216"/>
      <c r="L17" s="1242"/>
      <c r="M17" s="1243" t="s">
        <v>1706</v>
      </c>
      <c r="N17" s="1333"/>
      <c r="O17" s="1334" t="s">
        <v>993</v>
      </c>
      <c r="P17" s="1998">
        <v>2020</v>
      </c>
      <c r="Q17" s="1244"/>
      <c r="R17" s="1244"/>
      <c r="S17" s="1244"/>
      <c r="T17" s="1320"/>
      <c r="U17" s="311"/>
      <c r="V17" s="1216"/>
      <c r="W17" s="1278"/>
      <c r="X17" s="1283">
        <f t="shared" si="6"/>
        <v>12</v>
      </c>
      <c r="Y17" s="1973">
        <v>46507</v>
      </c>
      <c r="Z17" s="1974">
        <f t="shared" si="0"/>
        <v>46599</v>
      </c>
      <c r="AA17" s="1284">
        <v>6</v>
      </c>
      <c r="AB17" s="1975">
        <v>6618.906709434299</v>
      </c>
      <c r="AC17" s="1976">
        <f>AC16</f>
        <v>5943</v>
      </c>
      <c r="AD17" s="815">
        <v>5943</v>
      </c>
      <c r="AE17" s="1285">
        <f t="shared" si="1"/>
        <v>4.2786177105831533E-2</v>
      </c>
      <c r="AF17" s="1197"/>
      <c r="AG17" s="1977">
        <v>5943</v>
      </c>
      <c r="AH17" s="1285">
        <f t="shared" si="2"/>
        <v>4.895387149917628E-2</v>
      </c>
      <c r="AI17" s="1977">
        <v>0</v>
      </c>
      <c r="AJ17" s="1285">
        <f t="shared" si="3"/>
        <v>0</v>
      </c>
      <c r="AK17" s="815">
        <v>0</v>
      </c>
      <c r="AL17" s="1285">
        <f t="shared" si="4"/>
        <v>0</v>
      </c>
      <c r="AM17" s="1279"/>
      <c r="AN17" s="1280"/>
      <c r="AO17" s="1281"/>
      <c r="AP17" s="1286"/>
      <c r="AQ17" s="1978">
        <f t="shared" si="5"/>
        <v>46507</v>
      </c>
      <c r="AR17" s="1979"/>
      <c r="AS17" s="1982">
        <f t="shared" si="8"/>
        <v>0</v>
      </c>
      <c r="AT17" s="1982">
        <f t="shared" si="9"/>
        <v>0</v>
      </c>
      <c r="AU17" s="1282"/>
      <c r="AV17" s="1237"/>
      <c r="AW17" s="1981">
        <f t="shared" si="10"/>
        <v>277800</v>
      </c>
      <c r="AX17" s="1212"/>
      <c r="AY17" s="1212"/>
      <c r="AZ17" s="1982">
        <v>242800</v>
      </c>
      <c r="BA17" s="1212"/>
      <c r="BB17" s="1982">
        <v>0</v>
      </c>
      <c r="BC17" s="1212"/>
      <c r="BD17" s="1983">
        <v>35000</v>
      </c>
    </row>
    <row r="18" spans="2:56" ht="13.5">
      <c r="B18" s="1303"/>
      <c r="C18" s="1999" t="s">
        <v>1707</v>
      </c>
      <c r="D18" s="1776"/>
      <c r="E18" s="1336"/>
      <c r="F18" s="1337"/>
      <c r="G18" s="2000">
        <v>10</v>
      </c>
      <c r="H18" s="1332">
        <f>G18*12</f>
        <v>120</v>
      </c>
      <c r="I18" s="1316"/>
      <c r="K18" s="1216"/>
      <c r="L18" s="1242"/>
      <c r="M18" s="1338"/>
      <c r="N18" s="1339"/>
      <c r="O18" s="1340" t="s">
        <v>1708</v>
      </c>
      <c r="P18" s="1341" t="s">
        <v>996</v>
      </c>
      <c r="Q18" s="1342" t="s">
        <v>1682</v>
      </c>
      <c r="R18" s="1342" t="s">
        <v>1683</v>
      </c>
      <c r="S18" s="1342" t="s">
        <v>1684</v>
      </c>
      <c r="T18" s="1343" t="s">
        <v>1709</v>
      </c>
      <c r="U18" s="1344" t="s">
        <v>997</v>
      </c>
      <c r="V18" s="1216"/>
      <c r="W18" s="1278"/>
      <c r="X18" s="1283">
        <f t="shared" si="6"/>
        <v>13</v>
      </c>
      <c r="Y18" s="1973">
        <v>46691</v>
      </c>
      <c r="Z18" s="1974">
        <f t="shared" si="0"/>
        <v>46783</v>
      </c>
      <c r="AA18" s="1284">
        <v>6</v>
      </c>
      <c r="AB18" s="1975">
        <v>5381.4990745261166</v>
      </c>
      <c r="AC18" s="1976">
        <v>0</v>
      </c>
      <c r="AD18" s="815">
        <v>6100.8872171842304</v>
      </c>
      <c r="AE18" s="1285">
        <f t="shared" si="1"/>
        <v>4.3922874133795753E-2</v>
      </c>
      <c r="AF18" s="1197"/>
      <c r="AG18" s="1977">
        <v>6100.8872171842304</v>
      </c>
      <c r="AH18" s="1285">
        <f t="shared" si="2"/>
        <v>5.0254425182736651E-2</v>
      </c>
      <c r="AI18" s="1977">
        <v>0</v>
      </c>
      <c r="AJ18" s="1285">
        <f t="shared" si="3"/>
        <v>0</v>
      </c>
      <c r="AK18" s="815">
        <v>0</v>
      </c>
      <c r="AL18" s="1285">
        <f t="shared" si="4"/>
        <v>0</v>
      </c>
      <c r="AM18" s="1279"/>
      <c r="AN18" s="1280"/>
      <c r="AO18" s="1281"/>
      <c r="AP18" s="1286"/>
      <c r="AQ18" s="1978">
        <f t="shared" si="5"/>
        <v>46691</v>
      </c>
      <c r="AR18" s="1979"/>
      <c r="AS18" s="1982">
        <f t="shared" si="8"/>
        <v>0</v>
      </c>
      <c r="AT18" s="1982">
        <f t="shared" si="9"/>
        <v>0</v>
      </c>
      <c r="AU18" s="1282"/>
      <c r="AV18" s="1237"/>
      <c r="AW18" s="1981">
        <f t="shared" si="10"/>
        <v>277800</v>
      </c>
      <c r="AX18" s="1212"/>
      <c r="AY18" s="1212"/>
      <c r="AZ18" s="1982">
        <v>242800</v>
      </c>
      <c r="BA18" s="1212"/>
      <c r="BB18" s="1982">
        <v>0</v>
      </c>
      <c r="BC18" s="1212"/>
      <c r="BD18" s="1983">
        <v>35000</v>
      </c>
    </row>
    <row r="19" spans="2:56" ht="13.5">
      <c r="B19" s="1303"/>
      <c r="C19" s="1779" t="s">
        <v>1710</v>
      </c>
      <c r="D19" s="1779"/>
      <c r="E19" s="1197"/>
      <c r="F19" s="356"/>
      <c r="G19" s="356"/>
      <c r="H19" s="1986">
        <f>EOMONTH(H16,H17-1)</f>
        <v>48029</v>
      </c>
      <c r="I19" s="1239"/>
      <c r="K19" s="1216"/>
      <c r="L19" s="1242"/>
      <c r="M19" s="1272" t="str">
        <f>M6</f>
        <v>카카오</v>
      </c>
      <c r="N19" s="1345"/>
      <c r="O19" s="2001">
        <v>0</v>
      </c>
      <c r="P19" s="1275">
        <v>0</v>
      </c>
      <c r="Q19" s="1346">
        <f>Q$15</f>
        <v>91000</v>
      </c>
      <c r="R19" s="1346">
        <f t="shared" ref="Q19:S23" si="11">R$15</f>
        <v>910000</v>
      </c>
      <c r="S19" s="1346">
        <f t="shared" si="11"/>
        <v>42000</v>
      </c>
      <c r="T19" s="1347">
        <f t="shared" ref="T19:T23" si="12">Q19*(12-P19)/12</f>
        <v>91000</v>
      </c>
      <c r="U19" s="1348">
        <f>O6/O$12</f>
        <v>0.84261936378007574</v>
      </c>
      <c r="V19" s="1216"/>
      <c r="W19" s="1278"/>
      <c r="X19" s="1283">
        <f t="shared" si="6"/>
        <v>14</v>
      </c>
      <c r="Y19" s="1973">
        <v>46873</v>
      </c>
      <c r="Z19" s="1974">
        <f t="shared" si="0"/>
        <v>46965</v>
      </c>
      <c r="AA19" s="1284">
        <v>6</v>
      </c>
      <c r="AB19" s="1975">
        <v>1719.0618503526175</v>
      </c>
      <c r="AC19" s="1976">
        <f>AC17</f>
        <v>5943</v>
      </c>
      <c r="AD19" s="815">
        <v>5943</v>
      </c>
      <c r="AE19" s="1285">
        <f t="shared" si="1"/>
        <v>4.2786177105831533E-2</v>
      </c>
      <c r="AF19" s="1197"/>
      <c r="AG19" s="1977">
        <v>5943</v>
      </c>
      <c r="AH19" s="1285">
        <f t="shared" si="2"/>
        <v>4.895387149917628E-2</v>
      </c>
      <c r="AI19" s="1977">
        <v>0</v>
      </c>
      <c r="AJ19" s="1285">
        <f t="shared" si="3"/>
        <v>0</v>
      </c>
      <c r="AK19" s="815">
        <v>0</v>
      </c>
      <c r="AL19" s="1285">
        <f t="shared" si="4"/>
        <v>0</v>
      </c>
      <c r="AM19" s="1279"/>
      <c r="AN19" s="1280"/>
      <c r="AO19" s="1281"/>
      <c r="AP19" s="1286"/>
      <c r="AQ19" s="1978">
        <f t="shared" si="5"/>
        <v>46873</v>
      </c>
      <c r="AR19" s="1979"/>
      <c r="AS19" s="1982">
        <f t="shared" si="8"/>
        <v>0</v>
      </c>
      <c r="AT19" s="1982">
        <f t="shared" si="9"/>
        <v>0</v>
      </c>
      <c r="AU19" s="1282"/>
      <c r="AV19" s="1237"/>
      <c r="AW19" s="1981">
        <f t="shared" si="10"/>
        <v>277800</v>
      </c>
      <c r="AX19" s="1212"/>
      <c r="AY19" s="1212"/>
      <c r="AZ19" s="1982">
        <v>242800</v>
      </c>
      <c r="BA19" s="1212"/>
      <c r="BB19" s="1982">
        <v>0</v>
      </c>
      <c r="BC19" s="1212"/>
      <c r="BD19" s="1983">
        <v>35000</v>
      </c>
    </row>
    <row r="20" spans="2:56" ht="13.5">
      <c r="B20" s="1303"/>
      <c r="C20" s="826" t="s">
        <v>1711</v>
      </c>
      <c r="D20" s="1779"/>
      <c r="E20" s="1349">
        <f>10-MONTH(H11)</f>
        <v>4</v>
      </c>
      <c r="G20" s="1350" t="s">
        <v>998</v>
      </c>
      <c r="H20" s="1351">
        <v>6</v>
      </c>
      <c r="I20" s="1239"/>
      <c r="K20" s="1216"/>
      <c r="L20" s="1242"/>
      <c r="M20" s="1272" t="str">
        <f>M7</f>
        <v>바커케미칼코리아</v>
      </c>
      <c r="N20" s="1352" t="s">
        <v>1088</v>
      </c>
      <c r="O20" s="2001">
        <v>0</v>
      </c>
      <c r="P20" s="1353">
        <f>P19</f>
        <v>0</v>
      </c>
      <c r="Q20" s="1346">
        <f t="shared" si="11"/>
        <v>91000</v>
      </c>
      <c r="R20" s="1346">
        <f t="shared" si="11"/>
        <v>910000</v>
      </c>
      <c r="S20" s="1346">
        <f t="shared" si="11"/>
        <v>42000</v>
      </c>
      <c r="T20" s="1347">
        <f t="shared" si="12"/>
        <v>91000</v>
      </c>
      <c r="U20" s="1348">
        <f t="shared" ref="U20:U21" si="13">O7/O$12</f>
        <v>4.7975059918099368E-2</v>
      </c>
      <c r="V20" s="1216"/>
      <c r="W20" s="1278"/>
      <c r="X20" s="1283">
        <f t="shared" si="6"/>
        <v>15</v>
      </c>
      <c r="Y20" s="1973">
        <v>47057</v>
      </c>
      <c r="Z20" s="1974">
        <f t="shared" si="0"/>
        <v>47149</v>
      </c>
      <c r="AA20" s="1354">
        <v>6</v>
      </c>
      <c r="AB20" s="1975">
        <v>4087.7380061924937</v>
      </c>
      <c r="AC20" s="1976">
        <f>AC19</f>
        <v>5943</v>
      </c>
      <c r="AD20" s="815">
        <v>5943.0000000000009</v>
      </c>
      <c r="AE20" s="1285">
        <f t="shared" si="1"/>
        <v>4.278617710583154E-2</v>
      </c>
      <c r="AF20" s="1197"/>
      <c r="AG20" s="1977">
        <v>5943.0000000000009</v>
      </c>
      <c r="AH20" s="1285">
        <f t="shared" si="2"/>
        <v>4.8953871499176287E-2</v>
      </c>
      <c r="AI20" s="1977">
        <v>0</v>
      </c>
      <c r="AJ20" s="1285">
        <f t="shared" si="3"/>
        <v>0</v>
      </c>
      <c r="AK20" s="815">
        <v>0</v>
      </c>
      <c r="AL20" s="1285">
        <f t="shared" si="4"/>
        <v>0</v>
      </c>
      <c r="AM20" s="1279"/>
      <c r="AN20" s="1280"/>
      <c r="AO20" s="1281"/>
      <c r="AP20" s="1286"/>
      <c r="AQ20" s="1978">
        <f t="shared" si="5"/>
        <v>47057</v>
      </c>
      <c r="AR20" s="1979"/>
      <c r="AS20" s="1982">
        <f t="shared" si="8"/>
        <v>0</v>
      </c>
      <c r="AT20" s="1982">
        <f t="shared" si="9"/>
        <v>0</v>
      </c>
      <c r="AU20" s="1282"/>
      <c r="AV20" s="1237"/>
      <c r="AW20" s="1981">
        <f t="shared" si="10"/>
        <v>277800</v>
      </c>
      <c r="AX20" s="1212"/>
      <c r="AY20" s="1212"/>
      <c r="AZ20" s="1982">
        <v>242800</v>
      </c>
      <c r="BA20" s="1212"/>
      <c r="BB20" s="1982">
        <v>0</v>
      </c>
      <c r="BC20" s="1212"/>
      <c r="BD20" s="1983">
        <v>35000</v>
      </c>
    </row>
    <row r="21" spans="2:56" ht="13.5">
      <c r="B21" s="1303"/>
      <c r="C21" s="826"/>
      <c r="D21" s="1779"/>
      <c r="E21" s="1355">
        <v>6</v>
      </c>
      <c r="F21" s="1355"/>
      <c r="G21" s="1350"/>
      <c r="H21" s="1351"/>
      <c r="I21" s="1239"/>
      <c r="K21" s="1216"/>
      <c r="L21" s="1242"/>
      <c r="M21" s="1272" t="str">
        <f>M8</f>
        <v>시높시스코리아</v>
      </c>
      <c r="N21" s="1352" t="s">
        <v>1882</v>
      </c>
      <c r="O21" s="2001">
        <v>0</v>
      </c>
      <c r="P21" s="1353">
        <f>P19</f>
        <v>0</v>
      </c>
      <c r="Q21" s="1346">
        <f t="shared" si="11"/>
        <v>91000</v>
      </c>
      <c r="R21" s="1346">
        <f t="shared" si="11"/>
        <v>910000</v>
      </c>
      <c r="S21" s="1346">
        <f t="shared" si="11"/>
        <v>42000</v>
      </c>
      <c r="T21" s="1347">
        <f t="shared" si="12"/>
        <v>91000</v>
      </c>
      <c r="U21" s="1348">
        <f t="shared" si="13"/>
        <v>0.10940557630182494</v>
      </c>
      <c r="V21" s="1216"/>
      <c r="W21" s="1278"/>
      <c r="X21" s="1283">
        <f t="shared" si="6"/>
        <v>16</v>
      </c>
      <c r="Y21" s="1973">
        <v>47238</v>
      </c>
      <c r="Z21" s="1974">
        <f t="shared" si="0"/>
        <v>47330</v>
      </c>
      <c r="AA21" s="1284">
        <v>6</v>
      </c>
      <c r="AB21" s="1975">
        <v>5766.1245926936708</v>
      </c>
      <c r="AC21" s="1976"/>
      <c r="AD21" s="815">
        <v>8059.4802109788416</v>
      </c>
      <c r="AE21" s="1285">
        <f t="shared" si="1"/>
        <v>5.8023615629797277E-2</v>
      </c>
      <c r="AF21" s="1197"/>
      <c r="AG21" s="1977">
        <v>8059.4802109788416</v>
      </c>
      <c r="AH21" s="1285">
        <f t="shared" si="2"/>
        <v>6.6387810634092603E-2</v>
      </c>
      <c r="AI21" s="1977">
        <v>0</v>
      </c>
      <c r="AJ21" s="1285">
        <f t="shared" si="3"/>
        <v>0</v>
      </c>
      <c r="AK21" s="815">
        <v>0</v>
      </c>
      <c r="AL21" s="1285">
        <f t="shared" si="4"/>
        <v>0</v>
      </c>
      <c r="AM21" s="1279"/>
      <c r="AN21" s="1280"/>
      <c r="AO21" s="1281"/>
      <c r="AP21" s="1286"/>
      <c r="AQ21" s="1978">
        <f t="shared" si="5"/>
        <v>47238</v>
      </c>
      <c r="AR21" s="1979"/>
      <c r="AS21" s="1982">
        <f t="shared" si="8"/>
        <v>0</v>
      </c>
      <c r="AT21" s="1982">
        <f t="shared" si="9"/>
        <v>0</v>
      </c>
      <c r="AU21" s="1282"/>
      <c r="AV21" s="1237"/>
      <c r="AW21" s="1981">
        <f t="shared" si="10"/>
        <v>277800</v>
      </c>
      <c r="AX21" s="1212"/>
      <c r="AY21" s="1212"/>
      <c r="AZ21" s="1982">
        <v>242800</v>
      </c>
      <c r="BA21" s="1212"/>
      <c r="BB21" s="1982">
        <v>0</v>
      </c>
      <c r="BC21" s="1212"/>
      <c r="BD21" s="1983">
        <v>35000</v>
      </c>
    </row>
    <row r="22" spans="2:56" ht="13.5">
      <c r="B22" s="1303"/>
      <c r="C22" s="826"/>
      <c r="D22" s="2002" t="s">
        <v>999</v>
      </c>
      <c r="E22" s="2003">
        <f>MONTH(EOMONTH(H13,E20+E21+H20))</f>
        <v>10</v>
      </c>
      <c r="F22" s="1212"/>
      <c r="G22" s="835" t="s">
        <v>1000</v>
      </c>
      <c r="H22" s="2003">
        <f>MONTH(EOMONTH(H13,E20+E21))</f>
        <v>4</v>
      </c>
      <c r="I22" s="1239"/>
      <c r="K22" s="1216"/>
      <c r="L22" s="1242"/>
      <c r="M22" s="1272"/>
      <c r="N22" s="1352"/>
      <c r="O22" s="2001"/>
      <c r="P22" s="1353"/>
      <c r="Q22" s="1346"/>
      <c r="R22" s="1346"/>
      <c r="S22" s="1346"/>
      <c r="T22" s="1347"/>
      <c r="U22" s="1348"/>
      <c r="V22" s="1216"/>
      <c r="W22" s="1278"/>
      <c r="X22" s="1283">
        <f t="shared" si="6"/>
        <v>17</v>
      </c>
      <c r="Y22" s="1973">
        <v>47422</v>
      </c>
      <c r="Z22" s="1974">
        <f t="shared" si="0"/>
        <v>47514</v>
      </c>
      <c r="AA22" s="1284">
        <v>6</v>
      </c>
      <c r="AB22" s="1975">
        <v>4426.9415022109688</v>
      </c>
      <c r="AC22" s="1976"/>
      <c r="AD22" s="815">
        <v>9744.8104223767532</v>
      </c>
      <c r="AE22" s="1285">
        <f t="shared" si="1"/>
        <v>7.0157022479314282E-2</v>
      </c>
      <c r="AF22" s="1197"/>
      <c r="AG22" s="1977">
        <v>9744.8104223767532</v>
      </c>
      <c r="AH22" s="1285">
        <f t="shared" si="2"/>
        <v>8.0270267070648701E-2</v>
      </c>
      <c r="AI22" s="1977">
        <v>0</v>
      </c>
      <c r="AJ22" s="1285">
        <f t="shared" si="3"/>
        <v>0</v>
      </c>
      <c r="AK22" s="815">
        <v>0</v>
      </c>
      <c r="AL22" s="1285">
        <f t="shared" si="4"/>
        <v>0</v>
      </c>
      <c r="AM22" s="1279"/>
      <c r="AN22" s="1280"/>
      <c r="AO22" s="1281"/>
      <c r="AP22" s="1286"/>
      <c r="AQ22" s="1978">
        <f t="shared" si="5"/>
        <v>47422</v>
      </c>
      <c r="AR22" s="1979"/>
      <c r="AS22" s="1982">
        <f t="shared" si="8"/>
        <v>0</v>
      </c>
      <c r="AT22" s="1982">
        <f t="shared" si="9"/>
        <v>0</v>
      </c>
      <c r="AU22" s="1282"/>
      <c r="AV22" s="1237"/>
      <c r="AW22" s="1981">
        <f t="shared" si="10"/>
        <v>277800</v>
      </c>
      <c r="AX22" s="1212"/>
      <c r="AY22" s="1212"/>
      <c r="AZ22" s="1982">
        <v>242800</v>
      </c>
      <c r="BA22" s="1212"/>
      <c r="BB22" s="1982">
        <v>0</v>
      </c>
      <c r="BC22" s="1212"/>
      <c r="BD22" s="1983">
        <v>35000</v>
      </c>
    </row>
    <row r="23" spans="2:56" ht="13.5">
      <c r="B23" s="1356" t="s">
        <v>1712</v>
      </c>
      <c r="C23" s="1292"/>
      <c r="D23" s="1292"/>
      <c r="E23" s="1292"/>
      <c r="F23" s="1292"/>
      <c r="G23" s="1292"/>
      <c r="H23" s="1292"/>
      <c r="I23" s="1292"/>
      <c r="K23" s="1216"/>
      <c r="L23" s="1242"/>
      <c r="M23" s="1272" t="str">
        <f>M11</f>
        <v>Vacant</v>
      </c>
      <c r="N23" s="1345"/>
      <c r="O23" s="2001">
        <v>1</v>
      </c>
      <c r="P23" s="1353">
        <f>P19</f>
        <v>0</v>
      </c>
      <c r="Q23" s="1346">
        <f t="shared" si="11"/>
        <v>91000</v>
      </c>
      <c r="R23" s="1346">
        <f t="shared" si="11"/>
        <v>910000</v>
      </c>
      <c r="S23" s="1346">
        <f t="shared" si="11"/>
        <v>42000</v>
      </c>
      <c r="T23" s="1347">
        <f t="shared" si="12"/>
        <v>91000</v>
      </c>
      <c r="U23" s="1348">
        <f>O11/O$12</f>
        <v>0</v>
      </c>
      <c r="V23" s="1216"/>
      <c r="W23" s="1278"/>
      <c r="X23" s="1283">
        <f t="shared" si="6"/>
        <v>18</v>
      </c>
      <c r="Y23" s="1973">
        <v>47603</v>
      </c>
      <c r="Z23" s="1974">
        <f t="shared" si="0"/>
        <v>47695</v>
      </c>
      <c r="AA23" s="1284">
        <v>6</v>
      </c>
      <c r="AB23" s="1975">
        <v>6132.0496841948234</v>
      </c>
      <c r="AC23" s="1976"/>
      <c r="AD23" s="815">
        <v>8546.9776538911428</v>
      </c>
      <c r="AE23" s="1285">
        <f t="shared" si="1"/>
        <v>6.1533316442700811E-2</v>
      </c>
      <c r="AF23" s="1197"/>
      <c r="AG23" s="1977">
        <v>8546.9776538911428</v>
      </c>
      <c r="AH23" s="1285">
        <f t="shared" si="2"/>
        <v>7.0403440312118148E-2</v>
      </c>
      <c r="AI23" s="1977">
        <v>0</v>
      </c>
      <c r="AJ23" s="1285">
        <f t="shared" si="3"/>
        <v>0</v>
      </c>
      <c r="AK23" s="815">
        <v>0</v>
      </c>
      <c r="AL23" s="1285">
        <f t="shared" si="4"/>
        <v>0</v>
      </c>
      <c r="AM23" s="1279"/>
      <c r="AN23" s="1280"/>
      <c r="AO23" s="1281"/>
      <c r="AP23" s="1286"/>
      <c r="AQ23" s="1978">
        <f t="shared" si="5"/>
        <v>47603</v>
      </c>
      <c r="AR23" s="1979"/>
      <c r="AS23" s="1982">
        <f t="shared" si="8"/>
        <v>0</v>
      </c>
      <c r="AT23" s="1982">
        <f t="shared" si="9"/>
        <v>0</v>
      </c>
      <c r="AU23" s="1282"/>
      <c r="AV23" s="1237"/>
      <c r="AW23" s="1981">
        <f t="shared" si="10"/>
        <v>277800</v>
      </c>
      <c r="AX23" s="1212"/>
      <c r="AY23" s="1212"/>
      <c r="AZ23" s="1982">
        <v>242800</v>
      </c>
      <c r="BA23" s="1212"/>
      <c r="BB23" s="1982">
        <v>0</v>
      </c>
      <c r="BC23" s="1212"/>
      <c r="BD23" s="1983">
        <v>35000</v>
      </c>
    </row>
    <row r="24" spans="2:56" ht="13.5">
      <c r="B24" s="1303"/>
      <c r="C24" s="1197" t="s">
        <v>1001</v>
      </c>
      <c r="D24" s="1197"/>
      <c r="E24" s="1197"/>
      <c r="F24" s="1197"/>
      <c r="G24" s="1197"/>
      <c r="H24" s="1357">
        <v>1000000</v>
      </c>
      <c r="I24" s="1220"/>
      <c r="K24" s="1216"/>
      <c r="L24" s="1242"/>
      <c r="M24" s="1358" t="s">
        <v>1016</v>
      </c>
      <c r="N24" s="1359"/>
      <c r="O24" s="1360">
        <f>SUMPRODUCT(O19:O23,$U19:$U23)</f>
        <v>0</v>
      </c>
      <c r="P24" s="1361">
        <f t="shared" ref="P24:T24" si="14">SUMPRODUCT(P19:P23,$U19:$U23)</f>
        <v>0</v>
      </c>
      <c r="Q24" s="1362">
        <f t="shared" si="14"/>
        <v>91000</v>
      </c>
      <c r="R24" s="1362">
        <f t="shared" si="14"/>
        <v>910000.00000000012</v>
      </c>
      <c r="S24" s="1362">
        <f t="shared" si="14"/>
        <v>42000</v>
      </c>
      <c r="T24" s="1363">
        <f t="shared" si="14"/>
        <v>91000</v>
      </c>
      <c r="U24" s="1364">
        <f>SUM(U19:U23)</f>
        <v>1</v>
      </c>
      <c r="V24" s="1216"/>
      <c r="W24" s="1278"/>
      <c r="X24" s="1283">
        <f t="shared" si="6"/>
        <v>19</v>
      </c>
      <c r="Y24" s="1973">
        <v>47787</v>
      </c>
      <c r="Z24" s="1974">
        <f t="shared" si="0"/>
        <v>47879</v>
      </c>
      <c r="AA24" s="1284">
        <v>6</v>
      </c>
      <c r="AB24" s="1975">
        <v>4751.7053458489281</v>
      </c>
      <c r="AC24" s="1976"/>
      <c r="AD24" s="815">
        <v>10258.353380260729</v>
      </c>
      <c r="AE24" s="1285">
        <f t="shared" si="1"/>
        <v>7.3854235998997333E-2</v>
      </c>
      <c r="AF24" s="1197"/>
      <c r="AG24" s="1977">
        <v>10258.353380260729</v>
      </c>
      <c r="AH24" s="1285">
        <f t="shared" si="2"/>
        <v>8.4500439705607319E-2</v>
      </c>
      <c r="AI24" s="1977">
        <v>0</v>
      </c>
      <c r="AJ24" s="1285">
        <f t="shared" si="3"/>
        <v>0</v>
      </c>
      <c r="AK24" s="815">
        <v>0</v>
      </c>
      <c r="AL24" s="1285">
        <f t="shared" si="4"/>
        <v>0</v>
      </c>
      <c r="AM24" s="1279"/>
      <c r="AN24" s="1280"/>
      <c r="AO24" s="1281"/>
      <c r="AP24" s="1286"/>
      <c r="AQ24" s="1978">
        <f t="shared" si="5"/>
        <v>47787</v>
      </c>
      <c r="AR24" s="1979"/>
      <c r="AS24" s="1982">
        <f t="shared" si="8"/>
        <v>0</v>
      </c>
      <c r="AT24" s="1982">
        <f t="shared" si="9"/>
        <v>0</v>
      </c>
      <c r="AU24" s="1282"/>
      <c r="AV24" s="1237"/>
      <c r="AW24" s="1981">
        <f t="shared" si="10"/>
        <v>277800</v>
      </c>
      <c r="AX24" s="1212"/>
      <c r="AY24" s="1212"/>
      <c r="AZ24" s="1982">
        <v>242800</v>
      </c>
      <c r="BA24" s="1212"/>
      <c r="BB24" s="1982">
        <v>0</v>
      </c>
      <c r="BC24" s="1212"/>
      <c r="BD24" s="1983">
        <v>35000</v>
      </c>
    </row>
    <row r="25" spans="2:56" ht="13.5">
      <c r="B25" s="2004"/>
      <c r="C25" s="1197" t="s">
        <v>1713</v>
      </c>
      <c r="D25" s="1197"/>
      <c r="E25" s="1197"/>
      <c r="F25" s="1197"/>
      <c r="G25" s="1197"/>
      <c r="H25" s="948">
        <v>0.1</v>
      </c>
      <c r="I25" s="1239"/>
      <c r="K25" s="1216"/>
      <c r="L25" s="1242"/>
      <c r="M25" s="1365" t="s">
        <v>1002</v>
      </c>
      <c r="N25" s="1366"/>
      <c r="O25" s="1367"/>
      <c r="P25" s="1368"/>
      <c r="Q25" s="2005">
        <f>Q16</f>
        <v>0.03</v>
      </c>
      <c r="R25" s="1330">
        <v>0</v>
      </c>
      <c r="S25" s="2005">
        <f>S16</f>
        <v>0.03</v>
      </c>
      <c r="T25" s="1369"/>
      <c r="U25" s="311"/>
      <c r="V25" s="1216"/>
      <c r="W25" s="1278"/>
      <c r="X25" s="1283">
        <f t="shared" si="6"/>
        <v>20</v>
      </c>
      <c r="Y25" s="1973">
        <v>47968</v>
      </c>
      <c r="Z25" s="1974">
        <f t="shared" si="0"/>
        <v>48029</v>
      </c>
      <c r="AA25" s="1284">
        <v>6</v>
      </c>
      <c r="AB25" s="1975">
        <v>0</v>
      </c>
      <c r="AC25" s="1976"/>
      <c r="AD25" s="815">
        <v>9016.4505219601433</v>
      </c>
      <c r="AE25" s="1285">
        <f t="shared" si="1"/>
        <v>6.4913250698057187E-2</v>
      </c>
      <c r="AF25" s="1197"/>
      <c r="AG25" s="1977">
        <v>9016.4505219601433</v>
      </c>
      <c r="AH25" s="1285">
        <f t="shared" si="2"/>
        <v>7.4270597380231826E-2</v>
      </c>
      <c r="AI25" s="1977">
        <v>0</v>
      </c>
      <c r="AJ25" s="1285">
        <f t="shared" si="3"/>
        <v>0</v>
      </c>
      <c r="AK25" s="815">
        <v>0</v>
      </c>
      <c r="AL25" s="1285">
        <f t="shared" si="4"/>
        <v>0</v>
      </c>
      <c r="AM25" s="1279"/>
      <c r="AN25" s="1280"/>
      <c r="AO25" s="1281"/>
      <c r="AP25" s="1286"/>
      <c r="AQ25" s="1978">
        <f t="shared" si="5"/>
        <v>47968</v>
      </c>
      <c r="AR25" s="1979"/>
      <c r="AS25" s="1982">
        <f t="shared" si="8"/>
        <v>0</v>
      </c>
      <c r="AT25" s="1982">
        <f t="shared" si="9"/>
        <v>0</v>
      </c>
      <c r="AU25" s="1282"/>
      <c r="AV25" s="1237"/>
      <c r="AW25" s="1981">
        <f t="shared" si="10"/>
        <v>277800</v>
      </c>
      <c r="AX25" s="1212"/>
      <c r="AY25" s="1212"/>
      <c r="AZ25" s="1982">
        <v>242800</v>
      </c>
      <c r="BA25" s="1212"/>
      <c r="BB25" s="1982">
        <v>0</v>
      </c>
      <c r="BC25" s="1212"/>
      <c r="BD25" s="1983">
        <v>35000</v>
      </c>
    </row>
    <row r="26" spans="2:56" ht="13.5">
      <c r="B26" s="2004"/>
      <c r="C26" s="1197" t="s">
        <v>1714</v>
      </c>
      <c r="D26" s="1197"/>
      <c r="E26" s="1197"/>
      <c r="F26" s="313" t="s">
        <v>1715</v>
      </c>
      <c r="G26" s="1197"/>
      <c r="H26" s="976">
        <v>9.9000000000000005E-2</v>
      </c>
      <c r="I26" s="1220"/>
      <c r="K26" s="1216"/>
      <c r="L26" s="1242"/>
      <c r="M26" s="1308"/>
      <c r="N26" s="1309"/>
      <c r="O26" s="1310"/>
      <c r="P26" s="1370"/>
      <c r="Q26" s="1330"/>
      <c r="R26" s="1330"/>
      <c r="S26" s="1330"/>
      <c r="T26" s="1314"/>
      <c r="U26" s="311"/>
      <c r="V26" s="1216"/>
      <c r="W26" s="1278"/>
      <c r="X26" s="1371">
        <f t="shared" si="6"/>
        <v>21</v>
      </c>
      <c r="Y26" s="2006">
        <v>48029</v>
      </c>
      <c r="Z26" s="2007">
        <f t="shared" si="0"/>
        <v>48029</v>
      </c>
      <c r="AA26" s="1372">
        <v>2</v>
      </c>
      <c r="AB26" s="2008">
        <v>0</v>
      </c>
      <c r="AC26" s="1976"/>
      <c r="AD26" s="2009">
        <v>3541.6303870114962</v>
      </c>
      <c r="AE26" s="360">
        <f t="shared" si="1"/>
        <v>8.1635736926888122E-2</v>
      </c>
      <c r="AF26" s="1197"/>
      <c r="AG26" s="2010">
        <v>3541.6303870114962</v>
      </c>
      <c r="AH26" s="360">
        <f t="shared" si="2"/>
        <v>8.7519696548883766E-2</v>
      </c>
      <c r="AI26" s="2010">
        <v>0</v>
      </c>
      <c r="AJ26" s="360">
        <f t="shared" si="3"/>
        <v>0</v>
      </c>
      <c r="AK26" s="2009">
        <v>0</v>
      </c>
      <c r="AL26" s="360">
        <f t="shared" si="4"/>
        <v>0</v>
      </c>
      <c r="AM26" s="1279"/>
      <c r="AN26" s="1280"/>
      <c r="AO26" s="1281"/>
      <c r="AP26" s="1373"/>
      <c r="AQ26" s="2011">
        <f t="shared" si="5"/>
        <v>48029</v>
      </c>
      <c r="AR26" s="2012"/>
      <c r="AS26" s="2013">
        <f t="shared" si="8"/>
        <v>0</v>
      </c>
      <c r="AT26" s="2013">
        <f t="shared" si="9"/>
        <v>0</v>
      </c>
      <c r="AU26" s="1282"/>
      <c r="AV26" s="1237"/>
      <c r="AW26" s="1981">
        <f t="shared" si="10"/>
        <v>260300</v>
      </c>
      <c r="AX26" s="1212"/>
      <c r="AY26" s="1212"/>
      <c r="AZ26" s="2013">
        <v>242800</v>
      </c>
      <c r="BA26" s="1212"/>
      <c r="BB26" s="2013">
        <v>0</v>
      </c>
      <c r="BC26" s="1212"/>
      <c r="BD26" s="2014">
        <v>17500</v>
      </c>
    </row>
    <row r="27" spans="2:56" ht="14.25" thickBot="1">
      <c r="B27" s="2004"/>
      <c r="C27" s="1374" t="s">
        <v>1716</v>
      </c>
      <c r="D27" s="1197"/>
      <c r="E27" s="1197"/>
      <c r="F27" s="313" t="s">
        <v>1003</v>
      </c>
      <c r="G27" s="1197"/>
      <c r="H27" s="976">
        <v>0.20899999999999999</v>
      </c>
      <c r="I27" s="1220"/>
      <c r="K27" s="1216"/>
      <c r="L27" s="1242"/>
      <c r="M27" s="1375"/>
      <c r="N27" s="1376"/>
      <c r="O27" s="1377" t="s">
        <v>1004</v>
      </c>
      <c r="P27" s="1378">
        <v>6</v>
      </c>
      <c r="Q27" s="1379"/>
      <c r="R27" s="1379"/>
      <c r="S27" s="1379"/>
      <c r="T27" s="1380"/>
      <c r="U27" s="311"/>
      <c r="V27" s="1216"/>
      <c r="W27" s="1278"/>
      <c r="X27" s="1381" t="s">
        <v>1005</v>
      </c>
      <c r="Y27" s="1382"/>
      <c r="Z27" s="1382"/>
      <c r="AA27" s="1383">
        <f>SUM(AA6:AA26)</f>
        <v>120</v>
      </c>
      <c r="AB27" s="2015"/>
      <c r="AC27" s="2016">
        <f>SUM(AC6:AC26)</f>
        <v>89001.135244999998</v>
      </c>
      <c r="AD27" s="2017">
        <f>SUM(AD6:AD26)</f>
        <v>135139.51722266336</v>
      </c>
      <c r="AE27" s="1384"/>
      <c r="AF27" s="1385"/>
      <c r="AG27" s="2015">
        <f>SUM(AG6:AG26)</f>
        <v>135139.51722266336</v>
      </c>
      <c r="AH27" s="1386">
        <f>IFERROR(AG27/$AD27,)</f>
        <v>1</v>
      </c>
      <c r="AI27" s="2015">
        <f>SUM(AI6:AI26)</f>
        <v>0</v>
      </c>
      <c r="AJ27" s="1386">
        <f>IFERROR(AI27/$AD27,)</f>
        <v>0</v>
      </c>
      <c r="AK27" s="2017">
        <f>SUM(AK6:AK26)</f>
        <v>0</v>
      </c>
      <c r="AL27" s="1386">
        <f>IFERROR(AK27/$AD27,)</f>
        <v>0</v>
      </c>
      <c r="AM27" s="1279"/>
      <c r="AN27" s="1207"/>
      <c r="AO27" s="1281"/>
      <c r="AP27" s="1387"/>
      <c r="AQ27" s="1388"/>
      <c r="AR27" s="2018">
        <f>SUM(AR6:AR26)</f>
        <v>0</v>
      </c>
      <c r="AS27" s="2018">
        <f>SUM(AS6:AS26)</f>
        <v>0</v>
      </c>
      <c r="AT27" s="2018">
        <f>SUM(AT6:AT26)</f>
        <v>0</v>
      </c>
      <c r="AU27" s="1282"/>
      <c r="AV27" s="1237"/>
      <c r="AW27" s="2019">
        <f>SUMPRODUCT($AA6:$AA26,AW6:AW26)/$AA27</f>
        <v>272491.66666666669</v>
      </c>
      <c r="AX27" s="1212"/>
      <c r="AY27" s="1212"/>
      <c r="AZ27" s="2018">
        <f>SUMPRODUCT($AA6:$AA26,AZ6:AZ26)/AG31/12</f>
        <v>237783.33333333334</v>
      </c>
      <c r="BA27" s="1212"/>
      <c r="BB27" s="2018">
        <f>SUMPRODUCT($AA6:$AA26,BB6:BB26)/AI31/12</f>
        <v>0</v>
      </c>
      <c r="BC27" s="1212"/>
      <c r="BD27" s="2020">
        <f>SUMPRODUCT($AA6:$AA26,BD6:BD26)/AK31/12</f>
        <v>34708.333333333336</v>
      </c>
    </row>
    <row r="28" spans="2:56" ht="14.25" thickTop="1">
      <c r="B28" s="2004"/>
      <c r="C28" s="1197"/>
      <c r="D28" s="1197"/>
      <c r="E28" s="1197"/>
      <c r="F28" s="313" t="s">
        <v>1717</v>
      </c>
      <c r="G28" s="1197"/>
      <c r="H28" s="976">
        <v>0.23100000000000001</v>
      </c>
      <c r="I28" s="1220"/>
      <c r="K28" s="1389"/>
      <c r="L28" s="1390"/>
      <c r="M28" s="1391" t="s">
        <v>1718</v>
      </c>
      <c r="N28" s="1217"/>
      <c r="O28" s="1392">
        <v>1</v>
      </c>
      <c r="P28" s="1392">
        <f>O28+1</f>
        <v>2</v>
      </c>
      <c r="Q28" s="1392">
        <f>P28+1</f>
        <v>3</v>
      </c>
      <c r="R28" s="1392">
        <f>Q28+1</f>
        <v>4</v>
      </c>
      <c r="S28" s="1393">
        <f>R28+1</f>
        <v>5</v>
      </c>
      <c r="T28" s="1220"/>
      <c r="U28" s="311"/>
      <c r="V28" s="1216"/>
      <c r="W28" s="1278"/>
      <c r="X28" s="1394" t="s">
        <v>1719</v>
      </c>
      <c r="Y28" s="1395"/>
      <c r="Z28" s="1395"/>
      <c r="AA28" s="1396"/>
      <c r="AB28" s="2021"/>
      <c r="AC28" s="2022"/>
      <c r="AD28" s="2023">
        <v>280486.24494013569</v>
      </c>
      <c r="AE28" s="1397"/>
      <c r="AF28" s="1197"/>
      <c r="AG28" s="2021">
        <v>173119.88437994942</v>
      </c>
      <c r="AH28" s="1398">
        <f>IFERROR(AG28/$AD28,)</f>
        <v>0.61721345521559701</v>
      </c>
      <c r="AI28" s="2021">
        <v>0</v>
      </c>
      <c r="AJ28" s="1398">
        <f>IFERROR(AI28/$AD28,)</f>
        <v>0</v>
      </c>
      <c r="AK28" s="2023">
        <v>107366.36056018627</v>
      </c>
      <c r="AL28" s="1398">
        <f>IFERROR(AK28/$AD28,)</f>
        <v>0.38278654478440294</v>
      </c>
      <c r="AM28" s="1279"/>
      <c r="AN28" s="1207"/>
      <c r="AO28" s="1281"/>
      <c r="AP28" s="1279"/>
      <c r="AQ28" s="1279"/>
      <c r="AR28" s="1279"/>
      <c r="AS28" s="1279"/>
      <c r="AT28" s="1279"/>
      <c r="AU28" s="1282"/>
      <c r="AV28" s="1237"/>
      <c r="AW28" s="1238"/>
      <c r="AX28" s="1212"/>
      <c r="AY28" s="1212"/>
      <c r="AZ28" s="1212"/>
      <c r="BA28" s="1212"/>
      <c r="BB28" s="1212"/>
      <c r="BC28" s="1212"/>
      <c r="BD28" s="1239"/>
    </row>
    <row r="29" spans="2:56" ht="13.5">
      <c r="B29" s="2004"/>
      <c r="C29" s="1399"/>
      <c r="D29" s="1399"/>
      <c r="E29" s="1399"/>
      <c r="F29" s="1400" t="s">
        <v>1720</v>
      </c>
      <c r="G29" s="1399"/>
      <c r="H29" s="2024">
        <v>0.26400000000000001</v>
      </c>
      <c r="I29" s="1401"/>
      <c r="K29" s="1216"/>
      <c r="L29" s="1402"/>
      <c r="M29" s="1403" t="s">
        <v>1006</v>
      </c>
      <c r="N29" s="1404"/>
      <c r="O29" s="1405">
        <v>0</v>
      </c>
      <c r="P29" s="1405">
        <v>0</v>
      </c>
      <c r="Q29" s="1405">
        <v>0</v>
      </c>
      <c r="R29" s="1405">
        <v>0</v>
      </c>
      <c r="S29" s="1406">
        <v>0</v>
      </c>
      <c r="T29" s="1220"/>
      <c r="U29" s="311"/>
      <c r="V29" s="1216"/>
      <c r="W29" s="1278"/>
      <c r="X29" s="1407" t="s">
        <v>1007</v>
      </c>
      <c r="Y29" s="1408"/>
      <c r="Z29" s="1408"/>
      <c r="AA29" s="1409"/>
      <c r="AB29" s="2025"/>
      <c r="AC29" s="2026"/>
      <c r="AD29" s="2027">
        <f>SUM(AD27:AD28)</f>
        <v>415625.76216279902</v>
      </c>
      <c r="AE29" s="1410"/>
      <c r="AF29" s="1411"/>
      <c r="AG29" s="2025">
        <f>SUM(AG27:AG28)</f>
        <v>308259.40160261281</v>
      </c>
      <c r="AH29" s="1410"/>
      <c r="AI29" s="2025">
        <f>SUM(AI27:AI28)</f>
        <v>0</v>
      </c>
      <c r="AJ29" s="1410"/>
      <c r="AK29" s="2027">
        <f>SUM(AK27:AK28)</f>
        <v>107366.36056018627</v>
      </c>
      <c r="AL29" s="1410"/>
      <c r="AM29" s="1279"/>
      <c r="AN29" s="1207"/>
      <c r="AO29" s="1281"/>
      <c r="AP29" s="1279"/>
      <c r="AQ29" s="1279"/>
      <c r="AR29" s="1279"/>
      <c r="AS29" s="1279"/>
      <c r="AT29" s="1279"/>
      <c r="AU29" s="1282"/>
      <c r="AV29" s="1237"/>
      <c r="AW29" s="1238"/>
      <c r="AX29" s="1212"/>
      <c r="AY29" s="1212"/>
      <c r="AZ29" s="1212"/>
      <c r="BA29" s="1212"/>
      <c r="BB29" s="1212"/>
      <c r="BC29" s="1212"/>
      <c r="BD29" s="1239"/>
    </row>
    <row r="30" spans="2:56" ht="13.5">
      <c r="B30" s="2004"/>
      <c r="C30" s="1197" t="s">
        <v>1721</v>
      </c>
      <c r="D30" s="356"/>
      <c r="E30" s="1197"/>
      <c r="F30" s="1197"/>
      <c r="G30" s="1197"/>
      <c r="H30" s="2028">
        <v>3.5000000000000003E-2</v>
      </c>
      <c r="I30" s="1220"/>
      <c r="K30" s="1216"/>
      <c r="L30" s="1402"/>
      <c r="M30" s="1403" t="s">
        <v>1012</v>
      </c>
      <c r="N30" s="2029">
        <f>H16</f>
        <v>45260</v>
      </c>
      <c r="O30" s="1412">
        <v>0</v>
      </c>
      <c r="P30" s="1413">
        <f t="shared" ref="P30:R30" si="15">O30</f>
        <v>0</v>
      </c>
      <c r="Q30" s="1413">
        <f t="shared" si="15"/>
        <v>0</v>
      </c>
      <c r="R30" s="1413">
        <f t="shared" si="15"/>
        <v>0</v>
      </c>
      <c r="S30" s="1414">
        <f>R30</f>
        <v>0</v>
      </c>
      <c r="T30" s="1220"/>
      <c r="U30" s="311"/>
      <c r="V30" s="1216"/>
      <c r="W30" s="347" t="s">
        <v>215</v>
      </c>
      <c r="X30" s="346"/>
      <c r="Y30" s="1415"/>
      <c r="Z30" s="1416"/>
      <c r="AA30" s="348" t="s">
        <v>1008</v>
      </c>
      <c r="AB30" s="1417"/>
      <c r="AC30" s="348"/>
      <c r="AD30" s="349"/>
      <c r="AE30" s="350">
        <f>IFERROR(AD27/AD$4/AD31,)</f>
        <v>4.9594000020549873E-2</v>
      </c>
      <c r="AF30" s="351"/>
      <c r="AG30" s="352"/>
      <c r="AH30" s="350">
        <f>IFERROR(AG27/AG$4/AG31,)</f>
        <v>5.6833048527089092E-2</v>
      </c>
      <c r="AI30" s="352"/>
      <c r="AJ30" s="350">
        <f>IFERROR(AI27/AI$4/AI31,)</f>
        <v>0</v>
      </c>
      <c r="AK30" s="355"/>
      <c r="AL30" s="350">
        <f>IFERROR(AK27/AK$4/AK31,)</f>
        <v>0</v>
      </c>
      <c r="AM30" s="1279"/>
      <c r="AN30" s="1207"/>
      <c r="AO30" s="1281"/>
      <c r="AP30" s="1279"/>
      <c r="AQ30" s="1279"/>
      <c r="AR30" s="1279"/>
      <c r="AS30" s="1279"/>
      <c r="AT30" s="1279"/>
      <c r="AU30" s="1282"/>
      <c r="AV30" s="1212"/>
      <c r="AW30" s="1238"/>
      <c r="AX30" s="1212"/>
      <c r="AY30" s="1212"/>
      <c r="AZ30" s="1212"/>
      <c r="BA30" s="1212"/>
      <c r="BB30" s="1212"/>
      <c r="BC30" s="1212"/>
      <c r="BD30" s="1239"/>
    </row>
    <row r="31" spans="2:56" ht="13.5">
      <c r="B31" s="2004"/>
      <c r="C31" s="1509" t="s">
        <v>1009</v>
      </c>
      <c r="D31" s="356"/>
      <c r="E31" s="1197"/>
      <c r="F31" s="1197"/>
      <c r="G31" s="1197"/>
      <c r="H31" s="1427">
        <v>2.8000000000000001E-2</v>
      </c>
      <c r="I31" s="1220"/>
      <c r="K31" s="1216"/>
      <c r="L31" s="1402"/>
      <c r="M31" s="1419" t="s">
        <v>1010</v>
      </c>
      <c r="N31" s="1420"/>
      <c r="O31" s="1421">
        <v>0</v>
      </c>
      <c r="P31" s="1421">
        <v>0</v>
      </c>
      <c r="Q31" s="1421">
        <v>0</v>
      </c>
      <c r="R31" s="1421">
        <v>0</v>
      </c>
      <c r="S31" s="1422">
        <v>0</v>
      </c>
      <c r="T31" s="1220"/>
      <c r="U31" s="311"/>
      <c r="V31" s="1216"/>
      <c r="W31" s="357"/>
      <c r="Y31" s="373"/>
      <c r="Z31" s="373"/>
      <c r="AA31" s="358" t="s">
        <v>1011</v>
      </c>
      <c r="AB31" s="1423"/>
      <c r="AC31" s="1424"/>
      <c r="AD31" s="1425">
        <f>$G$18</f>
        <v>10</v>
      </c>
      <c r="AE31" s="360">
        <f>IFERROR(AD29/AD$4/AD31,)</f>
        <v>0.15252787993374683</v>
      </c>
      <c r="AF31" s="361"/>
      <c r="AG31" s="1426">
        <f>$AD31</f>
        <v>10</v>
      </c>
      <c r="AH31" s="360">
        <f>IFERROR(AG29/AG$4/AG31,)</f>
        <v>0.12963877546896171</v>
      </c>
      <c r="AI31" s="1426">
        <f>$AD31</f>
        <v>10</v>
      </c>
      <c r="AJ31" s="360">
        <f>IFERROR(AI29/AI$4/AI31,)</f>
        <v>0</v>
      </c>
      <c r="AK31" s="1426">
        <f>$AD31</f>
        <v>10</v>
      </c>
      <c r="AL31" s="360">
        <f>IFERROR(AK29/AK$4/AK31,)</f>
        <v>0.30933885395491839</v>
      </c>
      <c r="AM31" s="1279"/>
      <c r="AN31" s="1207"/>
      <c r="AO31" s="1281"/>
      <c r="AP31" s="1279"/>
      <c r="AQ31" s="1279"/>
      <c r="AR31" s="1279"/>
      <c r="AS31" s="1279"/>
      <c r="AT31" s="1279"/>
      <c r="AU31" s="1282"/>
      <c r="AV31" s="1212"/>
      <c r="AW31" s="1238"/>
      <c r="AX31" s="1212"/>
      <c r="AY31" s="1212"/>
      <c r="AZ31" s="1212"/>
      <c r="BA31" s="1212"/>
      <c r="BB31" s="1212"/>
      <c r="BC31" s="1212"/>
      <c r="BD31" s="1239"/>
    </row>
    <row r="32" spans="2:56" ht="13.5">
      <c r="B32" s="1303"/>
      <c r="C32" s="1374" t="s">
        <v>1722</v>
      </c>
      <c r="D32" s="1439"/>
      <c r="E32" s="1197"/>
      <c r="F32" s="1197"/>
      <c r="G32" s="1197"/>
      <c r="H32" s="1427">
        <v>2.5000000000000001E-2</v>
      </c>
      <c r="I32" s="1220"/>
      <c r="K32" s="1389"/>
      <c r="L32" s="1390"/>
      <c r="M32" s="1391"/>
      <c r="N32" s="1217"/>
      <c r="O32" s="1392">
        <f>S28+1</f>
        <v>6</v>
      </c>
      <c r="P32" s="1392">
        <f>O32+1</f>
        <v>7</v>
      </c>
      <c r="Q32" s="1392">
        <f>P32+1</f>
        <v>8</v>
      </c>
      <c r="R32" s="1392">
        <f>Q32+1</f>
        <v>9</v>
      </c>
      <c r="S32" s="1428">
        <f>R32+1</f>
        <v>10</v>
      </c>
      <c r="T32" s="1220"/>
      <c r="U32" s="311"/>
      <c r="V32" s="1216"/>
      <c r="W32" s="347" t="s">
        <v>1723</v>
      </c>
      <c r="X32" s="346"/>
      <c r="Y32" s="1415"/>
      <c r="Z32" s="1415"/>
      <c r="AA32" s="366" t="s">
        <v>216</v>
      </c>
      <c r="AB32" s="1429"/>
      <c r="AC32" s="366"/>
      <c r="AD32" s="367"/>
      <c r="AE32" s="368">
        <v>4.88060926410403E-2</v>
      </c>
      <c r="AF32" s="361"/>
      <c r="AG32" s="369"/>
      <c r="AH32" s="368">
        <v>5.5926822442910806E-2</v>
      </c>
      <c r="AI32" s="369"/>
      <c r="AJ32" s="368">
        <v>0</v>
      </c>
      <c r="AK32" s="370"/>
      <c r="AL32" s="368">
        <v>0</v>
      </c>
      <c r="AM32" s="1279"/>
      <c r="AN32" s="1207"/>
      <c r="AO32" s="1281"/>
      <c r="AP32" s="1279"/>
      <c r="AQ32" s="1279"/>
      <c r="AR32" s="1279"/>
      <c r="AS32" s="1279"/>
      <c r="AT32" s="1279"/>
      <c r="AU32" s="1282"/>
      <c r="AV32" s="1212"/>
      <c r="AW32" s="1238"/>
      <c r="AX32" s="1212"/>
      <c r="AY32" s="1212"/>
      <c r="AZ32" s="1212"/>
      <c r="BA32" s="1212"/>
      <c r="BB32" s="1212"/>
      <c r="BC32" s="1212"/>
      <c r="BD32" s="1239"/>
    </row>
    <row r="33" spans="2:56" ht="13.5">
      <c r="B33" s="1303"/>
      <c r="C33" s="1240" t="s">
        <v>1724</v>
      </c>
      <c r="D33" s="1374"/>
      <c r="E33" s="1197"/>
      <c r="F33" s="2030"/>
      <c r="G33" s="1251">
        <v>3</v>
      </c>
      <c r="H33" s="1438">
        <v>2.9000000000000001E-2</v>
      </c>
      <c r="I33" s="1220"/>
      <c r="K33" s="1216"/>
      <c r="L33" s="1402"/>
      <c r="M33" s="1403" t="s">
        <v>1006</v>
      </c>
      <c r="N33" s="1404"/>
      <c r="O33" s="1405">
        <v>0</v>
      </c>
      <c r="P33" s="1405">
        <v>0</v>
      </c>
      <c r="Q33" s="1405">
        <v>0</v>
      </c>
      <c r="R33" s="1405">
        <v>0</v>
      </c>
      <c r="S33" s="1406">
        <v>0</v>
      </c>
      <c r="T33" s="1220"/>
      <c r="U33" s="311"/>
      <c r="V33" s="1216"/>
      <c r="W33" s="357"/>
      <c r="X33" s="372"/>
      <c r="Y33" s="373"/>
      <c r="Z33" s="1430"/>
      <c r="AA33" s="1431" t="s">
        <v>218</v>
      </c>
      <c r="AB33" s="1432"/>
      <c r="AC33" s="374"/>
      <c r="AD33" s="375"/>
      <c r="AE33" s="376">
        <v>0.11021072020211187</v>
      </c>
      <c r="AF33" s="1433"/>
      <c r="AG33" s="1434"/>
      <c r="AH33" s="376">
        <v>0.10129371830148037</v>
      </c>
      <c r="AI33" s="1434"/>
      <c r="AJ33" s="376">
        <v>0</v>
      </c>
      <c r="AK33" s="1435"/>
      <c r="AL33" s="376">
        <v>0.15062533914769771</v>
      </c>
      <c r="AM33" s="1279"/>
      <c r="AN33" s="1207"/>
      <c r="AO33" s="1281"/>
      <c r="AP33" s="1279"/>
      <c r="AQ33" s="1279"/>
      <c r="AR33" s="1279"/>
      <c r="AS33" s="1279"/>
      <c r="AT33" s="1279"/>
      <c r="AU33" s="1282"/>
      <c r="AV33" s="1212"/>
      <c r="AW33" s="1238"/>
      <c r="AX33" s="1212"/>
      <c r="AY33" s="1212"/>
      <c r="AZ33" s="1212"/>
      <c r="BA33" s="1212"/>
      <c r="BB33" s="1212"/>
      <c r="BC33" s="1212"/>
      <c r="BD33" s="1239"/>
    </row>
    <row r="34" spans="2:56" ht="13.5">
      <c r="B34" s="1303"/>
      <c r="C34" s="1779" t="s">
        <v>1725</v>
      </c>
      <c r="D34" s="1779"/>
      <c r="E34" s="1212"/>
      <c r="F34" s="1436"/>
      <c r="G34" s="1437"/>
      <c r="H34" s="1438">
        <v>3.5000000000000003E-2</v>
      </c>
      <c r="I34" s="1239"/>
      <c r="K34" s="1216"/>
      <c r="L34" s="1402"/>
      <c r="M34" s="1403" t="s">
        <v>1012</v>
      </c>
      <c r="N34" s="2031"/>
      <c r="O34" s="1413">
        <f>S30</f>
        <v>0</v>
      </c>
      <c r="P34" s="1413">
        <f>O34</f>
        <v>0</v>
      </c>
      <c r="Q34" s="1413">
        <f>P34</f>
        <v>0</v>
      </c>
      <c r="R34" s="1413">
        <f>Q34</f>
        <v>0</v>
      </c>
      <c r="S34" s="1414">
        <f>R34</f>
        <v>0</v>
      </c>
      <c r="T34" s="1220"/>
      <c r="U34" s="311"/>
      <c r="V34" s="1238"/>
      <c r="W34" s="1439" t="s">
        <v>1726</v>
      </c>
      <c r="AG34" s="1440"/>
      <c r="AH34" s="1441"/>
      <c r="AI34" s="1440"/>
      <c r="AJ34" s="1441"/>
      <c r="AK34" s="1441"/>
      <c r="AL34" s="1441"/>
      <c r="AM34" s="1442"/>
      <c r="AN34" s="1207"/>
      <c r="AO34" s="1443"/>
      <c r="AP34" s="1442"/>
      <c r="AQ34" s="1442"/>
      <c r="AR34" s="1442"/>
      <c r="AS34" s="1442"/>
      <c r="AT34" s="1442"/>
      <c r="AU34" s="1444"/>
      <c r="AV34" s="1212"/>
      <c r="AW34" s="1445"/>
      <c r="AX34" s="1446"/>
      <c r="AY34" s="1446"/>
      <c r="AZ34" s="1446"/>
      <c r="BA34" s="1446"/>
      <c r="BB34" s="1446"/>
      <c r="BC34" s="1446"/>
      <c r="BD34" s="1447"/>
    </row>
    <row r="35" spans="2:56" ht="13.5">
      <c r="B35" s="1448" t="s">
        <v>1727</v>
      </c>
      <c r="C35" s="1449"/>
      <c r="D35" s="1449"/>
      <c r="E35" s="1449"/>
      <c r="F35" s="1449"/>
      <c r="G35" s="1449"/>
      <c r="H35" s="1449"/>
      <c r="I35" s="1449"/>
      <c r="K35" s="1216"/>
      <c r="L35" s="1402"/>
      <c r="M35" s="1450" t="s">
        <v>1010</v>
      </c>
      <c r="N35" s="1451"/>
      <c r="O35" s="1421">
        <v>0</v>
      </c>
      <c r="P35" s="1421">
        <v>0</v>
      </c>
      <c r="Q35" s="1421">
        <v>0</v>
      </c>
      <c r="R35" s="1421">
        <v>0</v>
      </c>
      <c r="S35" s="1422">
        <v>0</v>
      </c>
      <c r="T35" s="1220"/>
      <c r="U35" s="311"/>
      <c r="V35" s="1452" t="s">
        <v>1013</v>
      </c>
      <c r="W35" s="1453"/>
      <c r="X35" s="1453"/>
      <c r="Y35" s="1453"/>
      <c r="Z35" s="1453"/>
      <c r="AA35" s="1453"/>
      <c r="AB35" s="1453"/>
      <c r="AC35" s="1453"/>
      <c r="AD35" s="1453"/>
      <c r="AE35" s="1453"/>
      <c r="AF35" s="1454"/>
      <c r="AG35" s="1212"/>
      <c r="AI35" s="1212"/>
      <c r="AJ35" s="1197"/>
      <c r="AK35" s="1197"/>
      <c r="AL35" s="1197"/>
      <c r="AM35" s="1279"/>
      <c r="AN35" s="1197"/>
      <c r="AO35" s="1279"/>
      <c r="AP35" s="1279"/>
      <c r="AQ35" s="1279"/>
      <c r="AR35" s="1279"/>
      <c r="AS35" s="1279"/>
      <c r="AT35" s="1279"/>
      <c r="AU35" s="1279"/>
      <c r="AV35" s="1212"/>
      <c r="AX35" s="1212"/>
      <c r="AY35" s="1212"/>
      <c r="AZ35" s="1212"/>
      <c r="BA35" s="1212"/>
      <c r="BB35" s="1212"/>
      <c r="BC35" s="1212"/>
      <c r="BD35" s="1212"/>
    </row>
    <row r="36" spans="2:56" ht="16.5">
      <c r="B36" s="1216"/>
      <c r="C36" s="1456"/>
      <c r="D36" s="1470"/>
      <c r="E36" s="1218" t="s">
        <v>1019</v>
      </c>
      <c r="F36" s="2032">
        <v>0.42599999999999999</v>
      </c>
      <c r="G36" s="1471">
        <f>1-F36</f>
        <v>0.57400000000000007</v>
      </c>
      <c r="H36" s="2033"/>
      <c r="I36" s="1220"/>
      <c r="K36" s="1216"/>
      <c r="L36" s="1402"/>
      <c r="M36" s="1457" t="s">
        <v>1728</v>
      </c>
      <c r="N36" s="881" t="s">
        <v>1014</v>
      </c>
      <c r="O36" s="1458"/>
      <c r="P36" s="1459"/>
      <c r="Q36" s="1460" t="s">
        <v>1729</v>
      </c>
      <c r="R36" s="2034"/>
      <c r="S36" s="1461"/>
      <c r="T36" s="1220"/>
      <c r="U36" s="311"/>
      <c r="V36" s="1238"/>
      <c r="W36" s="1212" t="s">
        <v>1730</v>
      </c>
      <c r="X36" s="1212"/>
      <c r="Y36" s="1212"/>
      <c r="Z36" s="1212"/>
      <c r="AA36" s="1436"/>
      <c r="AB36" s="1436"/>
      <c r="AC36" s="1436"/>
      <c r="AD36" s="1437"/>
      <c r="AE36" s="1462">
        <v>0</v>
      </c>
      <c r="AF36" s="1239"/>
      <c r="AG36"/>
      <c r="AH36"/>
      <c r="AI36"/>
      <c r="AJ36"/>
      <c r="AK36"/>
      <c r="AL36" s="1197"/>
      <c r="AM36" s="1197"/>
      <c r="AN36" s="1197"/>
      <c r="AO36" s="1197"/>
      <c r="AP36" s="1197"/>
      <c r="AQ36" s="1197"/>
      <c r="AR36" s="1197"/>
      <c r="AS36" s="1197"/>
      <c r="AT36" s="1197"/>
      <c r="AU36" s="1197"/>
      <c r="AV36" s="1212"/>
    </row>
    <row r="37" spans="2:56" ht="16.5">
      <c r="B37" s="1216"/>
      <c r="C37" s="1456"/>
      <c r="D37" s="1470"/>
      <c r="E37" s="1218"/>
      <c r="F37" s="831">
        <f>H14</f>
        <v>45230</v>
      </c>
      <c r="G37" s="2035"/>
      <c r="H37" s="2033"/>
      <c r="I37" s="1220"/>
      <c r="K37" s="1216"/>
      <c r="L37" s="1402"/>
      <c r="M37" s="1466"/>
      <c r="N37" s="2036"/>
      <c r="O37" s="1467" t="s">
        <v>1015</v>
      </c>
      <c r="P37" s="1467" t="s">
        <v>1731</v>
      </c>
      <c r="Q37" s="1467" t="s">
        <v>1016</v>
      </c>
      <c r="R37" s="2037"/>
      <c r="S37" s="1468" t="s">
        <v>1017</v>
      </c>
      <c r="T37" s="1220"/>
      <c r="U37" s="311"/>
      <c r="V37" s="1238"/>
      <c r="W37" s="1212" t="s">
        <v>1018</v>
      </c>
      <c r="X37" s="1212"/>
      <c r="Y37" s="1212"/>
      <c r="Z37" s="1212"/>
      <c r="AA37" s="1436"/>
      <c r="AB37" s="1436"/>
      <c r="AC37" s="1436"/>
      <c r="AD37" s="1437"/>
      <c r="AE37" s="1469">
        <v>0</v>
      </c>
      <c r="AF37" s="1239"/>
      <c r="AG37"/>
      <c r="AH37"/>
      <c r="AI37"/>
      <c r="AJ37"/>
      <c r="AK37"/>
      <c r="AL37" s="1197"/>
      <c r="AM37" s="1197"/>
      <c r="AN37" s="356"/>
      <c r="AO37" s="1197"/>
      <c r="AP37" s="1197"/>
      <c r="AQ37" s="1197"/>
      <c r="AR37" s="1197"/>
      <c r="AS37" s="1197"/>
      <c r="AT37" s="1197"/>
      <c r="AU37" s="1197"/>
      <c r="AV37" s="1212"/>
    </row>
    <row r="38" spans="2:56" ht="16.5">
      <c r="B38" s="1216"/>
      <c r="C38" s="1456"/>
      <c r="D38" s="1470"/>
      <c r="E38" s="1218"/>
      <c r="F38" s="2038" t="s">
        <v>1732</v>
      </c>
      <c r="G38" s="2039" t="s">
        <v>1733</v>
      </c>
      <c r="H38" s="2033"/>
      <c r="I38" s="1220"/>
      <c r="K38" s="1216"/>
      <c r="L38" s="1402"/>
      <c r="M38" s="1472" t="s">
        <v>1734</v>
      </c>
      <c r="N38" s="911" t="s">
        <v>1020</v>
      </c>
      <c r="O38" s="1473">
        <v>0</v>
      </c>
      <c r="P38" s="1473">
        <v>1</v>
      </c>
      <c r="Q38" s="1474">
        <f>O38*P38</f>
        <v>0</v>
      </c>
      <c r="R38" s="2037" t="s">
        <v>1735</v>
      </c>
      <c r="S38" s="1475">
        <f>$P$38</f>
        <v>1</v>
      </c>
      <c r="T38" s="1220"/>
      <c r="U38" s="311"/>
      <c r="V38" s="1238"/>
      <c r="W38" s="1212" t="s">
        <v>1736</v>
      </c>
      <c r="X38" s="1212"/>
      <c r="Y38" s="1212"/>
      <c r="Z38" s="1212"/>
      <c r="AA38" s="1436"/>
      <c r="AB38" s="1436"/>
      <c r="AC38" s="1436"/>
      <c r="AD38" s="1437"/>
      <c r="AE38" s="1462">
        <v>0</v>
      </c>
      <c r="AF38" s="1239"/>
      <c r="AG38"/>
      <c r="AH38"/>
      <c r="AI38"/>
      <c r="AJ38"/>
      <c r="AK38"/>
      <c r="AL38" s="1197"/>
      <c r="AM38" s="1197"/>
      <c r="AN38" s="356"/>
      <c r="AO38" s="1197"/>
      <c r="AP38" s="1197"/>
      <c r="AQ38" s="1197"/>
      <c r="AR38" s="1197"/>
      <c r="AS38" s="1197"/>
      <c r="AT38" s="1197"/>
      <c r="AU38" s="1197"/>
      <c r="AV38" s="1212"/>
    </row>
    <row r="39" spans="2:56" ht="16.5">
      <c r="B39" s="1216"/>
      <c r="C39" s="1455" t="s">
        <v>1737</v>
      </c>
      <c r="D39" s="1456"/>
      <c r="E39" s="1197"/>
      <c r="F39" s="1357">
        <f>SUM(F40:F45)</f>
        <v>797431.12750199996</v>
      </c>
      <c r="G39" s="1357">
        <f>SUM(G40:G45)</f>
        <v>0</v>
      </c>
      <c r="H39" s="1357">
        <f>SUM(H40:H45)</f>
        <v>797431.12750199996</v>
      </c>
      <c r="I39" s="1220"/>
      <c r="K39" s="1216"/>
      <c r="L39" s="1402"/>
      <c r="M39" s="2040">
        <v>60</v>
      </c>
      <c r="N39" s="911" t="s">
        <v>1738</v>
      </c>
      <c r="O39" s="1477">
        <f>1-O38</f>
        <v>1</v>
      </c>
      <c r="P39" s="1478">
        <v>0</v>
      </c>
      <c r="Q39" s="1477">
        <f>O39*P39</f>
        <v>0</v>
      </c>
      <c r="R39" s="2037" t="s">
        <v>1021</v>
      </c>
      <c r="S39" s="1475">
        <f>Q40</f>
        <v>0</v>
      </c>
      <c r="T39" s="1220"/>
      <c r="U39" s="311"/>
      <c r="V39" s="1238"/>
      <c r="W39" s="1212" t="s">
        <v>1022</v>
      </c>
      <c r="X39" s="1212"/>
      <c r="Y39" s="1212"/>
      <c r="Z39" s="1212"/>
      <c r="AA39" s="1436"/>
      <c r="AB39" s="1436"/>
      <c r="AC39" s="1436"/>
      <c r="AD39" s="1437"/>
      <c r="AE39" s="2041" t="s">
        <v>799</v>
      </c>
      <c r="AF39" s="1239"/>
      <c r="AG39"/>
      <c r="AH39"/>
      <c r="AI39"/>
      <c r="AJ39"/>
      <c r="AK39"/>
      <c r="AL39" s="2042"/>
      <c r="AN39" s="356"/>
      <c r="AO39" s="356"/>
      <c r="AP39" s="2043"/>
      <c r="AQ39" s="356"/>
      <c r="AR39" s="356"/>
      <c r="AS39" s="356"/>
      <c r="AT39" s="356"/>
      <c r="AU39" s="1197"/>
      <c r="AV39" s="1212"/>
    </row>
    <row r="40" spans="2:56" ht="16.5">
      <c r="B40" s="1216"/>
      <c r="C40" s="1463" t="s">
        <v>1883</v>
      </c>
      <c r="D40" s="1464"/>
      <c r="E40" s="1465"/>
      <c r="F40" s="2044">
        <v>729359.91518899996</v>
      </c>
      <c r="G40" s="1556"/>
      <c r="H40" s="1513">
        <f>SUM(F40:G40)</f>
        <v>729359.91518899996</v>
      </c>
      <c r="I40" s="1220"/>
      <c r="K40" s="1216"/>
      <c r="L40" s="1402"/>
      <c r="M40" s="1481"/>
      <c r="N40" s="2045" t="s">
        <v>1016</v>
      </c>
      <c r="O40" s="2046">
        <f>SUM(O38:O39)</f>
        <v>1</v>
      </c>
      <c r="P40" s="2046"/>
      <c r="Q40" s="1482">
        <f>SUM(Q38:Q39)</f>
        <v>0</v>
      </c>
      <c r="R40" s="1481"/>
      <c r="S40" s="1483"/>
      <c r="T40" s="1220"/>
      <c r="U40" s="311"/>
      <c r="V40" s="1238"/>
      <c r="W40" s="1484" t="s">
        <v>1023</v>
      </c>
      <c r="X40" s="1464"/>
      <c r="Y40" s="1464"/>
      <c r="Z40" s="1464"/>
      <c r="AA40" s="1464"/>
      <c r="AB40" s="1464"/>
      <c r="AC40" s="1464"/>
      <c r="AD40" s="2047">
        <v>46965</v>
      </c>
      <c r="AE40" s="2048">
        <v>1719.0618503526175</v>
      </c>
      <c r="AF40" s="1239"/>
      <c r="AG40"/>
      <c r="AH40"/>
      <c r="AI40"/>
      <c r="AJ40"/>
      <c r="AK40"/>
      <c r="AL40" s="2042"/>
      <c r="AN40" s="1197"/>
      <c r="AO40" s="356"/>
      <c r="AP40" s="356"/>
      <c r="AQ40" s="356"/>
      <c r="AR40" s="356"/>
      <c r="AS40" s="356"/>
      <c r="AT40" s="356"/>
      <c r="AU40" s="1197"/>
      <c r="AV40" s="1212"/>
    </row>
    <row r="41" spans="2:56" ht="16.5">
      <c r="B41" s="1216"/>
      <c r="C41" s="1476" t="s">
        <v>1884</v>
      </c>
      <c r="D41" s="1212"/>
      <c r="E41" s="2049"/>
      <c r="F41" s="2050">
        <v>6642.2481950000001</v>
      </c>
      <c r="G41" s="2051"/>
      <c r="H41" s="1513">
        <f t="shared" ref="H41:H45" si="16">SUM(F41:G41)</f>
        <v>6642.2481950000001</v>
      </c>
      <c r="I41" s="1220"/>
      <c r="K41" s="1216"/>
      <c r="L41" s="1402"/>
      <c r="M41" s="2052" t="s">
        <v>1739</v>
      </c>
      <c r="N41" s="2053" t="s">
        <v>1031</v>
      </c>
      <c r="O41" s="2054"/>
      <c r="P41" s="2054" t="s">
        <v>1740</v>
      </c>
      <c r="Q41" s="2055" t="s">
        <v>1031</v>
      </c>
      <c r="R41" s="2056"/>
      <c r="S41" s="2057" t="s">
        <v>1740</v>
      </c>
      <c r="T41" s="1220"/>
      <c r="U41" s="311"/>
      <c r="V41" s="1199" t="s">
        <v>1026</v>
      </c>
      <c r="W41" s="1200"/>
      <c r="X41" s="1200"/>
      <c r="Y41" s="1200"/>
      <c r="Z41" s="1200"/>
      <c r="AA41" s="1200"/>
      <c r="AB41" s="1491"/>
      <c r="AC41" s="1491"/>
      <c r="AD41" s="2058">
        <f>SUM(AD42:AD49)</f>
        <v>0</v>
      </c>
      <c r="AE41" s="2059" t="str">
        <f>IF(AD41=0,"Good job!!","Retry")</f>
        <v>Good job!!</v>
      </c>
      <c r="AF41" s="1492"/>
      <c r="AG41"/>
      <c r="AH41"/>
      <c r="AI41"/>
      <c r="AJ41"/>
      <c r="AK41"/>
      <c r="AL41" s="2042"/>
      <c r="AN41" s="1197"/>
      <c r="AO41" s="356"/>
      <c r="AP41" s="356"/>
      <c r="AQ41" s="356"/>
      <c r="AR41" s="356"/>
      <c r="AS41" s="356"/>
      <c r="AT41" s="356"/>
      <c r="AU41" s="1197"/>
      <c r="AV41" s="1212"/>
    </row>
    <row r="42" spans="2:56" ht="16.5">
      <c r="B42" s="1216"/>
      <c r="C42" s="1476" t="s">
        <v>1885</v>
      </c>
      <c r="D42" s="1197"/>
      <c r="E42" s="1197"/>
      <c r="F42" s="2050">
        <v>7913.9414589999942</v>
      </c>
      <c r="G42" s="1569"/>
      <c r="H42" s="1513">
        <f t="shared" si="16"/>
        <v>7913.9414589999942</v>
      </c>
      <c r="I42" s="1220"/>
      <c r="K42" s="1216"/>
      <c r="L42" s="1402"/>
      <c r="M42" s="2060" t="s">
        <v>1741</v>
      </c>
      <c r="N42" s="2061">
        <v>45412</v>
      </c>
      <c r="O42" s="2062">
        <f>SUMPRODUCT($X$11:$X$26*(N42&gt;$Y$10:$Y$25)*(N42&lt;=$Y$11:$Y$26))</f>
        <v>6</v>
      </c>
      <c r="P42" s="2063">
        <v>330</v>
      </c>
      <c r="Q42" s="2064">
        <f>EOMONTH(N45,6)</f>
        <v>46142</v>
      </c>
      <c r="R42" s="2065">
        <f t="shared" ref="R42:R43" si="17">SUMPRODUCT($X$11:$X$26*(Q42&gt;$Y$10:$Y$25)*(Q42&lt;=$Y$11:$Y$26))</f>
        <v>10</v>
      </c>
      <c r="S42" s="2066">
        <v>100</v>
      </c>
      <c r="T42" s="1220"/>
      <c r="U42" s="311"/>
      <c r="V42" s="2067"/>
      <c r="W42" s="1779" t="s">
        <v>1028</v>
      </c>
      <c r="X42" s="1779"/>
      <c r="Y42" s="1779"/>
      <c r="Z42" s="1212"/>
      <c r="AA42" s="1212"/>
      <c r="AB42" s="1212"/>
      <c r="AC42" s="1212"/>
      <c r="AD42" s="815">
        <f>H39-H47+IF(H45&gt;=0,0,H45)</f>
        <v>0</v>
      </c>
      <c r="AE42" s="978" t="str">
        <f>IF(AD42=0,"OK","Retry")</f>
        <v>OK</v>
      </c>
      <c r="AF42" s="1239"/>
      <c r="AG42"/>
      <c r="AH42"/>
      <c r="AI42"/>
      <c r="AJ42"/>
      <c r="AK42"/>
      <c r="AL42" s="1197"/>
      <c r="AM42" s="1197"/>
      <c r="AN42" s="1197"/>
      <c r="AO42" s="1197"/>
      <c r="AP42" s="1197"/>
      <c r="AQ42" s="1197"/>
      <c r="AR42" s="1197"/>
      <c r="AS42" s="1197"/>
      <c r="AT42" s="1197"/>
      <c r="AU42" s="1197"/>
      <c r="AV42" s="1212"/>
    </row>
    <row r="43" spans="2:56" ht="16.5">
      <c r="B43" s="1216"/>
      <c r="C43" s="1476" t="s">
        <v>1886</v>
      </c>
      <c r="D43" s="1212"/>
      <c r="E43" s="1197"/>
      <c r="F43" s="2050">
        <v>40929.135244999998</v>
      </c>
      <c r="G43" s="1569"/>
      <c r="H43" s="1513">
        <f t="shared" si="16"/>
        <v>40929.135244999998</v>
      </c>
      <c r="I43" s="1220"/>
      <c r="K43" s="1216"/>
      <c r="L43" s="1402"/>
      <c r="M43" s="2068"/>
      <c r="N43" s="2061">
        <f>EOMONTH(N42,6)</f>
        <v>45596</v>
      </c>
      <c r="O43" s="2062">
        <f t="shared" ref="O43:O44" si="18">SUMPRODUCT($X$11:$X$26*(N43&gt;$Y$10:$Y$25)*(N43&lt;=$Y$11:$Y$26))</f>
        <v>7</v>
      </c>
      <c r="P43" s="2063">
        <v>100</v>
      </c>
      <c r="Q43" s="2064">
        <f>EOMONTH(Q42,6)</f>
        <v>46326</v>
      </c>
      <c r="R43" s="2065">
        <f t="shared" si="17"/>
        <v>11</v>
      </c>
      <c r="S43" s="2066">
        <v>100</v>
      </c>
      <c r="T43" s="1220"/>
      <c r="U43" s="311"/>
      <c r="V43" s="2067"/>
      <c r="W43" s="1779" t="s">
        <v>1742</v>
      </c>
      <c r="X43" s="1779"/>
      <c r="Y43" s="1779"/>
      <c r="Z43" s="1212"/>
      <c r="AA43" s="1212"/>
      <c r="AB43" s="1212"/>
      <c r="AC43" s="1212"/>
      <c r="AD43" s="815">
        <v>0</v>
      </c>
      <c r="AE43" s="978" t="str">
        <f t="shared" ref="AE43:AE49" si="19">IF(AD43=0,"OK","Retry")</f>
        <v>OK</v>
      </c>
      <c r="AF43" s="1239"/>
      <c r="AG43"/>
      <c r="AH43"/>
      <c r="AI43"/>
      <c r="AJ43"/>
      <c r="AK43"/>
      <c r="AL43" s="1212"/>
      <c r="AM43" s="1212"/>
      <c r="AN43" s="1197"/>
      <c r="AO43" s="1197"/>
      <c r="AP43" s="1197"/>
      <c r="AQ43" s="1197"/>
      <c r="AR43" s="1197"/>
      <c r="AS43" s="1197"/>
      <c r="AT43" s="1197"/>
      <c r="AU43" s="1212"/>
      <c r="AV43" s="1212"/>
    </row>
    <row r="44" spans="2:56" ht="16.5">
      <c r="B44" s="1216"/>
      <c r="C44" s="1503" t="s">
        <v>1887</v>
      </c>
      <c r="D44" s="1212"/>
      <c r="E44" s="1197"/>
      <c r="F44" s="2050">
        <v>0</v>
      </c>
      <c r="G44" s="1569"/>
      <c r="H44" s="1513">
        <f t="shared" si="16"/>
        <v>0</v>
      </c>
      <c r="I44" s="1220"/>
      <c r="K44" s="1216"/>
      <c r="L44" s="1402"/>
      <c r="M44" s="2069"/>
      <c r="N44" s="2061">
        <f>EOMONTH(N43,6)</f>
        <v>45777</v>
      </c>
      <c r="O44" s="2062">
        <f t="shared" si="18"/>
        <v>8</v>
      </c>
      <c r="P44" s="2063">
        <v>100</v>
      </c>
      <c r="Q44" s="2064">
        <f>EOMONTH(Q43,6)</f>
        <v>46507</v>
      </c>
      <c r="R44" s="2065">
        <f>SUMPRODUCT($X$11:$X$26*(Q44&gt;$Y$10:$Y$25)*(Q44&lt;=$Y$11:$Y$26))</f>
        <v>12</v>
      </c>
      <c r="S44" s="1570">
        <v>100</v>
      </c>
      <c r="T44" s="1220"/>
      <c r="U44" s="311"/>
      <c r="V44" s="2067"/>
      <c r="W44" s="1779" t="s">
        <v>1743</v>
      </c>
      <c r="X44" s="1779"/>
      <c r="Y44" s="1779"/>
      <c r="Z44" s="1212"/>
      <c r="AA44" s="1212"/>
      <c r="AB44" s="1212"/>
      <c r="AC44" s="1212"/>
      <c r="AD44" s="815">
        <v>0</v>
      </c>
      <c r="AE44" s="978" t="str">
        <f t="shared" si="19"/>
        <v>OK</v>
      </c>
      <c r="AF44" s="1239"/>
      <c r="AG44"/>
      <c r="AH44"/>
      <c r="AI44"/>
      <c r="AJ44"/>
      <c r="AK44"/>
      <c r="AL44" s="1212"/>
      <c r="AM44" s="1212"/>
      <c r="AN44" s="1197"/>
      <c r="AO44" s="1197"/>
      <c r="AP44" s="1197"/>
      <c r="AQ44" s="1197"/>
      <c r="AR44" s="1197"/>
      <c r="AS44" s="1197"/>
      <c r="AT44" s="1197"/>
      <c r="AU44" s="1212"/>
      <c r="AV44" s="1212"/>
    </row>
    <row r="45" spans="2:56" ht="16.5">
      <c r="B45" s="1216"/>
      <c r="C45" s="1511" t="s">
        <v>1888</v>
      </c>
      <c r="D45" s="1399"/>
      <c r="E45" s="1399"/>
      <c r="F45" s="1577">
        <f>F47-SUM(F40:F44)</f>
        <v>12585.887413999997</v>
      </c>
      <c r="G45" s="1578"/>
      <c r="H45" s="1513">
        <f t="shared" si="16"/>
        <v>12585.887413999997</v>
      </c>
      <c r="I45" s="1220"/>
      <c r="K45" s="1216"/>
      <c r="L45" s="1402"/>
      <c r="M45" s="2070"/>
      <c r="N45" s="2061">
        <f>EOMONTH(N44,6)</f>
        <v>45961</v>
      </c>
      <c r="O45" s="2062">
        <f>SUMPRODUCT($X$11:$X$26*(N45&gt;$Y$10:$Y$25)*(N45&lt;=$Y$11:$Y$26))</f>
        <v>9</v>
      </c>
      <c r="P45" s="2071">
        <v>100</v>
      </c>
      <c r="Q45" s="2072" t="s">
        <v>1059</v>
      </c>
      <c r="R45" s="2073"/>
      <c r="S45" s="2074">
        <f>SUM(P42:P45,S42:S44)</f>
        <v>930</v>
      </c>
      <c r="T45" s="1220"/>
      <c r="U45" s="311"/>
      <c r="V45" s="2067"/>
      <c r="W45" s="1779" t="s">
        <v>1744</v>
      </c>
      <c r="X45" s="1779"/>
      <c r="Y45" s="1779"/>
      <c r="Z45" s="1212"/>
      <c r="AA45" s="1212"/>
      <c r="AB45" s="1212"/>
      <c r="AC45" s="1212"/>
      <c r="AD45" s="815">
        <v>0</v>
      </c>
      <c r="AE45" s="978" t="str">
        <f t="shared" si="19"/>
        <v>OK</v>
      </c>
      <c r="AF45" s="1239"/>
      <c r="AG45"/>
      <c r="AH45"/>
      <c r="AI45"/>
      <c r="AJ45"/>
      <c r="AK45"/>
      <c r="AL45" s="1212"/>
      <c r="AM45" s="1212"/>
      <c r="AN45" s="1197"/>
      <c r="AO45" s="1197"/>
      <c r="AP45" s="1197"/>
      <c r="AQ45" s="1197"/>
      <c r="AR45" s="1197"/>
      <c r="AS45" s="1197"/>
      <c r="AT45" s="1197"/>
      <c r="AU45" s="1212"/>
      <c r="AV45" s="1212"/>
    </row>
    <row r="46" spans="2:56" ht="16.5">
      <c r="B46" s="1216"/>
      <c r="C46" s="1374"/>
      <c r="D46" s="1197"/>
      <c r="E46" s="1374"/>
      <c r="F46" s="2075">
        <f>F39-F47</f>
        <v>0</v>
      </c>
      <c r="G46" s="2075">
        <f>G39-G47</f>
        <v>0</v>
      </c>
      <c r="H46" s="2075">
        <f>H39-H47</f>
        <v>0</v>
      </c>
      <c r="I46" s="1220"/>
      <c r="J46" s="356"/>
      <c r="K46" s="1216"/>
      <c r="L46" s="1485" t="s">
        <v>1024</v>
      </c>
      <c r="M46" s="1486"/>
      <c r="N46" s="1486"/>
      <c r="O46" s="1486"/>
      <c r="P46" s="1487" t="s">
        <v>1025</v>
      </c>
      <c r="Q46" s="2076">
        <f>36*12</f>
        <v>432</v>
      </c>
      <c r="R46" s="1488" t="s">
        <v>1745</v>
      </c>
      <c r="S46" s="1489">
        <v>0</v>
      </c>
      <c r="T46" s="1490"/>
      <c r="V46" s="2067"/>
      <c r="W46" s="1374" t="s">
        <v>1034</v>
      </c>
      <c r="X46" s="1374"/>
      <c r="Y46" s="1374"/>
      <c r="Z46" s="1197"/>
      <c r="AA46" s="1510">
        <v>4.9582238162425458</v>
      </c>
      <c r="AB46" s="1510"/>
      <c r="AC46" s="1510"/>
      <c r="AD46" s="815">
        <f>IF(AA46&gt;10,AA46,0)</f>
        <v>0</v>
      </c>
      <c r="AE46" s="978" t="str">
        <f t="shared" si="19"/>
        <v>OK</v>
      </c>
      <c r="AF46" s="1239"/>
      <c r="AG46"/>
      <c r="AH46"/>
      <c r="AI46"/>
      <c r="AJ46"/>
      <c r="AK46"/>
      <c r="AL46" s="1212"/>
      <c r="AM46" s="1212"/>
      <c r="AN46" s="1197"/>
      <c r="AO46" s="1197"/>
      <c r="AP46" s="1197"/>
      <c r="AQ46" s="1197"/>
      <c r="AR46" s="1197"/>
      <c r="AS46" s="1197"/>
      <c r="AT46" s="1197"/>
      <c r="AU46" s="1212"/>
      <c r="AV46" s="1212"/>
    </row>
    <row r="47" spans="2:56" ht="16.5">
      <c r="B47" s="1216"/>
      <c r="C47" s="1521" t="s">
        <v>1746</v>
      </c>
      <c r="D47" s="1456"/>
      <c r="E47" s="1456"/>
      <c r="F47" s="2077">
        <f>SUM(F50,F54)</f>
        <v>797431.12750199996</v>
      </c>
      <c r="G47" s="2077">
        <f>SUM(G50,G54)</f>
        <v>0</v>
      </c>
      <c r="H47" s="2077">
        <f>SUM(H50,H54)</f>
        <v>797431.12750199996</v>
      </c>
      <c r="I47" s="1220"/>
      <c r="K47" s="1216"/>
      <c r="L47" s="1493" t="s">
        <v>1027</v>
      </c>
      <c r="M47" s="1223"/>
      <c r="N47" s="1223"/>
      <c r="O47" s="1223"/>
      <c r="P47" s="1494" t="s">
        <v>1025</v>
      </c>
      <c r="Q47" s="2078">
        <f>30*12+12</f>
        <v>372</v>
      </c>
      <c r="R47" s="1495" t="s">
        <v>1745</v>
      </c>
      <c r="S47" s="1496">
        <v>0</v>
      </c>
      <c r="T47" s="1497"/>
      <c r="V47" s="2067"/>
      <c r="W47" s="1779" t="s">
        <v>1747</v>
      </c>
      <c r="X47" s="1779"/>
      <c r="Y47" s="1779"/>
      <c r="Z47" s="1212"/>
      <c r="AA47" s="1212"/>
      <c r="AB47" s="1212"/>
      <c r="AC47" s="1212"/>
      <c r="AD47" s="815">
        <v>0</v>
      </c>
      <c r="AE47" s="978" t="str">
        <f t="shared" si="19"/>
        <v>OK</v>
      </c>
      <c r="AF47" s="1239"/>
      <c r="AG47"/>
      <c r="AH47"/>
      <c r="AI47"/>
      <c r="AJ47"/>
      <c r="AK47"/>
      <c r="AM47" s="1212"/>
      <c r="AN47" s="1197"/>
      <c r="AO47" s="1197"/>
      <c r="AP47" s="1197"/>
      <c r="AQ47" s="1197"/>
      <c r="AR47" s="1197"/>
      <c r="AS47" s="1197"/>
      <c r="AT47" s="1197"/>
      <c r="AU47" s="1212"/>
      <c r="AV47" s="1212"/>
    </row>
    <row r="48" spans="2:56" ht="16.5">
      <c r="B48" s="1216"/>
      <c r="C48" s="1485"/>
      <c r="D48" s="2079" t="s">
        <v>1748</v>
      </c>
      <c r="E48" s="2080"/>
      <c r="F48" s="2081">
        <v>7631.1275020000003</v>
      </c>
      <c r="G48" s="2081"/>
      <c r="H48" s="2082">
        <f>SUM(F48:G48)</f>
        <v>7631.1275020000003</v>
      </c>
      <c r="I48" s="1220"/>
      <c r="K48" s="1202" t="s">
        <v>1029</v>
      </c>
      <c r="L48" s="1202"/>
      <c r="M48" s="1202"/>
      <c r="N48" s="1202"/>
      <c r="O48" s="1202"/>
      <c r="P48" s="1202"/>
      <c r="Q48" s="1202"/>
      <c r="R48" s="1202"/>
      <c r="S48" s="1202"/>
      <c r="T48" s="1202"/>
      <c r="V48" s="2067"/>
      <c r="W48" s="1779" t="s">
        <v>1749</v>
      </c>
      <c r="X48" s="1779"/>
      <c r="Y48" s="1779"/>
      <c r="Z48" s="1212"/>
      <c r="AA48" s="1212"/>
      <c r="AB48" s="1212"/>
      <c r="AC48" s="1212"/>
      <c r="AD48" s="815">
        <v>0</v>
      </c>
      <c r="AE48" s="978" t="str">
        <f t="shared" si="19"/>
        <v>OK</v>
      </c>
      <c r="AF48" s="1239"/>
      <c r="AG48"/>
      <c r="AH48"/>
      <c r="AI48"/>
      <c r="AJ48"/>
      <c r="AK48"/>
      <c r="AM48" s="1212"/>
      <c r="AN48" s="1197"/>
      <c r="AO48" s="1197"/>
      <c r="AP48" s="1197"/>
      <c r="AQ48" s="1197"/>
      <c r="AR48" s="1197"/>
      <c r="AS48" s="1197"/>
      <c r="AT48" s="1197"/>
      <c r="AU48" s="1212"/>
      <c r="AV48" s="1212"/>
    </row>
    <row r="49" spans="2:56" ht="16.5">
      <c r="B49" s="1216"/>
      <c r="C49" s="1222"/>
      <c r="D49" s="2083" t="s">
        <v>1750</v>
      </c>
      <c r="E49" s="1456"/>
      <c r="F49" s="2084">
        <v>512000</v>
      </c>
      <c r="G49" s="2084"/>
      <c r="H49" s="2085">
        <f t="shared" ref="H49" si="20">SUM(F49:G49)</f>
        <v>512000</v>
      </c>
      <c r="I49" s="1220"/>
      <c r="K49" s="1216"/>
      <c r="L49" s="1455" t="s">
        <v>1751</v>
      </c>
      <c r="M49" s="1197"/>
      <c r="N49" s="1197"/>
      <c r="O49" s="1197"/>
      <c r="P49" s="1197"/>
      <c r="Q49" s="1499"/>
      <c r="R49" s="2086" t="s">
        <v>1030</v>
      </c>
      <c r="S49" s="2087">
        <v>797392</v>
      </c>
      <c r="T49" s="1220"/>
      <c r="V49" s="2067"/>
      <c r="W49" s="1779" t="s">
        <v>1752</v>
      </c>
      <c r="X49" s="1779"/>
      <c r="Y49" s="1779"/>
      <c r="Z49" s="1212"/>
      <c r="AA49" s="1212"/>
      <c r="AB49" s="1212"/>
      <c r="AC49" s="1212"/>
      <c r="AD49" s="815">
        <f>SUM(D146:D174)</f>
        <v>0</v>
      </c>
      <c r="AE49" s="978" t="str">
        <f t="shared" si="19"/>
        <v>OK</v>
      </c>
      <c r="AF49" s="1239"/>
      <c r="AG49"/>
      <c r="AH49"/>
      <c r="AI49"/>
      <c r="AJ49"/>
      <c r="AK49"/>
      <c r="AM49" s="1212"/>
      <c r="AN49" s="1197"/>
      <c r="AO49" s="1197"/>
      <c r="AP49" s="1197"/>
      <c r="AQ49" s="1197"/>
      <c r="AR49" s="1197"/>
      <c r="AS49" s="1197"/>
      <c r="AT49" s="1197"/>
      <c r="AU49" s="1212"/>
      <c r="AV49" s="1212"/>
    </row>
    <row r="50" spans="2:56" ht="16.5">
      <c r="B50" s="1216"/>
      <c r="C50" s="2088"/>
      <c r="D50" s="2089" t="s">
        <v>1753</v>
      </c>
      <c r="E50" s="2090"/>
      <c r="F50" s="2091">
        <f>SUM(F48:F49)</f>
        <v>519631.12750200002</v>
      </c>
      <c r="G50" s="2091">
        <f>SUM(G48:G49)</f>
        <v>0</v>
      </c>
      <c r="H50" s="2092">
        <f>SUM(H48:H49)</f>
        <v>519631.12750200002</v>
      </c>
      <c r="I50" s="1220"/>
      <c r="K50" s="1216"/>
      <c r="L50" s="1197"/>
      <c r="M50" s="1500"/>
      <c r="N50" s="1501"/>
      <c r="O50" s="2093" t="s">
        <v>1754</v>
      </c>
      <c r="P50" s="1502" t="s">
        <v>1031</v>
      </c>
      <c r="Q50" s="1502" t="s">
        <v>1755</v>
      </c>
      <c r="R50" s="1502" t="s">
        <v>1756</v>
      </c>
      <c r="S50" s="1502" t="s">
        <v>1032</v>
      </c>
      <c r="T50" s="1583" t="s">
        <v>1757</v>
      </c>
      <c r="V50" s="1530" t="s">
        <v>1758</v>
      </c>
      <c r="W50" s="1531"/>
      <c r="X50" s="1531"/>
      <c r="Y50" s="1531"/>
      <c r="Z50" s="1531"/>
      <c r="AA50" s="1531"/>
      <c r="AB50" s="1531"/>
      <c r="AC50" s="1531"/>
      <c r="AD50" s="2094"/>
      <c r="AE50" s="2095"/>
      <c r="AF50" s="1532"/>
      <c r="AG50"/>
      <c r="AH50"/>
      <c r="AI50"/>
      <c r="AJ50"/>
      <c r="AK50"/>
      <c r="AM50" s="1212"/>
      <c r="AN50" s="1197"/>
      <c r="AO50" s="1197"/>
      <c r="AP50" s="1197"/>
      <c r="AQ50" s="1197"/>
      <c r="AR50" s="1197"/>
      <c r="AS50" s="1197"/>
      <c r="AT50" s="1197"/>
      <c r="AU50" s="1212"/>
      <c r="AV50" s="1212"/>
    </row>
    <row r="51" spans="2:56" ht="16.5">
      <c r="B51" s="1216"/>
      <c r="C51" s="1485"/>
      <c r="D51" s="2096" t="str">
        <f>D61</f>
        <v>1종 종류주</v>
      </c>
      <c r="E51" s="2080"/>
      <c r="F51" s="2097">
        <f>H61</f>
        <v>242800</v>
      </c>
      <c r="G51" s="2098"/>
      <c r="H51" s="2099">
        <f>SUM(F51:G51)</f>
        <v>242800</v>
      </c>
      <c r="I51" s="1220"/>
      <c r="K51" s="1216"/>
      <c r="L51" s="1197"/>
      <c r="M51" s="1504" t="s">
        <v>1033</v>
      </c>
      <c r="N51" s="2100"/>
      <c r="O51" s="1506">
        <v>1</v>
      </c>
      <c r="P51" s="1517">
        <v>3</v>
      </c>
      <c r="Q51" s="2101">
        <v>1.6000000000000001E-3</v>
      </c>
      <c r="R51" s="1507">
        <v>1275.8271999999997</v>
      </c>
      <c r="S51" s="1508" t="s">
        <v>1759</v>
      </c>
      <c r="T51" s="1220"/>
      <c r="V51" s="1216"/>
      <c r="W51" s="1509"/>
      <c r="X51" s="1495"/>
      <c r="Y51" s="1197"/>
      <c r="Z51" s="1479"/>
      <c r="AA51" s="1479"/>
      <c r="AB51" s="1480" t="s">
        <v>983</v>
      </c>
      <c r="AC51" s="1536" t="s">
        <v>1674</v>
      </c>
      <c r="AD51" s="1480" t="s">
        <v>1037</v>
      </c>
      <c r="AE51" s="1479"/>
      <c r="AF51" s="1239"/>
      <c r="AG51"/>
      <c r="AH51"/>
      <c r="AI51"/>
      <c r="AJ51"/>
      <c r="AK51"/>
      <c r="AM51" s="1212"/>
      <c r="AN51" s="1197"/>
      <c r="AO51" s="1197"/>
      <c r="AP51" s="1197"/>
      <c r="AQ51" s="1197"/>
      <c r="AR51" s="1197"/>
      <c r="AS51" s="1197"/>
      <c r="AT51" s="1197"/>
      <c r="AU51" s="1212"/>
      <c r="AV51" s="1212"/>
    </row>
    <row r="52" spans="2:56" ht="16.5">
      <c r="B52" s="1216"/>
      <c r="C52" s="1222"/>
      <c r="D52" s="2102" t="str">
        <f t="shared" ref="D52:D53" si="21">D62</f>
        <v>2종 종류주</v>
      </c>
      <c r="E52" s="1212"/>
      <c r="F52" s="2103">
        <f t="shared" ref="F52" si="22">H62</f>
        <v>0</v>
      </c>
      <c r="G52" s="2103"/>
      <c r="H52" s="2104">
        <f t="shared" ref="H52:H53" si="23">SUM(F52:G52)</f>
        <v>0</v>
      </c>
      <c r="I52" s="1220"/>
      <c r="K52" s="1216"/>
      <c r="L52" s="1197"/>
      <c r="M52" s="1514"/>
      <c r="N52" s="1515"/>
      <c r="O52" s="1516">
        <f>O51+1</f>
        <v>2</v>
      </c>
      <c r="P52" s="1517" t="s">
        <v>1035</v>
      </c>
      <c r="Q52" s="2101">
        <v>1.6000000000000001E-3</v>
      </c>
      <c r="R52" s="2105">
        <v>1275.8271999999997</v>
      </c>
      <c r="S52" s="1518" t="s">
        <v>1036</v>
      </c>
      <c r="T52" s="1497">
        <v>1275.8270436846569</v>
      </c>
      <c r="V52" s="1238"/>
      <c r="W52" s="1212"/>
      <c r="X52" s="1463" t="s">
        <v>1041</v>
      </c>
      <c r="Y52" s="1539" t="s">
        <v>1042</v>
      </c>
      <c r="Z52" s="1464"/>
      <c r="AA52" s="1464"/>
      <c r="AB52" s="1540">
        <v>6.2E-2</v>
      </c>
      <c r="AC52" s="1540">
        <v>0</v>
      </c>
      <c r="AD52" s="1541">
        <v>0</v>
      </c>
      <c r="AE52" s="1242"/>
      <c r="AF52" s="1220"/>
      <c r="AG52"/>
      <c r="AH52"/>
      <c r="AI52"/>
      <c r="AJ52"/>
      <c r="AK52"/>
      <c r="AM52" s="1212"/>
      <c r="AN52" s="1197"/>
      <c r="AO52" s="1197"/>
      <c r="AP52" s="1197"/>
      <c r="AQ52" s="1197"/>
      <c r="AR52" s="1197"/>
      <c r="AS52" s="1197"/>
      <c r="AT52" s="1197"/>
      <c r="AU52" s="1212"/>
      <c r="AV52" s="1212"/>
    </row>
    <row r="53" spans="2:56" ht="16.5">
      <c r="B53" s="1216"/>
      <c r="C53" s="1222"/>
      <c r="D53" s="2106" t="str">
        <f t="shared" si="21"/>
        <v>보통주</v>
      </c>
      <c r="E53" s="1456"/>
      <c r="F53" s="2107">
        <f>H63</f>
        <v>35000</v>
      </c>
      <c r="G53" s="2103"/>
      <c r="H53" s="2104">
        <f t="shared" si="23"/>
        <v>35000</v>
      </c>
      <c r="I53" s="1220"/>
      <c r="K53" s="1216"/>
      <c r="L53" s="1197"/>
      <c r="M53" s="1519" t="s">
        <v>1760</v>
      </c>
      <c r="N53" s="313"/>
      <c r="O53" s="313"/>
      <c r="P53" s="1517" t="s">
        <v>1035</v>
      </c>
      <c r="Q53" s="1520">
        <f>R53/$S$49</f>
        <v>3.7622649838473424E-5</v>
      </c>
      <c r="R53" s="2108">
        <v>30</v>
      </c>
      <c r="S53" s="1518" t="s">
        <v>1036</v>
      </c>
      <c r="T53" s="1497">
        <v>20</v>
      </c>
      <c r="V53" s="1551"/>
      <c r="W53" s="1197"/>
      <c r="X53" s="1481"/>
      <c r="Y53" s="1552" t="s">
        <v>1761</v>
      </c>
      <c r="Z53" s="1553"/>
      <c r="AA53" s="1553"/>
      <c r="AB53" s="1554"/>
      <c r="AC53" s="1554"/>
      <c r="AD53" s="1555">
        <v>1</v>
      </c>
      <c r="AE53" s="1242"/>
      <c r="AF53" s="1239"/>
      <c r="AG53"/>
      <c r="AH53"/>
      <c r="AI53"/>
      <c r="AJ53"/>
      <c r="AK53"/>
      <c r="AM53" s="1212"/>
      <c r="AN53" s="1197"/>
      <c r="AO53" s="1197"/>
      <c r="AP53" s="1197"/>
      <c r="AQ53" s="1197"/>
      <c r="AR53" s="1197"/>
      <c r="AS53" s="1197"/>
      <c r="AT53" s="1197"/>
      <c r="AU53" s="1212"/>
      <c r="AV53" s="1212"/>
    </row>
    <row r="54" spans="2:56" ht="16.5">
      <c r="B54" s="1216"/>
      <c r="C54" s="2109"/>
      <c r="D54" s="2089" t="s">
        <v>1762</v>
      </c>
      <c r="E54" s="2110"/>
      <c r="F54" s="2111">
        <f>SUM(F51:F53)</f>
        <v>277800</v>
      </c>
      <c r="G54" s="2111">
        <f>SUM(G51:G53)</f>
        <v>0</v>
      </c>
      <c r="H54" s="2112">
        <f>SUM(H51:H53)</f>
        <v>277800</v>
      </c>
      <c r="I54" s="1220"/>
      <c r="K54" s="1216"/>
      <c r="L54" s="1197"/>
      <c r="M54" s="1523" t="s">
        <v>1763</v>
      </c>
      <c r="N54" s="1400"/>
      <c r="O54" s="1400"/>
      <c r="P54" s="1524" t="s">
        <v>1035</v>
      </c>
      <c r="Q54" s="1525">
        <f>R54/$S$49</f>
        <v>7.0228946365150395E-5</v>
      </c>
      <c r="R54" s="2113">
        <v>56</v>
      </c>
      <c r="S54" s="1526" t="s">
        <v>1036</v>
      </c>
      <c r="T54" s="1497">
        <v>60</v>
      </c>
      <c r="V54" s="1551"/>
      <c r="W54" s="1197"/>
      <c r="X54" s="347" t="s">
        <v>1043</v>
      </c>
      <c r="Y54" s="1562"/>
      <c r="Z54" s="1563"/>
      <c r="AA54" s="1563"/>
      <c r="AB54" s="2114">
        <v>0.6</v>
      </c>
      <c r="AC54" s="1564">
        <v>0</v>
      </c>
      <c r="AD54" s="1565">
        <f>1-SUM(AB54:AC54)</f>
        <v>0.4</v>
      </c>
      <c r="AE54" s="1566"/>
      <c r="AF54" s="1239"/>
      <c r="AG54"/>
      <c r="AH54"/>
      <c r="AI54"/>
      <c r="AJ54"/>
      <c r="AK54"/>
      <c r="AM54" s="1212"/>
      <c r="AN54" s="1197"/>
      <c r="AO54" s="1197"/>
      <c r="AP54" s="1197"/>
      <c r="AQ54" s="1197"/>
      <c r="AR54" s="1197"/>
      <c r="AS54" s="1197"/>
      <c r="AT54" s="1197"/>
      <c r="AU54" s="1212"/>
      <c r="AV54" s="1212"/>
    </row>
    <row r="55" spans="2:56" ht="17.25" thickBot="1">
      <c r="B55" s="2115"/>
      <c r="C55" s="2116"/>
      <c r="D55" s="2117"/>
      <c r="E55" s="2117"/>
      <c r="F55" s="2118"/>
      <c r="G55" s="2117"/>
      <c r="H55" s="2119"/>
      <c r="I55" s="2120"/>
      <c r="K55" s="1216"/>
      <c r="L55" s="1197"/>
      <c r="M55" s="2121" t="s">
        <v>1764</v>
      </c>
      <c r="N55" s="1400"/>
      <c r="O55" s="1400"/>
      <c r="P55" s="1524" t="s">
        <v>1035</v>
      </c>
      <c r="Q55" s="1525">
        <f>R55/$S$49</f>
        <v>1.2540883279491141E-5</v>
      </c>
      <c r="R55" s="2113">
        <v>10</v>
      </c>
      <c r="S55" s="1526" t="s">
        <v>1765</v>
      </c>
      <c r="T55" s="1497">
        <v>39.869595115145529</v>
      </c>
      <c r="V55" s="1238"/>
      <c r="W55" s="1197"/>
      <c r="X55" s="357"/>
      <c r="Y55" s="1552"/>
      <c r="Z55" s="1574"/>
      <c r="AA55" s="1574"/>
      <c r="AB55" s="1553"/>
      <c r="AC55" s="1553"/>
      <c r="AD55" s="1575"/>
      <c r="AE55" s="1576"/>
      <c r="AF55" s="1239"/>
      <c r="AG55"/>
      <c r="AH55"/>
      <c r="AI55"/>
      <c r="AJ55"/>
      <c r="AK55"/>
      <c r="AM55" s="1212"/>
      <c r="AN55" s="1197"/>
      <c r="AO55" s="1197"/>
      <c r="AP55" s="1197"/>
      <c r="AQ55" s="1197"/>
      <c r="AR55" s="1197"/>
      <c r="AS55" s="1197"/>
      <c r="AT55" s="1197"/>
      <c r="AU55" s="1212"/>
      <c r="AV55" s="1212"/>
    </row>
    <row r="56" spans="2:56" ht="18" thickTop="1" thickBot="1">
      <c r="B56" s="1216"/>
      <c r="C56" s="1521" t="s">
        <v>1766</v>
      </c>
      <c r="D56" s="1456"/>
      <c r="E56" s="1456"/>
      <c r="F56" s="1522"/>
      <c r="G56" s="1456"/>
      <c r="H56" s="1357"/>
      <c r="I56" s="1220"/>
      <c r="K56" s="1216"/>
      <c r="L56" s="1197"/>
      <c r="M56" s="313"/>
      <c r="N56" s="313"/>
      <c r="O56" s="313"/>
      <c r="P56" s="2122"/>
      <c r="Q56" s="2123"/>
      <c r="R56" s="1534"/>
      <c r="S56" s="2124"/>
      <c r="T56" s="1497"/>
      <c r="U56" s="356"/>
      <c r="V56" s="1584"/>
      <c r="W56" s="1585"/>
      <c r="X56" s="1585"/>
      <c r="Y56" s="1585"/>
      <c r="Z56" s="1585"/>
      <c r="AA56" s="1585"/>
      <c r="AB56" s="1585"/>
      <c r="AC56" s="1585"/>
      <c r="AD56" s="1585"/>
      <c r="AE56" s="1585"/>
      <c r="AF56" s="1586"/>
      <c r="AG56"/>
      <c r="AH56"/>
      <c r="AI56"/>
      <c r="AJ56"/>
      <c r="AK56"/>
      <c r="AL56" s="356"/>
      <c r="AM56" s="356"/>
      <c r="AN56" s="356"/>
      <c r="AO56" s="356"/>
      <c r="AP56" s="356"/>
      <c r="AQ56" s="356"/>
      <c r="AR56" s="356"/>
      <c r="AS56" s="356"/>
      <c r="AT56" s="356"/>
      <c r="AU56" s="356"/>
      <c r="AV56" s="356"/>
      <c r="AW56" s="356"/>
      <c r="AX56" s="356"/>
      <c r="AY56" s="356"/>
      <c r="AZ56" s="356"/>
      <c r="BA56" s="356"/>
      <c r="BB56" s="356"/>
      <c r="BC56" s="356"/>
      <c r="BD56" s="356"/>
    </row>
    <row r="57" spans="2:56" ht="16.5">
      <c r="B57" s="1216"/>
      <c r="C57" s="1197"/>
      <c r="D57" s="1527" t="s">
        <v>1767</v>
      </c>
      <c r="E57" s="1197"/>
      <c r="F57" s="356"/>
      <c r="G57" s="1528">
        <f>1-H60/H47</f>
        <v>0.65163135671637895</v>
      </c>
      <c r="H57" s="1529">
        <f>H69/H47</f>
        <v>9.4968863002918111E-2</v>
      </c>
      <c r="I57" s="1220"/>
      <c r="K57" s="1216"/>
      <c r="L57" s="1455" t="s">
        <v>1768</v>
      </c>
      <c r="M57" s="298"/>
      <c r="N57" s="298"/>
      <c r="O57" s="298"/>
      <c r="P57" s="313"/>
      <c r="Q57" s="1534"/>
      <c r="R57" s="1534"/>
      <c r="S57" s="1535"/>
      <c r="T57" s="1220"/>
      <c r="V57" s="1589"/>
      <c r="W57" s="1590" t="s">
        <v>1046</v>
      </c>
      <c r="X57" s="1591"/>
      <c r="Y57" s="1591"/>
      <c r="Z57" s="1591"/>
      <c r="AA57" s="1591"/>
      <c r="AB57" s="1591"/>
      <c r="AC57" s="1591"/>
      <c r="AD57" s="1591"/>
      <c r="AE57" s="1591"/>
      <c r="AF57" s="1592"/>
      <c r="AG57"/>
      <c r="AH57"/>
      <c r="AI57"/>
      <c r="AJ57"/>
      <c r="AK57"/>
      <c r="AL57" s="1593"/>
      <c r="AM57" s="1593"/>
      <c r="AN57" s="1593"/>
      <c r="AO57" s="1593"/>
      <c r="AP57" s="1593"/>
      <c r="AQ57" s="1593"/>
      <c r="AR57" s="1593"/>
      <c r="AS57" s="1593"/>
      <c r="AT57" s="1593"/>
      <c r="AU57" s="1593"/>
      <c r="AV57" s="1593"/>
      <c r="AW57" s="1593"/>
      <c r="AX57" s="1593"/>
      <c r="AY57" s="1593"/>
      <c r="AZ57" s="1593"/>
      <c r="BA57" s="1593"/>
      <c r="BB57" s="1593"/>
      <c r="BC57" s="1593"/>
      <c r="BD57" s="1593"/>
    </row>
    <row r="58" spans="2:56" ht="16.5">
      <c r="B58" s="1216"/>
      <c r="C58" s="1197"/>
      <c r="D58" s="1527" t="s">
        <v>1769</v>
      </c>
      <c r="E58" s="356"/>
      <c r="F58" s="1533"/>
      <c r="G58" s="1528">
        <f>1-(H60+H132)/(H47+H132-H74)</f>
        <v>0.61910305274987976</v>
      </c>
      <c r="H58" s="1528">
        <f>(H69-H74)/(H47+H132-H74)</f>
        <v>1.0463186355609144E-2</v>
      </c>
      <c r="I58" s="1220"/>
      <c r="J58" s="356"/>
      <c r="K58" s="1216"/>
      <c r="L58" s="356"/>
      <c r="M58" s="1537"/>
      <c r="N58" s="1538"/>
      <c r="O58" s="1538"/>
      <c r="P58" s="1502" t="s">
        <v>1031</v>
      </c>
      <c r="Q58" s="1502" t="s">
        <v>1040</v>
      </c>
      <c r="R58" s="1502" t="s">
        <v>1756</v>
      </c>
      <c r="S58" s="1502" t="s">
        <v>1044</v>
      </c>
      <c r="T58" s="1220"/>
      <c r="U58" s="1197"/>
      <c r="V58" s="1598"/>
      <c r="W58" s="1197"/>
      <c r="X58" s="2125" t="s">
        <v>1770</v>
      </c>
      <c r="Y58" s="1197"/>
      <c r="Z58" s="1197"/>
      <c r="AA58" s="1197"/>
      <c r="AB58" s="1197"/>
      <c r="AC58" s="1599">
        <v>0</v>
      </c>
      <c r="AD58" s="1600">
        <v>0</v>
      </c>
      <c r="AE58" s="1197"/>
      <c r="AF58" s="1601"/>
      <c r="AG58"/>
      <c r="AH58"/>
      <c r="AI58"/>
      <c r="AJ58"/>
      <c r="AK58"/>
      <c r="AL58" s="1593"/>
      <c r="AM58" s="1593"/>
      <c r="AN58" s="1593"/>
      <c r="AO58" s="1593"/>
      <c r="AP58" s="1593"/>
      <c r="AQ58" s="1593"/>
      <c r="AR58" s="1593"/>
      <c r="AS58" s="1593"/>
      <c r="AT58" s="1593"/>
      <c r="AU58" s="1593"/>
      <c r="AV58" s="1593"/>
      <c r="AW58" s="1593"/>
      <c r="AX58" s="1593"/>
      <c r="AY58" s="1593"/>
      <c r="AZ58" s="1593"/>
      <c r="BA58" s="1593"/>
      <c r="BB58" s="1593"/>
      <c r="BC58" s="1593"/>
      <c r="BD58" s="1593"/>
    </row>
    <row r="59" spans="2:56" ht="16.5">
      <c r="B59" s="1216"/>
      <c r="C59" s="1197"/>
      <c r="D59" s="1197"/>
      <c r="E59" s="1480" t="s">
        <v>1771</v>
      </c>
      <c r="F59" s="1480" t="s">
        <v>1038</v>
      </c>
      <c r="G59" s="1480" t="s">
        <v>1039</v>
      </c>
      <c r="H59" s="1480" t="s">
        <v>1772</v>
      </c>
      <c r="I59" s="1220"/>
      <c r="J59" s="356"/>
      <c r="K59" s="1216"/>
      <c r="L59" s="1223" t="s">
        <v>1773</v>
      </c>
      <c r="M59" s="1547" t="s">
        <v>1774</v>
      </c>
      <c r="N59" s="1548"/>
      <c r="O59" s="1548"/>
      <c r="P59" s="1517" t="s">
        <v>1775</v>
      </c>
      <c r="Q59" s="1549">
        <f>R59*$H$24/12/$P$63</f>
        <v>194.1062051888174</v>
      </c>
      <c r="R59" s="2126">
        <v>60</v>
      </c>
      <c r="S59" s="2127">
        <v>0</v>
      </c>
      <c r="T59" s="1550">
        <v>60</v>
      </c>
      <c r="U59" s="1197"/>
      <c r="V59" s="1598"/>
      <c r="W59" s="1197"/>
      <c r="X59" s="882" t="s">
        <v>1776</v>
      </c>
      <c r="Y59" s="1607"/>
      <c r="Z59" s="1607"/>
      <c r="AA59" s="1607"/>
      <c r="AB59" s="1607"/>
      <c r="AC59" s="1599">
        <v>43602.843836325665</v>
      </c>
      <c r="AD59" s="1608">
        <v>1</v>
      </c>
      <c r="AE59" s="1607"/>
      <c r="AF59" s="1601"/>
      <c r="AG59"/>
      <c r="AH59"/>
      <c r="AI59"/>
      <c r="AJ59"/>
      <c r="AK59"/>
      <c r="AL59" s="1593"/>
      <c r="AM59" s="1593"/>
      <c r="AN59" s="1593"/>
      <c r="AO59" s="1593"/>
      <c r="AP59" s="1593"/>
      <c r="AQ59" s="1593"/>
      <c r="AR59" s="1593"/>
      <c r="AS59" s="1593"/>
      <c r="AT59" s="1593"/>
      <c r="AU59" s="1593"/>
      <c r="AV59" s="1593"/>
      <c r="AW59" s="1593"/>
      <c r="AX59" s="1593"/>
      <c r="AY59" s="1593"/>
      <c r="AZ59" s="1593"/>
      <c r="BA59" s="1593"/>
      <c r="BB59" s="1593"/>
      <c r="BC59" s="1593"/>
      <c r="BD59" s="1593"/>
    </row>
    <row r="60" spans="2:56" ht="13.5">
      <c r="B60" s="1216"/>
      <c r="C60" s="1542" t="s">
        <v>1777</v>
      </c>
      <c r="D60" s="1459"/>
      <c r="E60" s="1543">
        <f>H60/F60-1</f>
        <v>9</v>
      </c>
      <c r="F60" s="1544">
        <f>SUM(F61:F63)</f>
        <v>27780</v>
      </c>
      <c r="G60" s="1545">
        <f>SUM(G61:G63)</f>
        <v>250020</v>
      </c>
      <c r="H60" s="1546">
        <f>SUM(H61:H63)</f>
        <v>277800</v>
      </c>
      <c r="I60" s="1220"/>
      <c r="J60" s="356"/>
      <c r="K60" s="1216"/>
      <c r="L60" s="1223" t="s">
        <v>1778</v>
      </c>
      <c r="M60" s="1558" t="s">
        <v>1779</v>
      </c>
      <c r="N60" s="1559"/>
      <c r="O60" s="1559"/>
      <c r="P60" s="1524">
        <v>1</v>
      </c>
      <c r="Q60" s="1560">
        <f>R60*$H$24/12/$P$63</f>
        <v>64.702068396272466</v>
      </c>
      <c r="R60" s="2128">
        <v>20</v>
      </c>
      <c r="S60" s="1561">
        <v>0</v>
      </c>
      <c r="T60" s="1497">
        <v>20</v>
      </c>
      <c r="V60" s="1598"/>
      <c r="W60" s="1197"/>
      <c r="X60" s="881" t="s">
        <v>1780</v>
      </c>
      <c r="Y60" s="1197"/>
      <c r="Z60" s="1197"/>
      <c r="AA60" s="1197"/>
      <c r="AB60" s="1607"/>
      <c r="AC60" s="1599">
        <v>48072</v>
      </c>
      <c r="AD60" s="1611">
        <v>1</v>
      </c>
      <c r="AE60" s="1197"/>
      <c r="AF60" s="1601"/>
      <c r="AG60" s="1593"/>
      <c r="AH60" s="2129"/>
      <c r="AI60" s="1593"/>
      <c r="AJ60" s="1593"/>
      <c r="AK60" s="1593"/>
      <c r="AL60" s="1593"/>
      <c r="AM60" s="1593"/>
      <c r="AN60" s="1593"/>
      <c r="AO60" s="1593"/>
      <c r="AP60" s="1593"/>
      <c r="AQ60" s="1593"/>
      <c r="AR60" s="1593"/>
      <c r="AS60" s="1593"/>
      <c r="AT60" s="1593"/>
      <c r="AU60" s="1593"/>
      <c r="AV60" s="1593"/>
      <c r="AW60" s="1593"/>
      <c r="AX60" s="1593"/>
      <c r="AY60" s="1593"/>
      <c r="AZ60" s="1593"/>
      <c r="BA60" s="1593"/>
      <c r="BB60" s="1593"/>
      <c r="BC60" s="1593"/>
      <c r="BD60" s="1593"/>
    </row>
    <row r="61" spans="2:56" ht="14.25" thickBot="1">
      <c r="B61" s="1216"/>
      <c r="C61" s="1402"/>
      <c r="D61" s="881" t="s">
        <v>131</v>
      </c>
      <c r="E61" s="2130">
        <f>900%*(H61&gt;0)</f>
        <v>9</v>
      </c>
      <c r="F61" s="1556">
        <f>H61/(1+E61)</f>
        <v>24280</v>
      </c>
      <c r="G61" s="1544">
        <f>H61-F61</f>
        <v>218520</v>
      </c>
      <c r="H61" s="2131">
        <v>242800</v>
      </c>
      <c r="I61" s="1220"/>
      <c r="J61" s="356"/>
      <c r="K61" s="1216"/>
      <c r="L61" s="1223"/>
      <c r="M61" s="1527"/>
      <c r="N61" s="1527"/>
      <c r="O61" s="1527"/>
      <c r="P61" s="1527"/>
      <c r="Q61" s="1527"/>
      <c r="R61" s="2132"/>
      <c r="S61" s="2133"/>
      <c r="T61" s="1497"/>
      <c r="V61" s="1618"/>
      <c r="W61" s="1619"/>
      <c r="X61" s="1620"/>
      <c r="Y61" s="1621"/>
      <c r="Z61" s="1621"/>
      <c r="AA61" s="1621"/>
      <c r="AB61" s="1585"/>
      <c r="AC61" s="1585"/>
      <c r="AD61" s="1585"/>
      <c r="AE61" s="1621"/>
      <c r="AF61" s="1622"/>
      <c r="AG61" s="1593"/>
      <c r="AH61" s="2129"/>
      <c r="AI61" s="1593"/>
      <c r="AJ61" s="1593"/>
      <c r="AK61" s="1593"/>
      <c r="AL61" s="1593"/>
      <c r="AM61" s="1593"/>
      <c r="AN61" s="1593"/>
      <c r="AO61" s="1593"/>
      <c r="AP61" s="1593"/>
      <c r="AQ61" s="1593"/>
      <c r="AR61" s="1593"/>
      <c r="AS61" s="1593"/>
      <c r="AT61" s="1593"/>
      <c r="AU61" s="1593"/>
      <c r="AV61" s="1593"/>
      <c r="AW61" s="1593"/>
      <c r="AX61" s="1593"/>
      <c r="AY61" s="1593"/>
      <c r="AZ61" s="1593"/>
      <c r="BA61" s="1593"/>
      <c r="BB61" s="1593"/>
      <c r="BC61" s="1593"/>
      <c r="BD61" s="1593"/>
    </row>
    <row r="62" spans="2:56" ht="13.5">
      <c r="B62" s="1567"/>
      <c r="C62" s="1568"/>
      <c r="D62" s="881" t="s">
        <v>1781</v>
      </c>
      <c r="E62" s="2134">
        <f t="shared" ref="E62:E63" si="24">900%*(H62&gt;0)</f>
        <v>0</v>
      </c>
      <c r="F62" s="1569">
        <f>H62/(1+E62)</f>
        <v>0</v>
      </c>
      <c r="G62" s="1569">
        <f>H62-F62</f>
        <v>0</v>
      </c>
      <c r="H62" s="1570">
        <v>0</v>
      </c>
      <c r="I62" s="1220"/>
      <c r="K62" s="1216"/>
      <c r="L62" s="1455" t="s">
        <v>1782</v>
      </c>
      <c r="M62" s="1197"/>
      <c r="N62" s="1197"/>
      <c r="O62" s="1197"/>
      <c r="P62" s="1571"/>
      <c r="Q62" s="2135">
        <f>SUM(Q64:Q74,Q77:Q79)</f>
        <v>19662.691029991838</v>
      </c>
      <c r="R62" s="1572"/>
      <c r="S62" s="1573"/>
      <c r="T62" s="1220"/>
      <c r="U62" s="2136" t="s">
        <v>1783</v>
      </c>
      <c r="AH62" s="1593"/>
      <c r="AI62" s="1593"/>
      <c r="AJ62" s="1593"/>
      <c r="AK62" s="1593"/>
      <c r="AL62" s="1593"/>
      <c r="AM62" s="1593"/>
      <c r="AN62" s="1593"/>
      <c r="AO62" s="1593"/>
      <c r="AP62" s="1593"/>
      <c r="AQ62" s="1593"/>
      <c r="AR62" s="1593"/>
      <c r="AS62" s="1593"/>
      <c r="AT62" s="1593"/>
      <c r="AU62" s="1593"/>
      <c r="AV62" s="1593"/>
      <c r="AW62" s="1593"/>
      <c r="AX62" s="1593"/>
      <c r="AY62" s="1593"/>
      <c r="AZ62" s="1593"/>
      <c r="BA62" s="1593"/>
      <c r="BB62" s="1593"/>
      <c r="BC62" s="1593"/>
      <c r="BD62" s="1593"/>
    </row>
    <row r="63" spans="2:56" ht="13.5">
      <c r="B63" s="1567"/>
      <c r="C63" s="1402"/>
      <c r="D63" s="881" t="s">
        <v>1784</v>
      </c>
      <c r="E63" s="2137">
        <f t="shared" si="24"/>
        <v>9</v>
      </c>
      <c r="F63" s="1577">
        <f>H63/(1+E63)</f>
        <v>3500</v>
      </c>
      <c r="G63" s="1578">
        <f>H63-F63</f>
        <v>31500</v>
      </c>
      <c r="H63" s="2138">
        <v>35000</v>
      </c>
      <c r="I63" s="1220"/>
      <c r="J63" s="1579"/>
      <c r="K63" s="1216"/>
      <c r="L63" s="1580"/>
      <c r="M63" s="1512" t="s">
        <v>1785</v>
      </c>
      <c r="N63" s="1581"/>
      <c r="O63" s="1581"/>
      <c r="P63" s="1582">
        <f>F7</f>
        <v>25759.094074999997</v>
      </c>
      <c r="Q63" s="1502" t="s">
        <v>1786</v>
      </c>
      <c r="R63" s="1502" t="s">
        <v>1787</v>
      </c>
      <c r="S63" s="1502" t="s">
        <v>1788</v>
      </c>
      <c r="T63" s="1583" t="s">
        <v>1789</v>
      </c>
      <c r="U63" s="2139" t="s">
        <v>1790</v>
      </c>
      <c r="AH63" s="1593"/>
      <c r="AI63" s="1593"/>
      <c r="AJ63" s="1593"/>
      <c r="AK63" s="1593"/>
      <c r="AL63" s="1593"/>
      <c r="AM63" s="1593"/>
      <c r="AN63" s="1593"/>
      <c r="AO63" s="1593"/>
      <c r="AP63" s="1593"/>
      <c r="AQ63" s="1593"/>
      <c r="AR63" s="1593"/>
      <c r="AS63" s="1593"/>
      <c r="AT63" s="1593"/>
      <c r="AU63" s="1593"/>
      <c r="AV63" s="1593"/>
      <c r="AW63" s="1593"/>
      <c r="AX63" s="1593"/>
      <c r="AY63" s="1593"/>
      <c r="AZ63" s="1593"/>
      <c r="BA63" s="1593"/>
      <c r="BB63" s="1593"/>
      <c r="BC63" s="1593"/>
      <c r="BD63" s="1593"/>
    </row>
    <row r="64" spans="2:56" ht="13.5">
      <c r="B64" s="1567"/>
      <c r="C64" s="1402"/>
      <c r="D64" s="2140" t="s">
        <v>1791</v>
      </c>
      <c r="E64" s="1241" t="s">
        <v>1792</v>
      </c>
      <c r="F64" s="2141">
        <v>7</v>
      </c>
      <c r="G64" s="2142">
        <f>EOMONTH(H11,F64)</f>
        <v>44592</v>
      </c>
      <c r="H64" s="1570"/>
      <c r="I64" s="1220"/>
      <c r="J64" s="1579"/>
      <c r="K64" s="1216"/>
      <c r="L64" s="1580"/>
      <c r="M64" s="1459" t="s">
        <v>1045</v>
      </c>
      <c r="N64" s="2143">
        <f>U64*(1+S64)^2</f>
        <v>1544.4187499999998</v>
      </c>
      <c r="O64" s="1459"/>
      <c r="P64" s="1587"/>
      <c r="Q64" s="2144">
        <f>T64*$H$24/$P$63/12</f>
        <v>1538.140625</v>
      </c>
      <c r="R64" s="1588">
        <f t="shared" ref="R64:R71" si="25">Q64*$P$63*12/$H$24</f>
        <v>475.45330871945157</v>
      </c>
      <c r="S64" s="1610">
        <v>2.5000000000000001E-2</v>
      </c>
      <c r="T64" s="1497">
        <v>475.45330871945157</v>
      </c>
      <c r="U64" s="2145">
        <f>1470</f>
        <v>1470</v>
      </c>
      <c r="AH64" s="1593"/>
      <c r="AI64" s="1593"/>
      <c r="AJ64" s="1593"/>
      <c r="AK64" s="1593"/>
      <c r="AL64" s="1593"/>
      <c r="AM64" s="1593"/>
      <c r="AN64" s="1593"/>
      <c r="AO64" s="1593"/>
      <c r="AP64" s="1593"/>
      <c r="AQ64" s="1593"/>
      <c r="AR64" s="1593"/>
      <c r="AS64" s="1593"/>
      <c r="AT64" s="1593"/>
      <c r="AU64" s="1593"/>
      <c r="AV64" s="1593"/>
      <c r="AW64" s="1593"/>
      <c r="AX64" s="1593"/>
      <c r="AY64" s="1593"/>
      <c r="AZ64" s="1593"/>
      <c r="BA64" s="1593"/>
      <c r="BB64" s="1593"/>
      <c r="BC64" s="1593"/>
      <c r="BD64" s="1593"/>
    </row>
    <row r="65" spans="2:57" ht="13.5">
      <c r="B65" s="1567"/>
      <c r="C65" s="1402"/>
      <c r="D65" s="1594" t="s">
        <v>1793</v>
      </c>
      <c r="E65" s="1595" t="str">
        <f>D61</f>
        <v>1종 종류주</v>
      </c>
      <c r="F65" s="1596" t="str">
        <f>D62</f>
        <v>2종 종류주</v>
      </c>
      <c r="G65" s="1595" t="str">
        <f>D63</f>
        <v>보통주</v>
      </c>
      <c r="H65" s="1597" t="s">
        <v>1794</v>
      </c>
      <c r="I65" s="1220"/>
      <c r="J65" s="1579"/>
      <c r="K65" s="1216"/>
      <c r="L65" s="1580"/>
      <c r="M65" s="1197" t="s">
        <v>1795</v>
      </c>
      <c r="N65" s="2146">
        <f t="shared" ref="N65:N73" si="26">U65*(1+S65)^2</f>
        <v>6566.4062499999991</v>
      </c>
      <c r="O65" s="1197"/>
      <c r="P65" s="1527"/>
      <c r="Q65" s="2147">
        <v>7830</v>
      </c>
      <c r="R65" s="1534">
        <f t="shared" si="25"/>
        <v>2420.3244792869996</v>
      </c>
      <c r="S65" s="1610">
        <v>2.5000000000000001E-2</v>
      </c>
      <c r="T65" s="1497">
        <v>1967.5118043160935</v>
      </c>
      <c r="U65" s="2145">
        <f>6250</f>
        <v>6250</v>
      </c>
      <c r="AH65" s="1593"/>
      <c r="AI65" s="1593"/>
      <c r="AJ65" s="1593"/>
      <c r="AK65" s="1593"/>
      <c r="AL65" s="1593"/>
      <c r="AM65" s="1593"/>
      <c r="AN65" s="1593"/>
      <c r="AO65" s="1593"/>
      <c r="AP65" s="1593"/>
      <c r="AQ65" s="1593"/>
      <c r="AR65" s="1593"/>
      <c r="AS65" s="1593"/>
      <c r="AT65" s="1593"/>
      <c r="AU65" s="1593"/>
      <c r="AV65" s="1593"/>
      <c r="AW65" s="1593"/>
      <c r="AX65" s="1593"/>
      <c r="AY65" s="1593"/>
      <c r="AZ65" s="1593"/>
      <c r="BA65" s="1593"/>
      <c r="BB65" s="1593"/>
      <c r="BC65" s="1593"/>
      <c r="BD65" s="1593"/>
    </row>
    <row r="66" spans="2:57" ht="13.5">
      <c r="B66" s="1567"/>
      <c r="C66" s="1402"/>
      <c r="D66" s="2148" t="s">
        <v>1796</v>
      </c>
      <c r="E66" s="1602">
        <f>H61-E67</f>
        <v>156800</v>
      </c>
      <c r="F66" s="1603">
        <f>H62</f>
        <v>0</v>
      </c>
      <c r="G66" s="1603">
        <f>H63</f>
        <v>35000</v>
      </c>
      <c r="H66" s="1604">
        <f>SUM(E66:G66)</f>
        <v>191800</v>
      </c>
      <c r="I66" s="1220"/>
      <c r="J66" s="1579"/>
      <c r="K66" s="1216"/>
      <c r="L66" s="1580"/>
      <c r="M66" s="1509" t="s">
        <v>381</v>
      </c>
      <c r="N66" s="2146">
        <f t="shared" si="26"/>
        <v>5202</v>
      </c>
      <c r="O66" s="1605"/>
      <c r="P66" s="1606"/>
      <c r="Q66" s="2147">
        <v>5900</v>
      </c>
      <c r="R66" s="1534">
        <f t="shared" si="25"/>
        <v>1823.7438605099996</v>
      </c>
      <c r="S66" s="1610">
        <v>0.02</v>
      </c>
      <c r="T66" s="1497">
        <v>1545.5456444999998</v>
      </c>
      <c r="U66" s="2145">
        <v>5000</v>
      </c>
      <c r="AH66" s="1593"/>
      <c r="AI66" s="1593"/>
      <c r="AJ66" s="1593"/>
      <c r="AK66" s="1593"/>
      <c r="AL66" s="1593"/>
      <c r="AM66" s="1593"/>
      <c r="AN66" s="1593"/>
      <c r="AO66" s="1593"/>
      <c r="AP66" s="1593"/>
      <c r="AQ66" s="1593"/>
      <c r="AR66" s="1593"/>
      <c r="AS66" s="1593"/>
      <c r="AT66" s="1593"/>
      <c r="AU66" s="1593"/>
      <c r="AV66" s="1593"/>
      <c r="AW66" s="1593"/>
      <c r="AX66" s="1593"/>
      <c r="AY66" s="1593"/>
      <c r="AZ66" s="1593"/>
      <c r="BA66" s="1593"/>
      <c r="BB66" s="1593"/>
      <c r="BC66" s="1593"/>
      <c r="BD66" s="1593"/>
    </row>
    <row r="67" spans="2:57" ht="13.5">
      <c r="B67" s="1567"/>
      <c r="C67" s="1402"/>
      <c r="D67" s="2148" t="s">
        <v>1797</v>
      </c>
      <c r="E67" s="2149">
        <v>86000</v>
      </c>
      <c r="F67" s="1609">
        <f>H62-F66</f>
        <v>0</v>
      </c>
      <c r="G67" s="1609">
        <f>H63-G66</f>
        <v>0</v>
      </c>
      <c r="H67" s="1604">
        <f>SUM(E67:G67)</f>
        <v>86000</v>
      </c>
      <c r="I67" s="1220"/>
      <c r="J67" s="1579"/>
      <c r="K67" s="1216"/>
      <c r="L67" s="1580"/>
      <c r="M67" s="1374" t="s">
        <v>382</v>
      </c>
      <c r="N67" s="2146">
        <f t="shared" si="26"/>
        <v>158.1155</v>
      </c>
      <c r="O67" s="1197"/>
      <c r="P67" s="2150">
        <v>12</v>
      </c>
      <c r="Q67" s="2144">
        <f>T67*$H$24/$P$63/12</f>
        <v>157.85458333333335</v>
      </c>
      <c r="R67" s="1534">
        <f t="shared" si="25"/>
        <v>48.794292747039123</v>
      </c>
      <c r="S67" s="1610">
        <v>0.01</v>
      </c>
      <c r="T67" s="1497">
        <v>48.794292747039123</v>
      </c>
      <c r="U67" s="2151">
        <v>155</v>
      </c>
      <c r="AH67" s="1593"/>
      <c r="AI67" s="1593"/>
      <c r="AJ67" s="1593"/>
      <c r="AK67" s="1593"/>
      <c r="AL67" s="1593"/>
      <c r="AM67" s="1593"/>
      <c r="AN67" s="1593"/>
      <c r="AO67" s="1593"/>
      <c r="AP67" s="1593"/>
      <c r="AQ67" s="1593"/>
      <c r="AR67" s="1593"/>
      <c r="AS67" s="1593"/>
      <c r="AT67" s="1593"/>
      <c r="AU67" s="1593"/>
      <c r="AV67" s="1593"/>
      <c r="AW67" s="1593"/>
      <c r="AX67" s="1593"/>
      <c r="AY67" s="1593"/>
      <c r="AZ67" s="1593"/>
      <c r="BA67" s="1593"/>
      <c r="BB67" s="1593"/>
      <c r="BC67" s="1593"/>
      <c r="BD67" s="1593"/>
    </row>
    <row r="68" spans="2:57" ht="13.5">
      <c r="B68" s="1567"/>
      <c r="C68" s="1402"/>
      <c r="D68" s="1612" t="s">
        <v>1798</v>
      </c>
      <c r="E68" s="1613">
        <f>SUM(E66:E67)</f>
        <v>242800</v>
      </c>
      <c r="F68" s="1614">
        <f>SUM(F66:F67)</f>
        <v>0</v>
      </c>
      <c r="G68" s="1614">
        <f>SUM(G66:G67)</f>
        <v>35000</v>
      </c>
      <c r="H68" s="1615">
        <f>SUM(H66:H67)</f>
        <v>277800</v>
      </c>
      <c r="I68" s="1220"/>
      <c r="J68" s="1579"/>
      <c r="K68" s="1216"/>
      <c r="L68" s="1580"/>
      <c r="M68" s="1509" t="s">
        <v>383</v>
      </c>
      <c r="N68" s="2146">
        <f t="shared" si="26"/>
        <v>1818.0449999999996</v>
      </c>
      <c r="O68" s="1616"/>
      <c r="P68" s="1617"/>
      <c r="Q68" s="2147">
        <v>2200</v>
      </c>
      <c r="R68" s="1534">
        <f t="shared" si="25"/>
        <v>680.04008357999987</v>
      </c>
      <c r="S68" s="1610">
        <v>5.0000000000000001E-3</v>
      </c>
      <c r="T68" s="1497">
        <v>561.50832423918359</v>
      </c>
      <c r="U68" s="2151">
        <v>1800</v>
      </c>
      <c r="AH68" s="1593"/>
      <c r="AI68" s="1593"/>
      <c r="AJ68" s="1593"/>
      <c r="AK68" s="1593"/>
      <c r="AL68" s="1593"/>
      <c r="AM68" s="1593"/>
      <c r="AN68" s="1593"/>
      <c r="AO68" s="1593"/>
      <c r="AP68" s="1593"/>
      <c r="AQ68" s="1593"/>
      <c r="AR68" s="1593"/>
      <c r="AS68" s="1593"/>
      <c r="AT68" s="1593"/>
      <c r="AU68" s="1593"/>
      <c r="AV68" s="1593"/>
      <c r="AW68" s="1593"/>
      <c r="AX68" s="1593"/>
      <c r="AY68" s="1593"/>
      <c r="AZ68" s="1593"/>
      <c r="BA68" s="1593"/>
      <c r="BB68" s="1593"/>
      <c r="BC68" s="1593"/>
      <c r="BD68" s="1593"/>
    </row>
    <row r="69" spans="2:57" ht="14.25" thickBot="1">
      <c r="B69" s="1216"/>
      <c r="C69" s="1463" t="s">
        <v>1799</v>
      </c>
      <c r="D69" s="1459"/>
      <c r="E69" s="1623"/>
      <c r="F69" s="1624"/>
      <c r="G69" s="1625"/>
      <c r="H69" s="1557">
        <f>SUM(H70:H73,H74)</f>
        <v>75731.127501999959</v>
      </c>
      <c r="I69" s="1220"/>
      <c r="J69" s="1579"/>
      <c r="K69" s="1216"/>
      <c r="L69" s="1580"/>
      <c r="M69" s="2152" t="s">
        <v>384</v>
      </c>
      <c r="N69" s="2146">
        <f t="shared" si="26"/>
        <v>0</v>
      </c>
      <c r="O69" s="1616"/>
      <c r="P69" s="1617"/>
      <c r="Q69" s="2144">
        <f>T69*$H$24/$P$63/12</f>
        <v>0</v>
      </c>
      <c r="R69" s="1534">
        <f t="shared" si="25"/>
        <v>0</v>
      </c>
      <c r="S69" s="1610">
        <v>0</v>
      </c>
      <c r="T69" s="1497"/>
      <c r="U69" s="2151">
        <v>0</v>
      </c>
      <c r="AH69" s="1593"/>
      <c r="AI69" s="1593"/>
      <c r="AJ69" s="1593"/>
      <c r="AK69" s="1593"/>
      <c r="AL69" s="1593"/>
      <c r="AM69" s="1593"/>
      <c r="AN69" s="1593"/>
      <c r="AO69" s="1593"/>
      <c r="AP69" s="1593"/>
      <c r="AQ69" s="1593"/>
      <c r="AR69" s="1593"/>
      <c r="AS69" s="1593"/>
      <c r="AT69" s="1593"/>
      <c r="AU69" s="1593"/>
      <c r="AV69" s="1593"/>
      <c r="AW69" s="1593"/>
      <c r="AX69" s="1593"/>
      <c r="AY69" s="1593"/>
      <c r="AZ69" s="1593"/>
      <c r="BA69" s="1593"/>
      <c r="BB69" s="1593"/>
      <c r="BC69" s="1593"/>
      <c r="BD69" s="1593"/>
    </row>
    <row r="70" spans="2:57" ht="13.5">
      <c r="B70" s="1216"/>
      <c r="C70" s="1402"/>
      <c r="D70" s="1241" t="s">
        <v>1800</v>
      </c>
      <c r="E70" s="1626"/>
      <c r="F70" s="1225" t="s">
        <v>1801</v>
      </c>
      <c r="G70" s="1225" t="s">
        <v>1802</v>
      </c>
      <c r="H70" s="1627">
        <f>G71</f>
        <v>7631.1275019999593</v>
      </c>
      <c r="I70" s="1220"/>
      <c r="J70" s="1579"/>
      <c r="K70" s="1216"/>
      <c r="L70" s="1580"/>
      <c r="M70" s="1509" t="s">
        <v>385</v>
      </c>
      <c r="N70" s="2146">
        <f t="shared" si="26"/>
        <v>102.01</v>
      </c>
      <c r="O70" s="1616"/>
      <c r="P70" s="1617"/>
      <c r="Q70" s="2147">
        <v>40</v>
      </c>
      <c r="R70" s="1534">
        <f t="shared" si="25"/>
        <v>12.364365156</v>
      </c>
      <c r="S70" s="1610">
        <v>0.01</v>
      </c>
      <c r="T70" s="1497">
        <v>31.4801888690575</v>
      </c>
      <c r="U70" s="2151">
        <v>100</v>
      </c>
      <c r="V70" s="1640"/>
      <c r="W70" s="1641"/>
      <c r="X70" s="1642" t="s">
        <v>1803</v>
      </c>
      <c r="Y70" s="1641"/>
      <c r="Z70" s="1641"/>
      <c r="AA70" s="1643"/>
      <c r="AH70" s="1593"/>
      <c r="AI70" s="1593"/>
      <c r="AJ70" s="1593"/>
      <c r="AK70" s="1593"/>
      <c r="AL70" s="1593"/>
      <c r="AM70" s="1593"/>
      <c r="AN70" s="1593"/>
      <c r="AO70" s="1593"/>
      <c r="AP70" s="1593"/>
      <c r="AQ70" s="1593"/>
      <c r="AR70" s="1593"/>
      <c r="AS70" s="1593"/>
      <c r="AT70" s="1593"/>
      <c r="AU70" s="1593"/>
      <c r="AV70" s="1593"/>
      <c r="AW70" s="1593"/>
      <c r="AX70" s="1593"/>
      <c r="AY70" s="1593"/>
      <c r="AZ70" s="1593"/>
      <c r="BA70" s="1593"/>
      <c r="BB70" s="1593"/>
      <c r="BC70" s="1593"/>
      <c r="BD70" s="1593"/>
    </row>
    <row r="71" spans="2:57" ht="14.25" thickBot="1">
      <c r="B71" s="1216"/>
      <c r="C71" s="1402"/>
      <c r="D71" s="1241"/>
      <c r="E71" s="1466" t="s">
        <v>1804</v>
      </c>
      <c r="F71" s="2153">
        <v>7631.1275020000003</v>
      </c>
      <c r="G71" s="1629">
        <v>7631.1275019999593</v>
      </c>
      <c r="H71" s="1630"/>
      <c r="I71" s="1220"/>
      <c r="J71" s="1579"/>
      <c r="K71" s="1216"/>
      <c r="L71" s="1580"/>
      <c r="M71" s="1509" t="s">
        <v>386</v>
      </c>
      <c r="N71" s="2146">
        <f t="shared" si="26"/>
        <v>56.105499999999999</v>
      </c>
      <c r="O71" s="1616"/>
      <c r="P71" s="1527"/>
      <c r="Q71" s="2144">
        <f>T71*$H$24/$P$63/12</f>
        <v>56.012916666666648</v>
      </c>
      <c r="R71" s="1534">
        <f t="shared" si="25"/>
        <v>17.314103877981619</v>
      </c>
      <c r="S71" s="1610">
        <v>0.01</v>
      </c>
      <c r="T71" s="1497">
        <v>17.314103877981619</v>
      </c>
      <c r="U71" s="2151">
        <v>55</v>
      </c>
      <c r="V71" s="1647"/>
      <c r="W71" s="1498"/>
      <c r="X71" s="1648">
        <v>5</v>
      </c>
      <c r="Y71" s="1649"/>
      <c r="Z71" s="1650">
        <v>5.1421438413005838E-2</v>
      </c>
      <c r="AA71" s="1651"/>
      <c r="AB71" s="356"/>
      <c r="AC71" s="356"/>
      <c r="AD71" s="356"/>
      <c r="AE71" s="356"/>
      <c r="AF71" s="356"/>
      <c r="AG71" s="356"/>
      <c r="AH71" s="1593"/>
      <c r="AI71" s="1593"/>
      <c r="AJ71" s="1593"/>
      <c r="AK71" s="1593"/>
      <c r="AL71" s="1593"/>
      <c r="AM71" s="1593"/>
      <c r="AN71" s="1593"/>
      <c r="AO71" s="1593"/>
      <c r="AP71" s="1593"/>
      <c r="AQ71" s="1593"/>
      <c r="AR71" s="1593"/>
      <c r="AS71" s="1593"/>
      <c r="AT71" s="1593"/>
      <c r="AU71" s="1593"/>
      <c r="AV71" s="1593"/>
      <c r="AW71" s="1593"/>
      <c r="AX71" s="1593"/>
      <c r="AY71" s="1593"/>
      <c r="AZ71" s="1593"/>
      <c r="BA71" s="1593"/>
      <c r="BB71" s="1593"/>
      <c r="BC71" s="1593"/>
      <c r="BD71" s="1593"/>
      <c r="BE71" s="356"/>
    </row>
    <row r="72" spans="2:57" ht="14.25" thickTop="1">
      <c r="B72" s="1216"/>
      <c r="C72" s="1402"/>
      <c r="D72" s="1241"/>
      <c r="E72" s="1631" t="s">
        <v>1805</v>
      </c>
      <c r="F72" s="2154">
        <v>6642.2481950000001</v>
      </c>
      <c r="G72" s="1632">
        <v>6642.248195000001</v>
      </c>
      <c r="H72" s="1633"/>
      <c r="I72" s="1220"/>
      <c r="J72" s="1579"/>
      <c r="K72" s="1216"/>
      <c r="L72" s="1580"/>
      <c r="M72" s="1197" t="s">
        <v>1806</v>
      </c>
      <c r="N72" s="2146"/>
      <c r="O72" s="1197"/>
      <c r="P72" s="1197"/>
      <c r="Q72" s="2155"/>
      <c r="R72" s="1534"/>
      <c r="S72" s="1610"/>
      <c r="T72" s="1497"/>
      <c r="U72" s="2156"/>
      <c r="V72" s="1647"/>
      <c r="W72" s="1498"/>
      <c r="X72" s="1658">
        <v>2024</v>
      </c>
      <c r="Y72" s="1509"/>
      <c r="Z72" s="1659">
        <f>Z71</f>
        <v>5.1421438413005838E-2</v>
      </c>
      <c r="AA72" s="1651"/>
      <c r="AB72" s="1498"/>
      <c r="AC72" s="1498"/>
      <c r="AH72" s="1593"/>
      <c r="AI72" s="1593"/>
      <c r="AJ72" s="1593"/>
      <c r="AK72" s="1593"/>
      <c r="AL72" s="1593"/>
      <c r="AM72" s="1593"/>
      <c r="AN72" s="1593"/>
      <c r="AO72" s="1593"/>
      <c r="AP72" s="1593"/>
      <c r="AQ72" s="1593"/>
      <c r="AR72" s="1593"/>
      <c r="AS72" s="1593"/>
      <c r="AT72" s="1593"/>
      <c r="AU72" s="1593"/>
      <c r="AV72" s="1593"/>
      <c r="AW72" s="1593"/>
      <c r="AX72" s="1593"/>
      <c r="AY72" s="1593"/>
      <c r="AZ72" s="1593"/>
      <c r="BA72" s="1593"/>
      <c r="BB72" s="1593"/>
      <c r="BC72" s="1593"/>
      <c r="BD72" s="1593"/>
    </row>
    <row r="73" spans="2:57" ht="13.5">
      <c r="B73" s="1216"/>
      <c r="C73" s="1402"/>
      <c r="D73" s="1241" t="s">
        <v>1807</v>
      </c>
      <c r="E73" s="1542"/>
      <c r="F73" s="2157"/>
      <c r="G73" s="2158" t="s">
        <v>1808</v>
      </c>
      <c r="H73" s="2159" t="s">
        <v>1809</v>
      </c>
      <c r="I73" s="1220"/>
      <c r="J73" s="1579"/>
      <c r="K73" s="1216"/>
      <c r="L73" s="1580"/>
      <c r="M73" s="1223" t="s">
        <v>1810</v>
      </c>
      <c r="N73" s="2146">
        <f t="shared" si="26"/>
        <v>145.65600000000001</v>
      </c>
      <c r="O73" s="1223"/>
      <c r="P73" s="1634"/>
      <c r="Q73" s="2144">
        <f>T73*$H$24/$P$63/12</f>
        <v>158.67281944904087</v>
      </c>
      <c r="R73" s="1534">
        <f>Q73*$P$63*12/$H$24</f>
        <v>49.047217000000003</v>
      </c>
      <c r="S73" s="1610">
        <v>0.02</v>
      </c>
      <c r="T73" s="1635">
        <v>49.047217000000003</v>
      </c>
      <c r="U73" s="2151">
        <v>140</v>
      </c>
      <c r="V73" s="1647"/>
      <c r="W73" s="1498"/>
      <c r="X73" s="1662">
        <f>X72+1</f>
        <v>2025</v>
      </c>
      <c r="Y73" s="1509"/>
      <c r="Z73" s="1659">
        <v>0.02</v>
      </c>
      <c r="AA73" s="1651"/>
      <c r="AB73" s="1498"/>
      <c r="AC73" s="1498"/>
      <c r="AH73" s="1593"/>
      <c r="AI73" s="1593"/>
      <c r="AJ73" s="1593"/>
      <c r="AK73" s="1593"/>
      <c r="AL73" s="1593"/>
      <c r="AM73" s="1593"/>
      <c r="AN73" s="1593"/>
      <c r="AO73" s="1593"/>
      <c r="AP73" s="1593"/>
      <c r="AQ73" s="1593"/>
      <c r="AR73" s="1593"/>
      <c r="AS73" s="1593"/>
      <c r="AT73" s="1593"/>
      <c r="AU73" s="1593"/>
      <c r="AV73" s="1593"/>
      <c r="AW73" s="1593"/>
      <c r="AX73" s="1593"/>
      <c r="AY73" s="1593"/>
      <c r="AZ73" s="1593"/>
      <c r="BA73" s="1593"/>
      <c r="BB73" s="1593"/>
      <c r="BC73" s="1593"/>
    </row>
    <row r="74" spans="2:57" ht="14.25" thickBot="1">
      <c r="B74" s="1216"/>
      <c r="C74" s="1402"/>
      <c r="D74" s="2160"/>
      <c r="E74" s="1652" t="s">
        <v>1811</v>
      </c>
      <c r="F74" s="2161"/>
      <c r="G74" s="2063">
        <v>443900</v>
      </c>
      <c r="H74" s="1570">
        <v>68100</v>
      </c>
      <c r="I74" s="1220"/>
      <c r="J74" s="1579"/>
      <c r="K74" s="1216"/>
      <c r="L74" s="1580"/>
      <c r="M74" s="1223" t="s">
        <v>1812</v>
      </c>
      <c r="N74" s="2146">
        <f>U74*(1+S74)^2</f>
        <v>163.35000000000002</v>
      </c>
      <c r="O74" s="1223"/>
      <c r="P74" s="1197"/>
      <c r="Q74" s="2144">
        <f>T74*$H$24/$P$63/12*1.1</f>
        <v>147.77799854231353</v>
      </c>
      <c r="R74" s="1534">
        <f>Q74*$P$63*12/$H$24</f>
        <v>45.679528399999995</v>
      </c>
      <c r="S74" s="1610">
        <v>0.1</v>
      </c>
      <c r="T74" s="1635">
        <v>41.526843999999997</v>
      </c>
      <c r="U74" s="2151">
        <v>135</v>
      </c>
      <c r="V74" s="1671"/>
      <c r="W74" s="1672"/>
      <c r="X74" s="1672"/>
      <c r="Y74" s="1672"/>
      <c r="Z74" s="1672"/>
      <c r="AA74" s="1673"/>
      <c r="AB74" s="1498"/>
      <c r="AC74" s="1498"/>
      <c r="AH74" s="1593"/>
      <c r="AI74" s="1593"/>
      <c r="AJ74" s="1593"/>
      <c r="AK74" s="1593"/>
      <c r="AL74" s="1593"/>
      <c r="AM74" s="1593"/>
      <c r="AN74" s="1593"/>
      <c r="AO74" s="1593"/>
      <c r="AP74" s="1593"/>
      <c r="AQ74" s="1593"/>
      <c r="AR74" s="1593"/>
      <c r="AS74" s="1593"/>
      <c r="AT74" s="1593"/>
      <c r="AU74" s="1593"/>
      <c r="AV74" s="1593"/>
      <c r="AW74" s="1593"/>
      <c r="AX74" s="1593"/>
      <c r="AY74" s="1593"/>
      <c r="AZ74" s="1593"/>
      <c r="BA74" s="1593"/>
      <c r="BB74" s="1593"/>
      <c r="BC74" s="1593"/>
    </row>
    <row r="75" spans="2:57" ht="13.5">
      <c r="B75" s="1216"/>
      <c r="C75" s="1402"/>
      <c r="D75" s="2162">
        <f>(G75+F72*0)/762000</f>
        <v>0.63779527559055116</v>
      </c>
      <c r="E75" s="1466" t="s">
        <v>1813</v>
      </c>
      <c r="F75" s="2163">
        <f>EOMONTH($H$13,36)</f>
        <v>45473</v>
      </c>
      <c r="G75" s="2164">
        <v>486000</v>
      </c>
      <c r="H75" s="2165">
        <v>52000</v>
      </c>
      <c r="I75" s="1220"/>
      <c r="J75" s="1579"/>
      <c r="K75" s="1216"/>
      <c r="L75" s="1197"/>
      <c r="M75" s="347" t="s">
        <v>1814</v>
      </c>
      <c r="N75" s="1637"/>
      <c r="O75" s="2166" t="s">
        <v>1815</v>
      </c>
      <c r="P75" s="1638">
        <v>2020</v>
      </c>
      <c r="Q75" s="2167">
        <v>2</v>
      </c>
      <c r="R75" s="1458"/>
      <c r="S75" s="1639"/>
      <c r="T75" s="1497"/>
      <c r="AB75" s="1498"/>
      <c r="AC75" s="1498"/>
      <c r="AH75" s="1593"/>
      <c r="AI75" s="1593"/>
      <c r="AJ75" s="1593"/>
      <c r="AK75" s="1593"/>
      <c r="AL75" s="1593"/>
      <c r="AM75" s="1593"/>
      <c r="AN75" s="1593"/>
      <c r="AO75" s="1593"/>
      <c r="AP75" s="1593"/>
      <c r="AQ75" s="1593"/>
      <c r="AR75" s="1593"/>
      <c r="AS75" s="1593"/>
      <c r="AT75" s="1593"/>
      <c r="AU75" s="1593"/>
      <c r="AV75" s="1593"/>
      <c r="AW75" s="1593"/>
      <c r="AX75" s="1593"/>
      <c r="AY75" s="1593"/>
      <c r="AZ75" s="1593"/>
      <c r="BA75" s="1593"/>
      <c r="BB75" s="1593"/>
      <c r="BC75" s="1593"/>
    </row>
    <row r="76" spans="2:57" ht="13.5">
      <c r="B76" s="1663"/>
      <c r="C76" s="1664"/>
      <c r="D76" s="2168">
        <f>(+F72*0+G75+H75)/762000</f>
        <v>0.70603674540682415</v>
      </c>
      <c r="E76" s="1466" t="s">
        <v>1816</v>
      </c>
      <c r="F76" s="2061">
        <f>EOMONTH(F75,24)</f>
        <v>46203</v>
      </c>
      <c r="G76" s="2063">
        <f>G75</f>
        <v>486000</v>
      </c>
      <c r="H76" s="1570">
        <f>H75</f>
        <v>52000</v>
      </c>
      <c r="I76" s="1665"/>
      <c r="J76" s="1579"/>
      <c r="K76" s="1216"/>
      <c r="L76" s="1197"/>
      <c r="M76" s="1644"/>
      <c r="N76" s="1499"/>
      <c r="O76" s="2169" t="s">
        <v>1817</v>
      </c>
      <c r="P76" s="1645">
        <f>P75+1</f>
        <v>2021</v>
      </c>
      <c r="Q76" s="2170">
        <v>1</v>
      </c>
      <c r="R76" s="2171">
        <f>YEAR(H15)</f>
        <v>2023</v>
      </c>
      <c r="S76" s="1646"/>
      <c r="T76" s="1497"/>
      <c r="AB76" s="1498"/>
      <c r="AC76" s="1498"/>
      <c r="AD76" s="1674"/>
      <c r="AE76" s="1675"/>
      <c r="AF76" s="1197"/>
      <c r="AH76" s="1593"/>
      <c r="AI76" s="1593"/>
      <c r="AJ76" s="1593"/>
      <c r="AK76" s="1593"/>
      <c r="AL76" s="1593"/>
      <c r="AM76" s="1593"/>
      <c r="AN76" s="1593"/>
      <c r="AO76" s="1593"/>
      <c r="AP76" s="1593"/>
      <c r="AQ76" s="1593"/>
      <c r="AR76" s="1593"/>
      <c r="AS76" s="1593"/>
      <c r="AT76" s="1593"/>
      <c r="AU76" s="1593"/>
      <c r="AV76" s="1593"/>
      <c r="AW76" s="1593"/>
      <c r="AX76" s="1593"/>
      <c r="AY76" s="1593"/>
      <c r="AZ76" s="1593"/>
      <c r="BA76" s="1593"/>
      <c r="BB76" s="1593"/>
      <c r="BC76" s="1593"/>
    </row>
    <row r="77" spans="2:57" ht="13.5">
      <c r="B77" s="1663"/>
      <c r="C77" s="1664"/>
      <c r="D77" s="2172"/>
      <c r="E77" s="1466" t="s">
        <v>1818</v>
      </c>
      <c r="F77" s="2061">
        <f>EOMONTH(F76,24)</f>
        <v>46934</v>
      </c>
      <c r="G77" s="2063">
        <f>G76+H76</f>
        <v>538000</v>
      </c>
      <c r="H77" s="1570">
        <v>0</v>
      </c>
      <c r="I77" s="1665"/>
      <c r="J77" s="1579"/>
      <c r="K77" s="1216"/>
      <c r="L77" s="1197"/>
      <c r="M77" s="1653" t="s">
        <v>1819</v>
      </c>
      <c r="N77" s="1241"/>
      <c r="O77" s="1495"/>
      <c r="P77" s="1654">
        <v>11286.29</v>
      </c>
      <c r="Q77" s="1655">
        <f>R77*$H$24/12/$P$63</f>
        <v>544.47018639442069</v>
      </c>
      <c r="R77" s="1656">
        <v>168.30070502840002</v>
      </c>
      <c r="S77" s="1657">
        <v>5.1421438413005838E-2</v>
      </c>
      <c r="T77" s="2173">
        <v>168.30071000000001</v>
      </c>
      <c r="V77" s="1197"/>
      <c r="W77" s="1509"/>
      <c r="X77" s="1197"/>
      <c r="Y77" s="1197"/>
      <c r="Z77" s="1197"/>
      <c r="AA77" s="1674"/>
      <c r="AB77" s="1674"/>
      <c r="AC77" s="1674"/>
      <c r="AD77" s="1674"/>
      <c r="AE77" s="1675"/>
      <c r="AF77" s="1197"/>
      <c r="AH77" s="1593"/>
      <c r="AI77" s="1593"/>
      <c r="AJ77" s="1593"/>
      <c r="AK77" s="1593"/>
      <c r="AL77" s="1593"/>
      <c r="AM77" s="1593"/>
      <c r="AN77" s="1593"/>
      <c r="AO77" s="1593"/>
      <c r="AP77" s="1593"/>
      <c r="AQ77" s="1593"/>
      <c r="AR77" s="1593"/>
      <c r="AS77" s="1593"/>
      <c r="AT77" s="1593"/>
      <c r="AU77" s="1593"/>
      <c r="AV77" s="1593"/>
      <c r="AW77" s="1593"/>
      <c r="AX77" s="1593"/>
      <c r="AY77" s="1593"/>
      <c r="AZ77" s="1593"/>
      <c r="BA77" s="1593"/>
      <c r="BB77" s="1593"/>
      <c r="BC77" s="1593"/>
    </row>
    <row r="78" spans="2:57" ht="13.5">
      <c r="B78" s="1663"/>
      <c r="C78" s="1664"/>
      <c r="D78" s="2172"/>
      <c r="E78" s="1652" t="s">
        <v>1820</v>
      </c>
      <c r="F78" s="2174">
        <v>3</v>
      </c>
      <c r="G78" s="2175"/>
      <c r="H78" s="2176"/>
      <c r="I78" s="1665"/>
      <c r="J78" s="1579"/>
      <c r="K78" s="1216"/>
      <c r="L78" s="1197"/>
      <c r="M78" s="1653" t="s">
        <v>1047</v>
      </c>
      <c r="N78" s="1241"/>
      <c r="O78" s="1495"/>
      <c r="P78" s="1660">
        <f>P77</f>
        <v>11286.29</v>
      </c>
      <c r="Q78" s="1655">
        <f>R78*$H$24/12/$P$63</f>
        <v>0</v>
      </c>
      <c r="R78" s="1656">
        <v>0</v>
      </c>
      <c r="S78" s="1661">
        <f>S77</f>
        <v>5.1421438413005838E-2</v>
      </c>
      <c r="T78" s="2177"/>
      <c r="V78" s="1197"/>
      <c r="W78" s="1509"/>
      <c r="X78" s="1197"/>
      <c r="Y78" s="1197"/>
      <c r="Z78" s="1197"/>
      <c r="AA78" s="1674"/>
      <c r="AB78" s="1674"/>
      <c r="AC78" s="1674"/>
      <c r="AD78" s="1674"/>
      <c r="AE78" s="1675"/>
      <c r="AF78" s="1197"/>
      <c r="AH78" s="1593"/>
      <c r="AI78" s="1593"/>
      <c r="AJ78" s="1593"/>
      <c r="AK78" s="1593"/>
      <c r="AL78" s="1593"/>
      <c r="AM78" s="1593"/>
      <c r="AN78" s="1593"/>
      <c r="AO78" s="1593"/>
      <c r="AP78" s="1593"/>
      <c r="AQ78" s="1593"/>
      <c r="AR78" s="1593"/>
      <c r="AS78" s="1593"/>
      <c r="AT78" s="1593"/>
      <c r="AU78" s="1593"/>
      <c r="AV78" s="1593"/>
      <c r="AW78" s="1593"/>
      <c r="AX78" s="1593"/>
      <c r="AY78" s="1593"/>
      <c r="AZ78" s="1593"/>
      <c r="BA78" s="1593"/>
      <c r="BB78" s="1593"/>
      <c r="BC78" s="1593"/>
    </row>
    <row r="79" spans="2:57" ht="13.5">
      <c r="B79" s="1216"/>
      <c r="C79" s="1402"/>
      <c r="D79" s="2178" t="s">
        <v>1821</v>
      </c>
      <c r="E79" s="1636" t="s">
        <v>1052</v>
      </c>
      <c r="F79" s="2179">
        <f>F75</f>
        <v>45473</v>
      </c>
      <c r="G79" s="2180">
        <v>2.5000000000000001E-2</v>
      </c>
      <c r="H79" s="2181">
        <v>0.04</v>
      </c>
      <c r="I79" s="1220"/>
      <c r="J79" s="1579"/>
      <c r="K79" s="1216"/>
      <c r="L79" s="1197"/>
      <c r="M79" s="1666" t="s">
        <v>1822</v>
      </c>
      <c r="N79" s="1667"/>
      <c r="O79" s="1668"/>
      <c r="P79" s="1669">
        <v>85154.03</v>
      </c>
      <c r="Q79" s="1560">
        <f>R79*$H$24/12/$P$63</f>
        <v>1089.7619006060609</v>
      </c>
      <c r="R79" s="1656">
        <v>336.85535180474784</v>
      </c>
      <c r="S79" s="1670">
        <v>2.6704189153420765E-2</v>
      </c>
      <c r="T79" s="2173">
        <v>360.71377999999999</v>
      </c>
      <c r="U79" s="356"/>
      <c r="AH79" s="1593"/>
      <c r="AI79" s="1593"/>
      <c r="AJ79" s="1593"/>
      <c r="AK79" s="1593"/>
      <c r="AL79" s="1593"/>
      <c r="AM79" s="1593"/>
      <c r="AN79" s="1593"/>
      <c r="AO79" s="1593"/>
      <c r="AP79" s="1593"/>
      <c r="AQ79" s="1593"/>
      <c r="AR79" s="1593"/>
      <c r="AS79" s="1593"/>
      <c r="AT79" s="1593"/>
      <c r="AU79" s="1593"/>
      <c r="AV79" s="1593"/>
      <c r="AW79" s="1593"/>
      <c r="AX79" s="1593"/>
      <c r="AY79" s="1593"/>
      <c r="AZ79" s="1593"/>
      <c r="BA79" s="1593"/>
      <c r="BB79" s="1593"/>
      <c r="BC79" s="1593"/>
    </row>
    <row r="80" spans="2:57" ht="13.5">
      <c r="B80" s="1216"/>
      <c r="C80" s="1402"/>
      <c r="D80" s="2182" t="s">
        <v>1823</v>
      </c>
      <c r="E80" s="2183">
        <f>EOMONTH(F79,1)</f>
        <v>45504</v>
      </c>
      <c r="F80" s="2184">
        <f>F76</f>
        <v>46203</v>
      </c>
      <c r="G80" s="2185" t="str">
        <f>CHOOSE(D81,"고정금리","변동금리")</f>
        <v>고정금리</v>
      </c>
      <c r="H80" s="2186">
        <v>7.0000000000000007E-2</v>
      </c>
      <c r="I80" s="1220"/>
      <c r="J80" s="1579"/>
      <c r="K80" s="1216"/>
      <c r="L80" s="1197" t="s">
        <v>1049</v>
      </c>
      <c r="M80" s="1486"/>
      <c r="N80" s="1486"/>
      <c r="O80" s="2187">
        <v>40</v>
      </c>
      <c r="Q80" s="1197" t="s">
        <v>1824</v>
      </c>
      <c r="R80" s="1676"/>
      <c r="S80" s="2188">
        <v>1</v>
      </c>
      <c r="T80" s="1678"/>
      <c r="U80" s="356"/>
      <c r="AH80" s="1593"/>
      <c r="AI80" s="1593"/>
      <c r="AJ80" s="1593"/>
      <c r="AK80" s="1593"/>
      <c r="AL80" s="1593"/>
      <c r="AM80" s="1593"/>
      <c r="AN80" s="1593"/>
      <c r="AO80" s="1593"/>
      <c r="AP80" s="1593"/>
      <c r="AQ80" s="1593"/>
      <c r="AR80" s="1593"/>
      <c r="AS80" s="1593"/>
      <c r="AT80" s="1593"/>
      <c r="AU80" s="1593"/>
      <c r="AV80" s="1593"/>
      <c r="AW80" s="1593"/>
      <c r="AX80" s="1593"/>
      <c r="AY80" s="1593"/>
      <c r="AZ80" s="1593"/>
      <c r="BA80" s="1593"/>
      <c r="BB80" s="1593"/>
      <c r="BC80" s="1593"/>
    </row>
    <row r="81" spans="2:16384" ht="13.5">
      <c r="B81" s="1216"/>
      <c r="C81" s="1402"/>
      <c r="D81" s="2189">
        <v>1</v>
      </c>
      <c r="E81" s="2183">
        <f>EOMONTH(F80,1)</f>
        <v>46234</v>
      </c>
      <c r="F81" s="2184">
        <f>F77</f>
        <v>46934</v>
      </c>
      <c r="G81" s="2190">
        <v>3.2500000000000001E-2</v>
      </c>
      <c r="H81" s="2191">
        <v>0.05</v>
      </c>
      <c r="I81" s="1220"/>
      <c r="J81" s="1579"/>
      <c r="K81" s="1216"/>
      <c r="L81" s="1495" t="s">
        <v>1825</v>
      </c>
      <c r="M81" s="1223"/>
      <c r="N81" s="1218"/>
      <c r="O81" s="2192">
        <v>2.3361111126879224</v>
      </c>
      <c r="P81" s="2193">
        <f>O81*12</f>
        <v>28.03333335225507</v>
      </c>
      <c r="Q81" s="2194">
        <f>G14</f>
        <v>28</v>
      </c>
      <c r="R81" s="2195"/>
      <c r="S81" s="1677"/>
      <c r="T81" s="1678"/>
      <c r="U81" s="356"/>
      <c r="AH81" s="1593"/>
      <c r="AI81" s="1593"/>
      <c r="AJ81" s="1593"/>
      <c r="AK81" s="1593"/>
      <c r="AL81" s="1593"/>
      <c r="AM81" s="1593"/>
      <c r="AN81" s="1593"/>
      <c r="AO81" s="1593"/>
      <c r="AP81" s="1593"/>
      <c r="AQ81" s="1593"/>
      <c r="AR81" s="1593"/>
      <c r="AS81" s="1593"/>
      <c r="AT81" s="1593"/>
      <c r="AU81" s="1593"/>
      <c r="AV81" s="1593"/>
      <c r="AW81" s="1593"/>
      <c r="AX81" s="1593"/>
      <c r="AY81" s="1593"/>
      <c r="AZ81" s="1593"/>
      <c r="BA81" s="1593"/>
      <c r="BB81" s="1593"/>
      <c r="BC81" s="1593"/>
    </row>
    <row r="82" spans="2:16384" ht="13.5">
      <c r="B82" s="1216"/>
      <c r="C82" s="1402"/>
      <c r="D82" s="2196"/>
      <c r="E82" s="2183">
        <f>EOMONTH(F81,1)</f>
        <v>46965</v>
      </c>
      <c r="F82" s="2197">
        <f>EOMONTH(F81,36)</f>
        <v>48029</v>
      </c>
      <c r="G82" s="2190">
        <v>2.5000000000000001E-2</v>
      </c>
      <c r="H82" s="2191">
        <v>0.04</v>
      </c>
      <c r="I82" s="1220"/>
      <c r="J82" s="1579"/>
      <c r="K82" s="1216"/>
      <c r="L82" s="1495" t="s">
        <v>1826</v>
      </c>
      <c r="M82" s="2198"/>
      <c r="N82" s="1223"/>
      <c r="O82" s="2192">
        <f>O80-O81</f>
        <v>37.663888887312076</v>
      </c>
      <c r="Q82" s="1197"/>
      <c r="R82" s="2195"/>
      <c r="S82" s="1677"/>
      <c r="T82" s="1678"/>
      <c r="U82" s="356"/>
      <c r="AH82" s="1593"/>
      <c r="AI82" s="1593"/>
      <c r="AJ82" s="1593"/>
      <c r="AK82" s="1593"/>
      <c r="AL82" s="1593"/>
      <c r="AM82" s="1593"/>
      <c r="AN82" s="1593"/>
      <c r="AO82" s="1593"/>
      <c r="AP82" s="1593"/>
      <c r="AQ82" s="1593"/>
      <c r="AR82" s="1593"/>
      <c r="AS82" s="1593"/>
      <c r="AT82" s="1593"/>
      <c r="AU82" s="1593"/>
      <c r="AV82" s="1593"/>
      <c r="AW82" s="1593"/>
      <c r="AX82" s="1593"/>
      <c r="AY82" s="1593"/>
      <c r="AZ82" s="1593"/>
      <c r="BA82" s="1593"/>
      <c r="BB82" s="1593"/>
      <c r="BC82" s="1593"/>
    </row>
    <row r="83" spans="2:16384" ht="13.5">
      <c r="B83" s="1216"/>
      <c r="C83" s="1402"/>
      <c r="D83" s="2199" t="s">
        <v>1827</v>
      </c>
      <c r="E83" s="1652" t="s">
        <v>1828</v>
      </c>
      <c r="F83" s="2200"/>
      <c r="G83" s="2190">
        <v>1</v>
      </c>
      <c r="H83" s="2191"/>
      <c r="I83" s="1220"/>
      <c r="J83" s="1579"/>
      <c r="K83" s="1448" t="s">
        <v>1829</v>
      </c>
      <c r="L83" s="1449"/>
      <c r="M83" s="1449"/>
      <c r="N83" s="1449"/>
      <c r="O83" s="1449"/>
      <c r="P83" s="1449"/>
      <c r="Q83" s="1449"/>
      <c r="R83" s="1449"/>
      <c r="S83" s="1449"/>
      <c r="T83" s="1449"/>
      <c r="U83" s="356"/>
      <c r="AH83" s="1593"/>
      <c r="AI83" s="1593"/>
      <c r="AJ83" s="1593"/>
      <c r="AK83" s="1593"/>
      <c r="AL83" s="1593"/>
      <c r="AM83" s="1593"/>
      <c r="AN83" s="1593"/>
      <c r="AO83" s="1593"/>
      <c r="AP83" s="2201"/>
      <c r="AQ83" s="2202"/>
      <c r="AR83" s="2203"/>
      <c r="AS83" s="1593"/>
      <c r="AT83" s="1593"/>
      <c r="AU83" s="1593"/>
      <c r="AV83" s="1593"/>
      <c r="AW83" s="1593"/>
      <c r="AX83" s="1593"/>
      <c r="AY83" s="1593"/>
      <c r="AZ83" s="1593"/>
      <c r="BA83" s="1593"/>
      <c r="BB83" s="1593"/>
      <c r="BC83" s="1593"/>
    </row>
    <row r="84" spans="2:16384" ht="13.5">
      <c r="B84" s="1216"/>
      <c r="C84" s="1402"/>
      <c r="D84" s="2063">
        <v>1400</v>
      </c>
      <c r="E84" s="1466" t="s">
        <v>1830</v>
      </c>
      <c r="F84" s="2204">
        <f>F79</f>
        <v>45473</v>
      </c>
      <c r="G84" s="2205">
        <v>1.7999999999999999E-2</v>
      </c>
      <c r="H84" s="2186">
        <v>0.01</v>
      </c>
      <c r="I84" s="1220"/>
      <c r="J84" s="1579"/>
      <c r="K84" s="1680"/>
      <c r="L84" s="1212" t="s">
        <v>1831</v>
      </c>
      <c r="M84" s="1456"/>
      <c r="N84" s="1456"/>
      <c r="O84" s="1456"/>
      <c r="P84" s="1456"/>
      <c r="Q84" s="1456">
        <v>1</v>
      </c>
      <c r="R84" s="1681">
        <f>S84/F7</f>
        <v>45.3181845215707</v>
      </c>
      <c r="S84" s="1682">
        <v>1167355.3783993484</v>
      </c>
      <c r="T84" s="1683"/>
      <c r="U84" s="356"/>
      <c r="AH84" s="1593"/>
      <c r="AI84" s="1593"/>
      <c r="AJ84" s="1593"/>
      <c r="AK84" s="1593"/>
      <c r="AL84" s="1593"/>
      <c r="AM84" s="1593"/>
      <c r="AN84" s="1593"/>
      <c r="AO84" s="1593"/>
      <c r="AP84" s="1593"/>
      <c r="AQ84" s="2206"/>
      <c r="AR84" s="1593"/>
      <c r="AS84" s="1593"/>
      <c r="AT84" s="1593"/>
      <c r="AU84" s="1593"/>
      <c r="AV84" s="1593"/>
      <c r="AW84" s="1593"/>
      <c r="AX84" s="1593"/>
      <c r="AY84" s="1593"/>
      <c r="AZ84" s="1593"/>
      <c r="BA84" s="1593"/>
      <c r="BB84" s="1593"/>
      <c r="BC84" s="1593"/>
    </row>
    <row r="85" spans="2:16384" ht="13.5">
      <c r="B85" s="1216"/>
      <c r="C85" s="1402"/>
      <c r="D85" s="2063">
        <v>500</v>
      </c>
      <c r="E85" s="1466" t="s">
        <v>1832</v>
      </c>
      <c r="F85" s="2204">
        <f>F80</f>
        <v>46203</v>
      </c>
      <c r="G85" s="2190">
        <v>1.4999999999999999E-2</v>
      </c>
      <c r="H85" s="2191">
        <v>0.01</v>
      </c>
      <c r="I85" s="1220"/>
      <c r="J85" s="1579"/>
      <c r="K85" s="1216"/>
      <c r="M85" s="1463" t="s">
        <v>1833</v>
      </c>
      <c r="N85" s="1459"/>
      <c r="O85" s="1459"/>
      <c r="P85" s="1459"/>
      <c r="Q85" s="1689"/>
      <c r="R85" s="2207">
        <v>3.4000000000000002E-2</v>
      </c>
      <c r="S85" s="1690">
        <v>1167355.3783993484</v>
      </c>
      <c r="T85" s="1220"/>
      <c r="U85" s="356"/>
      <c r="AH85" s="1593"/>
      <c r="AI85" s="1593"/>
      <c r="AJ85" s="1593"/>
      <c r="AK85" s="1593"/>
      <c r="AL85" s="1593"/>
      <c r="AM85" s="1593"/>
      <c r="AN85" s="1593"/>
      <c r="AO85" s="1593"/>
      <c r="AP85" s="1593"/>
      <c r="AQ85" s="2206"/>
      <c r="AR85" s="1593"/>
      <c r="AS85" s="1593"/>
      <c r="AT85" s="1593"/>
      <c r="AU85" s="1593"/>
      <c r="AV85" s="1593"/>
      <c r="AW85" s="1593"/>
      <c r="AX85" s="1593"/>
      <c r="AY85" s="1593"/>
      <c r="AZ85" s="1593"/>
      <c r="BA85" s="1593"/>
      <c r="BB85" s="1593"/>
      <c r="BC85" s="1593"/>
    </row>
    <row r="86" spans="2:16384" ht="13.5">
      <c r="B86" s="1216"/>
      <c r="C86" s="1481"/>
      <c r="D86" s="2071">
        <v>500</v>
      </c>
      <c r="E86" s="1631" t="s">
        <v>1834</v>
      </c>
      <c r="F86" s="2208">
        <f>F81</f>
        <v>46934</v>
      </c>
      <c r="G86" s="2209">
        <v>1.4999999999999999E-2</v>
      </c>
      <c r="H86" s="2210">
        <v>1.4999999999999999E-2</v>
      </c>
      <c r="I86" s="1220"/>
      <c r="J86" s="1579"/>
      <c r="K86" s="1216"/>
      <c r="M86" s="1402" t="s">
        <v>1835</v>
      </c>
      <c r="N86" s="1197"/>
      <c r="O86" s="1197"/>
      <c r="P86" s="1197"/>
      <c r="Q86" s="1197"/>
      <c r="R86" s="1698">
        <v>1</v>
      </c>
      <c r="S86" s="1699">
        <v>754636.96616800001</v>
      </c>
      <c r="T86" s="1220"/>
      <c r="U86" s="356"/>
      <c r="AH86" s="1593"/>
      <c r="AI86" s="1593"/>
      <c r="AJ86" s="1593"/>
      <c r="AK86" s="1593"/>
      <c r="AL86" s="1593"/>
      <c r="AM86" s="1593"/>
      <c r="AN86" s="1593"/>
      <c r="AO86" s="1593"/>
      <c r="AP86" s="1593"/>
      <c r="AQ86" s="2206"/>
      <c r="AR86" s="1593"/>
      <c r="AS86" s="1593"/>
      <c r="AT86" s="1593"/>
      <c r="AU86" s="1593"/>
      <c r="AV86" s="1593"/>
      <c r="AW86" s="1593"/>
      <c r="AX86" s="1593"/>
      <c r="AY86" s="1593"/>
      <c r="AZ86" s="1593"/>
      <c r="BA86" s="1593"/>
      <c r="BB86" s="1593"/>
      <c r="BC86" s="1593"/>
      <c r="BD86" s="1593"/>
    </row>
    <row r="87" spans="2:16384" ht="13.5">
      <c r="B87" s="1216"/>
      <c r="C87" s="1197"/>
      <c r="D87" s="2063"/>
      <c r="E87" s="1309"/>
      <c r="F87" s="2204"/>
      <c r="G87" s="2190"/>
      <c r="H87" s="2190"/>
      <c r="I87" s="1220"/>
      <c r="J87" s="1579"/>
      <c r="K87" s="1216"/>
      <c r="M87" s="1679" t="s">
        <v>981</v>
      </c>
      <c r="N87" s="1509"/>
      <c r="O87" s="1509"/>
      <c r="P87" s="1509"/>
      <c r="Q87" s="1197"/>
      <c r="R87" s="1698"/>
      <c r="S87" s="1699">
        <v>646405.50299524167</v>
      </c>
      <c r="T87" s="1220"/>
      <c r="U87" s="356"/>
      <c r="V87" s="356"/>
      <c r="W87" s="356"/>
      <c r="X87" s="356"/>
      <c r="Y87" s="356"/>
      <c r="Z87" s="356"/>
      <c r="AA87" s="356"/>
      <c r="AB87" s="356"/>
      <c r="AC87" s="356"/>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E87" s="356"/>
      <c r="BF87" s="356"/>
      <c r="BG87" s="356"/>
      <c r="BH87" s="356"/>
      <c r="BI87" s="356"/>
      <c r="BJ87" s="356"/>
      <c r="BK87" s="356"/>
      <c r="BL87" s="356"/>
      <c r="BM87" s="356"/>
      <c r="BN87" s="356"/>
      <c r="BO87" s="356"/>
      <c r="BP87" s="356"/>
      <c r="BQ87" s="356"/>
      <c r="BR87" s="356"/>
      <c r="BS87" s="356"/>
      <c r="BT87" s="356"/>
      <c r="BU87" s="356"/>
      <c r="BV87" s="356"/>
      <c r="BW87" s="356"/>
      <c r="BX87" s="356"/>
      <c r="BY87" s="356"/>
      <c r="BZ87" s="356"/>
      <c r="CA87" s="356"/>
      <c r="CB87" s="356"/>
      <c r="CC87" s="356"/>
      <c r="CD87" s="356"/>
      <c r="CE87" s="356"/>
      <c r="CF87" s="356"/>
      <c r="CG87" s="356"/>
      <c r="CH87" s="356"/>
      <c r="CI87" s="356"/>
      <c r="CJ87" s="356"/>
      <c r="CK87" s="356"/>
      <c r="CL87" s="356"/>
      <c r="CM87" s="356"/>
      <c r="CN87" s="356"/>
      <c r="CO87" s="356"/>
      <c r="CP87" s="356"/>
      <c r="CQ87" s="356"/>
      <c r="CR87" s="356"/>
      <c r="CS87" s="356"/>
      <c r="CT87" s="356"/>
      <c r="CU87" s="356"/>
      <c r="CV87" s="356"/>
      <c r="CW87" s="356"/>
      <c r="CX87" s="356"/>
      <c r="CY87" s="356"/>
      <c r="CZ87" s="356"/>
      <c r="DA87" s="356"/>
      <c r="DB87" s="356"/>
      <c r="DC87" s="356"/>
      <c r="DD87" s="356"/>
      <c r="DE87" s="356"/>
      <c r="DF87" s="356"/>
      <c r="DG87" s="356"/>
      <c r="DH87" s="356"/>
      <c r="DI87" s="356"/>
      <c r="DJ87" s="356"/>
      <c r="DK87" s="356"/>
      <c r="DL87" s="356"/>
      <c r="DM87" s="356"/>
      <c r="DN87" s="356"/>
      <c r="DO87" s="356"/>
      <c r="DP87" s="356"/>
      <c r="DQ87" s="356"/>
      <c r="DR87" s="356"/>
      <c r="DS87" s="356"/>
      <c r="DT87" s="356"/>
      <c r="DU87" s="356"/>
      <c r="DV87" s="356"/>
      <c r="DW87" s="356"/>
      <c r="DX87" s="356"/>
      <c r="DY87" s="356"/>
      <c r="DZ87" s="356"/>
      <c r="EA87" s="356"/>
      <c r="EB87" s="356"/>
      <c r="EC87" s="356"/>
      <c r="ED87" s="356"/>
      <c r="EE87" s="356"/>
      <c r="EF87" s="356"/>
      <c r="EG87" s="356"/>
      <c r="EH87" s="356"/>
      <c r="EI87" s="356"/>
      <c r="EJ87" s="356"/>
      <c r="EK87" s="356"/>
      <c r="EL87" s="356"/>
      <c r="EM87" s="356"/>
      <c r="EN87" s="356"/>
      <c r="EO87" s="356"/>
      <c r="EP87" s="356"/>
      <c r="EQ87" s="356"/>
      <c r="ER87" s="356"/>
      <c r="ES87" s="356"/>
      <c r="ET87" s="356"/>
      <c r="EU87" s="356"/>
      <c r="EV87" s="356"/>
      <c r="EW87" s="356"/>
      <c r="EX87" s="356"/>
      <c r="EY87" s="356"/>
      <c r="EZ87" s="356"/>
      <c r="FA87" s="356"/>
      <c r="FB87" s="356"/>
      <c r="FC87" s="356"/>
      <c r="FD87" s="356"/>
      <c r="FE87" s="356"/>
      <c r="FF87" s="356"/>
      <c r="FG87" s="356"/>
      <c r="FH87" s="356"/>
      <c r="FI87" s="356"/>
      <c r="FJ87" s="356"/>
      <c r="FK87" s="356"/>
      <c r="FL87" s="356"/>
      <c r="FM87" s="356"/>
      <c r="FN87" s="356"/>
      <c r="FO87" s="356"/>
      <c r="FP87" s="356"/>
      <c r="FQ87" s="356"/>
      <c r="FR87" s="356"/>
      <c r="FS87" s="356"/>
      <c r="FT87" s="356"/>
      <c r="FU87" s="356"/>
      <c r="FV87" s="356"/>
      <c r="FW87" s="356"/>
      <c r="FX87" s="356"/>
      <c r="FY87" s="356"/>
      <c r="FZ87" s="356"/>
      <c r="GA87" s="356"/>
      <c r="GB87" s="356"/>
      <c r="GC87" s="356"/>
      <c r="GD87" s="356"/>
      <c r="GE87" s="356"/>
      <c r="GF87" s="356"/>
      <c r="GG87" s="356"/>
      <c r="GH87" s="356"/>
      <c r="GI87" s="356"/>
      <c r="GJ87" s="356"/>
      <c r="GK87" s="356"/>
      <c r="GL87" s="356"/>
      <c r="GM87" s="356"/>
      <c r="GN87" s="356"/>
      <c r="GO87" s="356"/>
      <c r="GP87" s="356"/>
      <c r="GQ87" s="356"/>
      <c r="GR87" s="356"/>
      <c r="GS87" s="356"/>
      <c r="GT87" s="356"/>
      <c r="GU87" s="356"/>
      <c r="GV87" s="356"/>
      <c r="GW87" s="356"/>
      <c r="GX87" s="356"/>
      <c r="GY87" s="356"/>
      <c r="GZ87" s="356"/>
      <c r="HA87" s="356"/>
      <c r="HB87" s="356"/>
      <c r="HC87" s="356"/>
      <c r="HD87" s="356"/>
      <c r="HE87" s="356"/>
      <c r="HF87" s="356"/>
      <c r="HG87" s="356"/>
      <c r="HH87" s="356"/>
      <c r="HI87" s="356"/>
      <c r="HJ87" s="356"/>
      <c r="HK87" s="356"/>
      <c r="HL87" s="356"/>
      <c r="HM87" s="356"/>
      <c r="HN87" s="356"/>
      <c r="HO87" s="356"/>
      <c r="HP87" s="356"/>
      <c r="HQ87" s="356"/>
      <c r="HR87" s="356"/>
      <c r="HS87" s="356"/>
      <c r="HT87" s="356"/>
      <c r="HU87" s="356"/>
      <c r="HV87" s="356"/>
      <c r="HW87" s="356"/>
      <c r="HX87" s="356"/>
      <c r="HY87" s="356"/>
      <c r="HZ87" s="356"/>
      <c r="IA87" s="356"/>
      <c r="IB87" s="356"/>
      <c r="IC87" s="356"/>
      <c r="ID87" s="356"/>
      <c r="IE87" s="356"/>
      <c r="IF87" s="356"/>
      <c r="IG87" s="356"/>
      <c r="IH87" s="356"/>
      <c r="II87" s="356"/>
      <c r="IJ87" s="356"/>
      <c r="IK87" s="356"/>
      <c r="IL87" s="356"/>
      <c r="IM87" s="356"/>
      <c r="IN87" s="356"/>
      <c r="IO87" s="356"/>
      <c r="IP87" s="356"/>
      <c r="IQ87" s="356"/>
      <c r="IR87" s="356"/>
      <c r="IS87" s="356"/>
      <c r="IT87" s="356"/>
      <c r="IU87" s="356"/>
      <c r="IV87" s="356"/>
      <c r="IW87" s="356"/>
      <c r="IX87" s="356"/>
      <c r="IY87" s="356"/>
      <c r="IZ87" s="356"/>
      <c r="JA87" s="356"/>
      <c r="JB87" s="356"/>
      <c r="JC87" s="356"/>
      <c r="JD87" s="356"/>
      <c r="JE87" s="356"/>
      <c r="JF87" s="356"/>
      <c r="JG87" s="356"/>
      <c r="JH87" s="356"/>
      <c r="JI87" s="356"/>
      <c r="JJ87" s="356"/>
      <c r="JK87" s="356"/>
      <c r="JL87" s="356"/>
      <c r="JM87" s="356"/>
      <c r="JN87" s="356"/>
      <c r="JO87" s="356"/>
      <c r="JP87" s="356"/>
      <c r="JQ87" s="356"/>
      <c r="JR87" s="356"/>
      <c r="JS87" s="356"/>
      <c r="JT87" s="356"/>
      <c r="JU87" s="356"/>
      <c r="JV87" s="356"/>
      <c r="JW87" s="356"/>
      <c r="JX87" s="356"/>
      <c r="JY87" s="356"/>
      <c r="JZ87" s="356"/>
      <c r="KA87" s="356"/>
      <c r="KB87" s="356"/>
      <c r="KC87" s="356"/>
      <c r="KD87" s="356"/>
      <c r="KE87" s="356"/>
      <c r="KF87" s="356"/>
      <c r="KG87" s="356"/>
      <c r="KH87" s="356"/>
      <c r="KI87" s="356"/>
      <c r="KJ87" s="356"/>
      <c r="KK87" s="356"/>
      <c r="KL87" s="356"/>
      <c r="KM87" s="356"/>
      <c r="KN87" s="356"/>
      <c r="KO87" s="356"/>
      <c r="KP87" s="356"/>
      <c r="KQ87" s="356"/>
      <c r="KR87" s="356"/>
      <c r="KS87" s="356"/>
      <c r="KT87" s="356"/>
      <c r="KU87" s="356"/>
      <c r="KV87" s="356"/>
      <c r="KW87" s="356"/>
      <c r="KX87" s="356"/>
      <c r="KY87" s="356"/>
      <c r="KZ87" s="356"/>
      <c r="LA87" s="356"/>
      <c r="LB87" s="356"/>
      <c r="LC87" s="356"/>
      <c r="LD87" s="356"/>
      <c r="LE87" s="356"/>
      <c r="LF87" s="356"/>
      <c r="LG87" s="356"/>
      <c r="LH87" s="356"/>
      <c r="LI87" s="356"/>
      <c r="LJ87" s="356"/>
      <c r="LK87" s="356"/>
      <c r="LL87" s="356"/>
      <c r="LM87" s="356"/>
      <c r="LN87" s="356"/>
      <c r="LO87" s="356"/>
      <c r="LP87" s="356"/>
      <c r="LQ87" s="356"/>
      <c r="LR87" s="356"/>
      <c r="LS87" s="356"/>
      <c r="LT87" s="356"/>
      <c r="LU87" s="356"/>
      <c r="LV87" s="356"/>
      <c r="LW87" s="356"/>
      <c r="LX87" s="356"/>
      <c r="LY87" s="356"/>
      <c r="LZ87" s="356"/>
      <c r="MA87" s="356"/>
      <c r="MB87" s="356"/>
      <c r="MC87" s="356"/>
      <c r="MD87" s="356"/>
      <c r="ME87" s="356"/>
      <c r="MF87" s="356"/>
      <c r="MG87" s="356"/>
      <c r="MH87" s="356"/>
      <c r="MI87" s="356"/>
      <c r="MJ87" s="356"/>
      <c r="MK87" s="356"/>
      <c r="ML87" s="356"/>
      <c r="MM87" s="356"/>
      <c r="MN87" s="356"/>
      <c r="MO87" s="356"/>
      <c r="MP87" s="356"/>
      <c r="MQ87" s="356"/>
      <c r="MR87" s="356"/>
      <c r="MS87" s="356"/>
      <c r="MT87" s="356"/>
      <c r="MU87" s="356"/>
      <c r="MV87" s="356"/>
      <c r="MW87" s="356"/>
      <c r="MX87" s="356"/>
      <c r="MY87" s="356"/>
      <c r="MZ87" s="356"/>
      <c r="NA87" s="356"/>
      <c r="NB87" s="356"/>
      <c r="NC87" s="356"/>
      <c r="ND87" s="356"/>
      <c r="NE87" s="356"/>
      <c r="NF87" s="356"/>
      <c r="NG87" s="356"/>
      <c r="NH87" s="356"/>
      <c r="NI87" s="356"/>
      <c r="NJ87" s="356"/>
      <c r="NK87" s="356"/>
      <c r="NL87" s="356"/>
      <c r="NM87" s="356"/>
      <c r="NN87" s="356"/>
      <c r="NO87" s="356"/>
      <c r="NP87" s="356"/>
      <c r="NQ87" s="356"/>
      <c r="NR87" s="356"/>
      <c r="NS87" s="356"/>
      <c r="NT87" s="356"/>
      <c r="NU87" s="356"/>
      <c r="NV87" s="356"/>
      <c r="NW87" s="356"/>
      <c r="NX87" s="356"/>
      <c r="NY87" s="356"/>
      <c r="NZ87" s="356"/>
      <c r="OA87" s="356"/>
      <c r="OB87" s="356"/>
      <c r="OC87" s="356"/>
      <c r="OD87" s="356"/>
      <c r="OE87" s="356"/>
      <c r="OF87" s="356"/>
      <c r="OG87" s="356"/>
      <c r="OH87" s="356"/>
      <c r="OI87" s="356"/>
      <c r="OJ87" s="356"/>
      <c r="OK87" s="356"/>
      <c r="OL87" s="356"/>
      <c r="OM87" s="356"/>
      <c r="ON87" s="356"/>
      <c r="OO87" s="356"/>
      <c r="OP87" s="356"/>
      <c r="OQ87" s="356"/>
      <c r="OR87" s="356"/>
      <c r="OS87" s="356"/>
      <c r="OT87" s="356"/>
      <c r="OU87" s="356"/>
      <c r="OV87" s="356"/>
      <c r="OW87" s="356"/>
      <c r="OX87" s="356"/>
      <c r="OY87" s="356"/>
      <c r="OZ87" s="356"/>
      <c r="PA87" s="356"/>
      <c r="PB87" s="356"/>
      <c r="PC87" s="356"/>
      <c r="PD87" s="356"/>
      <c r="PE87" s="356"/>
      <c r="PF87" s="356"/>
      <c r="PG87" s="356"/>
      <c r="PH87" s="356"/>
      <c r="PI87" s="356"/>
      <c r="PJ87" s="356"/>
      <c r="PK87" s="356"/>
      <c r="PL87" s="356"/>
      <c r="PM87" s="356"/>
      <c r="PN87" s="356"/>
      <c r="PO87" s="356"/>
      <c r="PP87" s="356"/>
      <c r="PQ87" s="356"/>
      <c r="PR87" s="356"/>
      <c r="PS87" s="356"/>
      <c r="PT87" s="356"/>
      <c r="PU87" s="356"/>
      <c r="PV87" s="356"/>
      <c r="PW87" s="356"/>
      <c r="PX87" s="356"/>
      <c r="PY87" s="356"/>
      <c r="PZ87" s="356"/>
      <c r="QA87" s="356"/>
      <c r="QB87" s="356"/>
      <c r="QC87" s="356"/>
      <c r="QD87" s="356"/>
      <c r="QE87" s="356"/>
      <c r="QF87" s="356"/>
      <c r="QG87" s="356"/>
      <c r="QH87" s="356"/>
      <c r="QI87" s="356"/>
      <c r="QJ87" s="356"/>
      <c r="QK87" s="356"/>
      <c r="QL87" s="356"/>
      <c r="QM87" s="356"/>
      <c r="QN87" s="356"/>
      <c r="QO87" s="356"/>
      <c r="QP87" s="356"/>
      <c r="QQ87" s="356"/>
      <c r="QR87" s="356"/>
      <c r="QS87" s="356"/>
      <c r="QT87" s="356"/>
      <c r="QU87" s="356"/>
      <c r="QV87" s="356"/>
      <c r="QW87" s="356"/>
      <c r="QX87" s="356"/>
      <c r="QY87" s="356"/>
      <c r="QZ87" s="356"/>
      <c r="RA87" s="356"/>
      <c r="RB87" s="356"/>
      <c r="RC87" s="356"/>
      <c r="RD87" s="356"/>
      <c r="RE87" s="356"/>
      <c r="RF87" s="356"/>
      <c r="RG87" s="356"/>
      <c r="RH87" s="356"/>
      <c r="RI87" s="356"/>
      <c r="RJ87" s="356"/>
      <c r="RK87" s="356"/>
      <c r="RL87" s="356"/>
      <c r="RM87" s="356"/>
      <c r="RN87" s="356"/>
      <c r="RO87" s="356"/>
      <c r="RP87" s="356"/>
      <c r="RQ87" s="356"/>
      <c r="RR87" s="356"/>
      <c r="RS87" s="356"/>
      <c r="RT87" s="356"/>
      <c r="RU87" s="356"/>
      <c r="RV87" s="356"/>
      <c r="RW87" s="356"/>
      <c r="RX87" s="356"/>
      <c r="RY87" s="356"/>
      <c r="RZ87" s="356"/>
      <c r="SA87" s="356"/>
      <c r="SB87" s="356"/>
      <c r="SC87" s="356"/>
      <c r="SD87" s="356"/>
      <c r="SE87" s="356"/>
      <c r="SF87" s="356"/>
      <c r="SG87" s="356"/>
      <c r="SH87" s="356"/>
      <c r="SI87" s="356"/>
      <c r="SJ87" s="356"/>
      <c r="SK87" s="356"/>
      <c r="SL87" s="356"/>
      <c r="SM87" s="356"/>
      <c r="SN87" s="356"/>
      <c r="SO87" s="356"/>
      <c r="SP87" s="356"/>
      <c r="SQ87" s="356"/>
      <c r="SR87" s="356"/>
      <c r="SS87" s="356"/>
      <c r="ST87" s="356"/>
      <c r="SU87" s="356"/>
      <c r="SV87" s="356"/>
      <c r="SW87" s="356"/>
      <c r="SX87" s="356"/>
      <c r="SY87" s="356"/>
      <c r="SZ87" s="356"/>
      <c r="TA87" s="356"/>
      <c r="TB87" s="356"/>
      <c r="TC87" s="356"/>
      <c r="TD87" s="356"/>
      <c r="TE87" s="356"/>
      <c r="TF87" s="356"/>
      <c r="TG87" s="356"/>
      <c r="TH87" s="356"/>
      <c r="TI87" s="356"/>
      <c r="TJ87" s="356"/>
      <c r="TK87" s="356"/>
      <c r="TL87" s="356"/>
      <c r="TM87" s="356"/>
      <c r="TN87" s="356"/>
      <c r="TO87" s="356"/>
      <c r="TP87" s="356"/>
      <c r="TQ87" s="356"/>
      <c r="TR87" s="356"/>
      <c r="TS87" s="356"/>
      <c r="TT87" s="356"/>
      <c r="TU87" s="356"/>
      <c r="TV87" s="356"/>
      <c r="TW87" s="356"/>
      <c r="TX87" s="356"/>
      <c r="TY87" s="356"/>
      <c r="TZ87" s="356"/>
      <c r="UA87" s="356"/>
      <c r="UB87" s="356"/>
      <c r="UC87" s="356"/>
      <c r="UD87" s="356"/>
      <c r="UE87" s="356"/>
      <c r="UF87" s="356"/>
      <c r="UG87" s="356"/>
      <c r="UH87" s="356"/>
      <c r="UI87" s="356"/>
      <c r="UJ87" s="356"/>
      <c r="UK87" s="356"/>
      <c r="UL87" s="356"/>
      <c r="UM87" s="356"/>
      <c r="UN87" s="356"/>
      <c r="UO87" s="356"/>
      <c r="UP87" s="356"/>
      <c r="UQ87" s="356"/>
      <c r="UR87" s="356"/>
      <c r="US87" s="356"/>
      <c r="UT87" s="356"/>
      <c r="UU87" s="356"/>
      <c r="UV87" s="356"/>
      <c r="UW87" s="356"/>
      <c r="UX87" s="356"/>
      <c r="UY87" s="356"/>
      <c r="UZ87" s="356"/>
      <c r="VA87" s="356"/>
      <c r="VB87" s="356"/>
      <c r="VC87" s="356"/>
      <c r="VD87" s="356"/>
      <c r="VE87" s="356"/>
      <c r="VF87" s="356"/>
      <c r="VG87" s="356"/>
      <c r="VH87" s="356"/>
      <c r="VI87" s="356"/>
      <c r="VJ87" s="356"/>
      <c r="VK87" s="356"/>
      <c r="VL87" s="356"/>
      <c r="VM87" s="356"/>
      <c r="VN87" s="356"/>
      <c r="VO87" s="356"/>
      <c r="VP87" s="356"/>
      <c r="VQ87" s="356"/>
      <c r="VR87" s="356"/>
      <c r="VS87" s="356"/>
      <c r="VT87" s="356"/>
      <c r="VU87" s="356"/>
      <c r="VV87" s="356"/>
      <c r="VW87" s="356"/>
      <c r="VX87" s="356"/>
      <c r="VY87" s="356"/>
      <c r="VZ87" s="356"/>
      <c r="WA87" s="356"/>
      <c r="WB87" s="356"/>
      <c r="WC87" s="356"/>
      <c r="WD87" s="356"/>
      <c r="WE87" s="356"/>
      <c r="WF87" s="356"/>
      <c r="WG87" s="356"/>
      <c r="WH87" s="356"/>
      <c r="WI87" s="356"/>
      <c r="WJ87" s="356"/>
      <c r="WK87" s="356"/>
      <c r="WL87" s="356"/>
      <c r="WM87" s="356"/>
      <c r="WN87" s="356"/>
      <c r="WO87" s="356"/>
      <c r="WP87" s="356"/>
      <c r="WQ87" s="356"/>
      <c r="WR87" s="356"/>
      <c r="WS87" s="356"/>
      <c r="WT87" s="356"/>
      <c r="WU87" s="356"/>
      <c r="WV87" s="356"/>
      <c r="WW87" s="356"/>
      <c r="WX87" s="356"/>
      <c r="WY87" s="356"/>
      <c r="WZ87" s="356"/>
      <c r="XA87" s="356"/>
      <c r="XB87" s="356"/>
      <c r="XC87" s="356"/>
      <c r="XD87" s="356"/>
      <c r="XE87" s="356"/>
      <c r="XF87" s="356"/>
      <c r="XG87" s="356"/>
      <c r="XH87" s="356"/>
      <c r="XI87" s="356"/>
      <c r="XJ87" s="356"/>
      <c r="XK87" s="356"/>
      <c r="XL87" s="356"/>
      <c r="XM87" s="356"/>
      <c r="XN87" s="356"/>
      <c r="XO87" s="356"/>
      <c r="XP87" s="356"/>
      <c r="XQ87" s="356"/>
      <c r="XR87" s="356"/>
      <c r="XS87" s="356"/>
      <c r="XT87" s="356"/>
      <c r="XU87" s="356"/>
      <c r="XV87" s="356"/>
      <c r="XW87" s="356"/>
      <c r="XX87" s="356"/>
      <c r="XY87" s="356"/>
      <c r="XZ87" s="356"/>
      <c r="YA87" s="356"/>
      <c r="YB87" s="356"/>
      <c r="YC87" s="356"/>
      <c r="YD87" s="356"/>
      <c r="YE87" s="356"/>
      <c r="YF87" s="356"/>
      <c r="YG87" s="356"/>
      <c r="YH87" s="356"/>
      <c r="YI87" s="356"/>
      <c r="YJ87" s="356"/>
      <c r="YK87" s="356"/>
      <c r="YL87" s="356"/>
      <c r="YM87" s="356"/>
      <c r="YN87" s="356"/>
      <c r="YO87" s="356"/>
      <c r="YP87" s="356"/>
      <c r="YQ87" s="356"/>
      <c r="YR87" s="356"/>
      <c r="YS87" s="356"/>
      <c r="YT87" s="356"/>
      <c r="YU87" s="356"/>
      <c r="YV87" s="356"/>
      <c r="YW87" s="356"/>
      <c r="YX87" s="356"/>
      <c r="YY87" s="356"/>
      <c r="YZ87" s="356"/>
      <c r="ZA87" s="356"/>
      <c r="ZB87" s="356"/>
      <c r="ZC87" s="356"/>
      <c r="ZD87" s="356"/>
      <c r="ZE87" s="356"/>
      <c r="ZF87" s="356"/>
      <c r="ZG87" s="356"/>
      <c r="ZH87" s="356"/>
      <c r="ZI87" s="356"/>
      <c r="ZJ87" s="356"/>
      <c r="ZK87" s="356"/>
      <c r="ZL87" s="356"/>
      <c r="ZM87" s="356"/>
      <c r="ZN87" s="356"/>
      <c r="ZO87" s="356"/>
      <c r="ZP87" s="356"/>
      <c r="ZQ87" s="356"/>
      <c r="ZR87" s="356"/>
      <c r="ZS87" s="356"/>
      <c r="ZT87" s="356"/>
      <c r="ZU87" s="356"/>
      <c r="ZV87" s="356"/>
      <c r="ZW87" s="356"/>
      <c r="ZX87" s="356"/>
      <c r="ZY87" s="356"/>
      <c r="ZZ87" s="356"/>
      <c r="AAA87" s="356"/>
      <c r="AAB87" s="356"/>
      <c r="AAC87" s="356"/>
      <c r="AAD87" s="356"/>
      <c r="AAE87" s="356"/>
      <c r="AAF87" s="356"/>
      <c r="AAG87" s="356"/>
      <c r="AAH87" s="356"/>
      <c r="AAI87" s="356"/>
      <c r="AAJ87" s="356"/>
      <c r="AAK87" s="356"/>
      <c r="AAL87" s="356"/>
      <c r="AAM87" s="356"/>
      <c r="AAN87" s="356"/>
      <c r="AAO87" s="356"/>
      <c r="AAP87" s="356"/>
      <c r="AAQ87" s="356"/>
      <c r="AAR87" s="356"/>
      <c r="AAS87" s="356"/>
      <c r="AAT87" s="356"/>
      <c r="AAU87" s="356"/>
      <c r="AAV87" s="356"/>
      <c r="AAW87" s="356"/>
      <c r="AAX87" s="356"/>
      <c r="AAY87" s="356"/>
      <c r="AAZ87" s="356"/>
      <c r="ABA87" s="356"/>
      <c r="ABB87" s="356"/>
      <c r="ABC87" s="356"/>
      <c r="ABD87" s="356"/>
      <c r="ABE87" s="356"/>
      <c r="ABF87" s="356"/>
      <c r="ABG87" s="356"/>
      <c r="ABH87" s="356"/>
      <c r="ABI87" s="356"/>
      <c r="ABJ87" s="356"/>
      <c r="ABK87" s="356"/>
      <c r="ABL87" s="356"/>
      <c r="ABM87" s="356"/>
      <c r="ABN87" s="356"/>
      <c r="ABO87" s="356"/>
      <c r="ABP87" s="356"/>
      <c r="ABQ87" s="356"/>
      <c r="ABR87" s="356"/>
      <c r="ABS87" s="356"/>
      <c r="ABT87" s="356"/>
      <c r="ABU87" s="356"/>
      <c r="ABV87" s="356"/>
      <c r="ABW87" s="356"/>
      <c r="ABX87" s="356"/>
      <c r="ABY87" s="356"/>
      <c r="ABZ87" s="356"/>
      <c r="ACA87" s="356"/>
      <c r="ACB87" s="356"/>
      <c r="ACC87" s="356"/>
      <c r="ACD87" s="356"/>
      <c r="ACE87" s="356"/>
      <c r="ACF87" s="356"/>
      <c r="ACG87" s="356"/>
      <c r="ACH87" s="356"/>
      <c r="ACI87" s="356"/>
      <c r="ACJ87" s="356"/>
      <c r="ACK87" s="356"/>
      <c r="ACL87" s="356"/>
      <c r="ACM87" s="356"/>
      <c r="ACN87" s="356"/>
      <c r="ACO87" s="356"/>
      <c r="ACP87" s="356"/>
      <c r="ACQ87" s="356"/>
      <c r="ACR87" s="356"/>
      <c r="ACS87" s="356"/>
      <c r="ACT87" s="356"/>
      <c r="ACU87" s="356"/>
      <c r="ACV87" s="356"/>
      <c r="ACW87" s="356"/>
      <c r="ACX87" s="356"/>
      <c r="ACY87" s="356"/>
      <c r="ACZ87" s="356"/>
      <c r="ADA87" s="356"/>
      <c r="ADB87" s="356"/>
      <c r="ADC87" s="356"/>
      <c r="ADD87" s="356"/>
      <c r="ADE87" s="356"/>
      <c r="ADF87" s="356"/>
      <c r="ADG87" s="356"/>
      <c r="ADH87" s="356"/>
      <c r="ADI87" s="356"/>
      <c r="ADJ87" s="356"/>
      <c r="ADK87" s="356"/>
      <c r="ADL87" s="356"/>
      <c r="ADM87" s="356"/>
      <c r="ADN87" s="356"/>
      <c r="ADO87" s="356"/>
      <c r="ADP87" s="356"/>
      <c r="ADQ87" s="356"/>
      <c r="ADR87" s="356"/>
      <c r="ADS87" s="356"/>
      <c r="ADT87" s="356"/>
      <c r="ADU87" s="356"/>
      <c r="ADV87" s="356"/>
      <c r="ADW87" s="356"/>
      <c r="ADX87" s="356"/>
      <c r="ADY87" s="356"/>
      <c r="ADZ87" s="356"/>
      <c r="AEA87" s="356"/>
      <c r="AEB87" s="356"/>
      <c r="AEC87" s="356"/>
      <c r="AED87" s="356"/>
      <c r="AEE87" s="356"/>
      <c r="AEF87" s="356"/>
      <c r="AEG87" s="356"/>
      <c r="AEH87" s="356"/>
      <c r="AEI87" s="356"/>
      <c r="AEJ87" s="356"/>
      <c r="AEK87" s="356"/>
      <c r="AEL87" s="356"/>
      <c r="AEM87" s="356"/>
      <c r="AEN87" s="356"/>
      <c r="AEO87" s="356"/>
      <c r="AEP87" s="356"/>
      <c r="AEQ87" s="356"/>
      <c r="AER87" s="356"/>
      <c r="AES87" s="356"/>
      <c r="AET87" s="356"/>
      <c r="AEU87" s="356"/>
      <c r="AEV87" s="356"/>
      <c r="AEW87" s="356"/>
      <c r="AEX87" s="356"/>
      <c r="AEY87" s="356"/>
      <c r="AEZ87" s="356"/>
      <c r="AFA87" s="356"/>
      <c r="AFB87" s="356"/>
      <c r="AFC87" s="356"/>
      <c r="AFD87" s="356"/>
      <c r="AFE87" s="356"/>
      <c r="AFF87" s="356"/>
      <c r="AFG87" s="356"/>
      <c r="AFH87" s="356"/>
      <c r="AFI87" s="356"/>
      <c r="AFJ87" s="356"/>
      <c r="AFK87" s="356"/>
      <c r="AFL87" s="356"/>
      <c r="AFM87" s="356"/>
      <c r="AFN87" s="356"/>
      <c r="AFO87" s="356"/>
      <c r="AFP87" s="356"/>
      <c r="AFQ87" s="356"/>
      <c r="AFR87" s="356"/>
      <c r="AFS87" s="356"/>
      <c r="AFT87" s="356"/>
      <c r="AFU87" s="356"/>
      <c r="AFV87" s="356"/>
      <c r="AFW87" s="356"/>
      <c r="AFX87" s="356"/>
      <c r="AFY87" s="356"/>
      <c r="AFZ87" s="356"/>
      <c r="AGA87" s="356"/>
      <c r="AGB87" s="356"/>
      <c r="AGC87" s="356"/>
      <c r="AGD87" s="356"/>
      <c r="AGE87" s="356"/>
      <c r="AGF87" s="356"/>
      <c r="AGG87" s="356"/>
      <c r="AGH87" s="356"/>
      <c r="AGI87" s="356"/>
      <c r="AGJ87" s="356"/>
      <c r="AGK87" s="356"/>
      <c r="AGL87" s="356"/>
      <c r="AGM87" s="356"/>
      <c r="AGN87" s="356"/>
      <c r="AGO87" s="356"/>
      <c r="AGP87" s="356"/>
      <c r="AGQ87" s="356"/>
      <c r="AGR87" s="356"/>
      <c r="AGS87" s="356"/>
      <c r="AGT87" s="356"/>
      <c r="AGU87" s="356"/>
      <c r="AGV87" s="356"/>
      <c r="AGW87" s="356"/>
      <c r="AGX87" s="356"/>
      <c r="AGY87" s="356"/>
      <c r="AGZ87" s="356"/>
      <c r="AHA87" s="356"/>
      <c r="AHB87" s="356"/>
      <c r="AHC87" s="356"/>
      <c r="AHD87" s="356"/>
      <c r="AHE87" s="356"/>
      <c r="AHF87" s="356"/>
      <c r="AHG87" s="356"/>
      <c r="AHH87" s="356"/>
      <c r="AHI87" s="356"/>
      <c r="AHJ87" s="356"/>
      <c r="AHK87" s="356"/>
      <c r="AHL87" s="356"/>
      <c r="AHM87" s="356"/>
      <c r="AHN87" s="356"/>
      <c r="AHO87" s="356"/>
      <c r="AHP87" s="356"/>
      <c r="AHQ87" s="356"/>
      <c r="AHR87" s="356"/>
      <c r="AHS87" s="356"/>
      <c r="AHT87" s="356"/>
      <c r="AHU87" s="356"/>
      <c r="AHV87" s="356"/>
      <c r="AHW87" s="356"/>
      <c r="AHX87" s="356"/>
      <c r="AHY87" s="356"/>
      <c r="AHZ87" s="356"/>
      <c r="AIA87" s="356"/>
      <c r="AIB87" s="356"/>
      <c r="AIC87" s="356"/>
      <c r="AID87" s="356"/>
      <c r="AIE87" s="356"/>
      <c r="AIF87" s="356"/>
      <c r="AIG87" s="356"/>
      <c r="AIH87" s="356"/>
      <c r="AII87" s="356"/>
      <c r="AIJ87" s="356"/>
      <c r="AIK87" s="356"/>
      <c r="AIL87" s="356"/>
      <c r="AIM87" s="356"/>
      <c r="AIN87" s="356"/>
      <c r="AIO87" s="356"/>
      <c r="AIP87" s="356"/>
      <c r="AIQ87" s="356"/>
      <c r="AIR87" s="356"/>
      <c r="AIS87" s="356"/>
      <c r="AIT87" s="356"/>
      <c r="AIU87" s="356"/>
      <c r="AIV87" s="356"/>
      <c r="AIW87" s="356"/>
      <c r="AIX87" s="356"/>
      <c r="AIY87" s="356"/>
      <c r="AIZ87" s="356"/>
      <c r="AJA87" s="356"/>
      <c r="AJB87" s="356"/>
      <c r="AJC87" s="356"/>
      <c r="AJD87" s="356"/>
      <c r="AJE87" s="356"/>
      <c r="AJF87" s="356"/>
      <c r="AJG87" s="356"/>
      <c r="AJH87" s="356"/>
      <c r="AJI87" s="356"/>
      <c r="AJJ87" s="356"/>
      <c r="AJK87" s="356"/>
      <c r="AJL87" s="356"/>
      <c r="AJM87" s="356"/>
      <c r="AJN87" s="356"/>
      <c r="AJO87" s="356"/>
      <c r="AJP87" s="356"/>
      <c r="AJQ87" s="356"/>
      <c r="AJR87" s="356"/>
      <c r="AJS87" s="356"/>
      <c r="AJT87" s="356"/>
      <c r="AJU87" s="356"/>
      <c r="AJV87" s="356"/>
      <c r="AJW87" s="356"/>
      <c r="AJX87" s="356"/>
      <c r="AJY87" s="356"/>
      <c r="AJZ87" s="356"/>
      <c r="AKA87" s="356"/>
      <c r="AKB87" s="356"/>
      <c r="AKC87" s="356"/>
      <c r="AKD87" s="356"/>
      <c r="AKE87" s="356"/>
      <c r="AKF87" s="356"/>
      <c r="AKG87" s="356"/>
      <c r="AKH87" s="356"/>
      <c r="AKI87" s="356"/>
      <c r="AKJ87" s="356"/>
      <c r="AKK87" s="356"/>
      <c r="AKL87" s="356"/>
      <c r="AKM87" s="356"/>
      <c r="AKN87" s="356"/>
      <c r="AKO87" s="356"/>
      <c r="AKP87" s="356"/>
      <c r="AKQ87" s="356"/>
      <c r="AKR87" s="356"/>
      <c r="AKS87" s="356"/>
      <c r="AKT87" s="356"/>
      <c r="AKU87" s="356"/>
      <c r="AKV87" s="356"/>
      <c r="AKW87" s="356"/>
      <c r="AKX87" s="356"/>
      <c r="AKY87" s="356"/>
      <c r="AKZ87" s="356"/>
      <c r="ALA87" s="356"/>
      <c r="ALB87" s="356"/>
      <c r="ALC87" s="356"/>
      <c r="ALD87" s="356"/>
      <c r="ALE87" s="356"/>
      <c r="ALF87" s="356"/>
      <c r="ALG87" s="356"/>
      <c r="ALH87" s="356"/>
      <c r="ALI87" s="356"/>
      <c r="ALJ87" s="356"/>
      <c r="ALK87" s="356"/>
      <c r="ALL87" s="356"/>
      <c r="ALM87" s="356"/>
      <c r="ALN87" s="356"/>
      <c r="ALO87" s="356"/>
      <c r="ALP87" s="356"/>
      <c r="ALQ87" s="356"/>
      <c r="ALR87" s="356"/>
      <c r="ALS87" s="356"/>
      <c r="ALT87" s="356"/>
      <c r="ALU87" s="356"/>
      <c r="ALV87" s="356"/>
      <c r="ALW87" s="356"/>
      <c r="ALX87" s="356"/>
      <c r="ALY87" s="356"/>
      <c r="ALZ87" s="356"/>
      <c r="AMA87" s="356"/>
      <c r="AMB87" s="356"/>
      <c r="AMC87" s="356"/>
      <c r="AMD87" s="356"/>
      <c r="AME87" s="356"/>
      <c r="AMF87" s="356"/>
      <c r="AMG87" s="356"/>
      <c r="AMH87" s="356"/>
      <c r="AMI87" s="356"/>
      <c r="AMJ87" s="356"/>
      <c r="AMK87" s="356"/>
      <c r="AML87" s="356"/>
      <c r="AMM87" s="356"/>
      <c r="AMN87" s="356"/>
      <c r="AMO87" s="356"/>
      <c r="AMP87" s="356"/>
      <c r="AMQ87" s="356"/>
      <c r="AMR87" s="356"/>
      <c r="AMS87" s="356"/>
      <c r="AMT87" s="356"/>
      <c r="AMU87" s="356"/>
      <c r="AMV87" s="356"/>
      <c r="AMW87" s="356"/>
      <c r="AMX87" s="356"/>
      <c r="AMY87" s="356"/>
      <c r="AMZ87" s="356"/>
      <c r="ANA87" s="356"/>
      <c r="ANB87" s="356"/>
      <c r="ANC87" s="356"/>
      <c r="AND87" s="356"/>
      <c r="ANE87" s="356"/>
      <c r="ANF87" s="356"/>
      <c r="ANG87" s="356"/>
      <c r="ANH87" s="356"/>
      <c r="ANI87" s="356"/>
      <c r="ANJ87" s="356"/>
      <c r="ANK87" s="356"/>
      <c r="ANL87" s="356"/>
      <c r="ANM87" s="356"/>
      <c r="ANN87" s="356"/>
      <c r="ANO87" s="356"/>
      <c r="ANP87" s="356"/>
      <c r="ANQ87" s="356"/>
      <c r="ANR87" s="356"/>
      <c r="ANS87" s="356"/>
      <c r="ANT87" s="356"/>
      <c r="ANU87" s="356"/>
      <c r="ANV87" s="356"/>
      <c r="ANW87" s="356"/>
      <c r="ANX87" s="356"/>
      <c r="ANY87" s="356"/>
      <c r="ANZ87" s="356"/>
      <c r="AOA87" s="356"/>
      <c r="AOB87" s="356"/>
      <c r="AOC87" s="356"/>
      <c r="AOD87" s="356"/>
      <c r="AOE87" s="356"/>
      <c r="AOF87" s="356"/>
      <c r="AOG87" s="356"/>
      <c r="AOH87" s="356"/>
      <c r="AOI87" s="356"/>
      <c r="AOJ87" s="356"/>
      <c r="AOK87" s="356"/>
      <c r="AOL87" s="356"/>
      <c r="AOM87" s="356"/>
      <c r="AON87" s="356"/>
      <c r="AOO87" s="356"/>
      <c r="AOP87" s="356"/>
      <c r="AOQ87" s="356"/>
      <c r="AOR87" s="356"/>
      <c r="AOS87" s="356"/>
      <c r="AOT87" s="356"/>
      <c r="AOU87" s="356"/>
      <c r="AOV87" s="356"/>
      <c r="AOW87" s="356"/>
      <c r="AOX87" s="356"/>
      <c r="AOY87" s="356"/>
      <c r="AOZ87" s="356"/>
      <c r="APA87" s="356"/>
      <c r="APB87" s="356"/>
      <c r="APC87" s="356"/>
      <c r="APD87" s="356"/>
      <c r="APE87" s="356"/>
      <c r="APF87" s="356"/>
      <c r="APG87" s="356"/>
      <c r="APH87" s="356"/>
      <c r="API87" s="356"/>
      <c r="APJ87" s="356"/>
      <c r="APK87" s="356"/>
      <c r="APL87" s="356"/>
      <c r="APM87" s="356"/>
      <c r="APN87" s="356"/>
      <c r="APO87" s="356"/>
      <c r="APP87" s="356"/>
      <c r="APQ87" s="356"/>
      <c r="APR87" s="356"/>
      <c r="APS87" s="356"/>
      <c r="APT87" s="356"/>
      <c r="APU87" s="356"/>
      <c r="APV87" s="356"/>
      <c r="APW87" s="356"/>
      <c r="APX87" s="356"/>
      <c r="APY87" s="356"/>
      <c r="APZ87" s="356"/>
      <c r="AQA87" s="356"/>
      <c r="AQB87" s="356"/>
      <c r="AQC87" s="356"/>
      <c r="AQD87" s="356"/>
      <c r="AQE87" s="356"/>
      <c r="AQF87" s="356"/>
      <c r="AQG87" s="356"/>
      <c r="AQH87" s="356"/>
      <c r="AQI87" s="356"/>
      <c r="AQJ87" s="356"/>
      <c r="AQK87" s="356"/>
      <c r="AQL87" s="356"/>
      <c r="AQM87" s="356"/>
      <c r="AQN87" s="356"/>
      <c r="AQO87" s="356"/>
      <c r="AQP87" s="356"/>
      <c r="AQQ87" s="356"/>
      <c r="AQR87" s="356"/>
      <c r="AQS87" s="356"/>
      <c r="AQT87" s="356"/>
      <c r="AQU87" s="356"/>
      <c r="AQV87" s="356"/>
      <c r="AQW87" s="356"/>
      <c r="AQX87" s="356"/>
      <c r="AQY87" s="356"/>
      <c r="AQZ87" s="356"/>
      <c r="ARA87" s="356"/>
      <c r="ARB87" s="356"/>
      <c r="ARC87" s="356"/>
      <c r="ARD87" s="356"/>
      <c r="ARE87" s="356"/>
      <c r="ARF87" s="356"/>
      <c r="ARG87" s="356"/>
      <c r="ARH87" s="356"/>
      <c r="ARI87" s="356"/>
      <c r="ARJ87" s="356"/>
      <c r="ARK87" s="356"/>
      <c r="ARL87" s="356"/>
      <c r="ARM87" s="356"/>
      <c r="ARN87" s="356"/>
      <c r="ARO87" s="356"/>
      <c r="ARP87" s="356"/>
      <c r="ARQ87" s="356"/>
      <c r="ARR87" s="356"/>
      <c r="ARS87" s="356"/>
      <c r="ART87" s="356"/>
      <c r="ARU87" s="356"/>
      <c r="ARV87" s="356"/>
      <c r="ARW87" s="356"/>
      <c r="ARX87" s="356"/>
      <c r="ARY87" s="356"/>
      <c r="ARZ87" s="356"/>
      <c r="ASA87" s="356"/>
      <c r="ASB87" s="356"/>
      <c r="ASC87" s="356"/>
      <c r="ASD87" s="356"/>
      <c r="ASE87" s="356"/>
      <c r="ASF87" s="356"/>
      <c r="ASG87" s="356"/>
      <c r="ASH87" s="356"/>
      <c r="ASI87" s="356"/>
      <c r="ASJ87" s="356"/>
      <c r="ASK87" s="356"/>
      <c r="ASL87" s="356"/>
      <c r="ASM87" s="356"/>
      <c r="ASN87" s="356"/>
      <c r="ASO87" s="356"/>
      <c r="ASP87" s="356"/>
      <c r="ASQ87" s="356"/>
      <c r="ASR87" s="356"/>
      <c r="ASS87" s="356"/>
      <c r="AST87" s="356"/>
      <c r="ASU87" s="356"/>
      <c r="ASV87" s="356"/>
      <c r="ASW87" s="356"/>
      <c r="ASX87" s="356"/>
      <c r="ASY87" s="356"/>
      <c r="ASZ87" s="356"/>
      <c r="ATA87" s="356"/>
      <c r="ATB87" s="356"/>
      <c r="ATC87" s="356"/>
      <c r="ATD87" s="356"/>
      <c r="ATE87" s="356"/>
      <c r="ATF87" s="356"/>
      <c r="ATG87" s="356"/>
      <c r="ATH87" s="356"/>
      <c r="ATI87" s="356"/>
      <c r="ATJ87" s="356"/>
      <c r="ATK87" s="356"/>
      <c r="ATL87" s="356"/>
      <c r="ATM87" s="356"/>
      <c r="ATN87" s="356"/>
      <c r="ATO87" s="356"/>
      <c r="ATP87" s="356"/>
      <c r="ATQ87" s="356"/>
      <c r="ATR87" s="356"/>
      <c r="ATS87" s="356"/>
      <c r="ATT87" s="356"/>
      <c r="ATU87" s="356"/>
      <c r="ATV87" s="356"/>
      <c r="ATW87" s="356"/>
      <c r="ATX87" s="356"/>
      <c r="ATY87" s="356"/>
      <c r="ATZ87" s="356"/>
      <c r="AUA87" s="356"/>
      <c r="AUB87" s="356"/>
      <c r="AUC87" s="356"/>
      <c r="AUD87" s="356"/>
      <c r="AUE87" s="356"/>
      <c r="AUF87" s="356"/>
      <c r="AUG87" s="356"/>
      <c r="AUH87" s="356"/>
      <c r="AUI87" s="356"/>
      <c r="AUJ87" s="356"/>
      <c r="AUK87" s="356"/>
      <c r="AUL87" s="356"/>
      <c r="AUM87" s="356"/>
      <c r="AUN87" s="356"/>
      <c r="AUO87" s="356"/>
      <c r="AUP87" s="356"/>
      <c r="AUQ87" s="356"/>
      <c r="AUR87" s="356"/>
      <c r="AUS87" s="356"/>
      <c r="AUT87" s="356"/>
      <c r="AUU87" s="356"/>
      <c r="AUV87" s="356"/>
      <c r="AUW87" s="356"/>
      <c r="AUX87" s="356"/>
      <c r="AUY87" s="356"/>
      <c r="AUZ87" s="356"/>
      <c r="AVA87" s="356"/>
      <c r="AVB87" s="356"/>
      <c r="AVC87" s="356"/>
      <c r="AVD87" s="356"/>
      <c r="AVE87" s="356"/>
      <c r="AVF87" s="356"/>
      <c r="AVG87" s="356"/>
      <c r="AVH87" s="356"/>
      <c r="AVI87" s="356"/>
      <c r="AVJ87" s="356"/>
      <c r="AVK87" s="356"/>
      <c r="AVL87" s="356"/>
      <c r="AVM87" s="356"/>
      <c r="AVN87" s="356"/>
      <c r="AVO87" s="356"/>
      <c r="AVP87" s="356"/>
      <c r="AVQ87" s="356"/>
      <c r="AVR87" s="356"/>
      <c r="AVS87" s="356"/>
      <c r="AVT87" s="356"/>
      <c r="AVU87" s="356"/>
      <c r="AVV87" s="356"/>
      <c r="AVW87" s="356"/>
      <c r="AVX87" s="356"/>
      <c r="AVY87" s="356"/>
      <c r="AVZ87" s="356"/>
      <c r="AWA87" s="356"/>
      <c r="AWB87" s="356"/>
      <c r="AWC87" s="356"/>
      <c r="AWD87" s="356"/>
      <c r="AWE87" s="356"/>
      <c r="AWF87" s="356"/>
      <c r="AWG87" s="356"/>
      <c r="AWH87" s="356"/>
      <c r="AWI87" s="356"/>
      <c r="AWJ87" s="356"/>
      <c r="AWK87" s="356"/>
      <c r="AWL87" s="356"/>
      <c r="AWM87" s="356"/>
      <c r="AWN87" s="356"/>
      <c r="AWO87" s="356"/>
      <c r="AWP87" s="356"/>
      <c r="AWQ87" s="356"/>
      <c r="AWR87" s="356"/>
      <c r="AWS87" s="356"/>
      <c r="AWT87" s="356"/>
      <c r="AWU87" s="356"/>
      <c r="AWV87" s="356"/>
      <c r="AWW87" s="356"/>
      <c r="AWX87" s="356"/>
      <c r="AWY87" s="356"/>
      <c r="AWZ87" s="356"/>
      <c r="AXA87" s="356"/>
      <c r="AXB87" s="356"/>
      <c r="AXC87" s="356"/>
      <c r="AXD87" s="356"/>
      <c r="AXE87" s="356"/>
      <c r="AXF87" s="356"/>
      <c r="AXG87" s="356"/>
      <c r="AXH87" s="356"/>
      <c r="AXI87" s="356"/>
      <c r="AXJ87" s="356"/>
      <c r="AXK87" s="356"/>
      <c r="AXL87" s="356"/>
      <c r="AXM87" s="356"/>
      <c r="AXN87" s="356"/>
      <c r="AXO87" s="356"/>
      <c r="AXP87" s="356"/>
      <c r="AXQ87" s="356"/>
      <c r="AXR87" s="356"/>
      <c r="AXS87" s="356"/>
      <c r="AXT87" s="356"/>
      <c r="AXU87" s="356"/>
      <c r="AXV87" s="356"/>
      <c r="AXW87" s="356"/>
      <c r="AXX87" s="356"/>
      <c r="AXY87" s="356"/>
      <c r="AXZ87" s="356"/>
      <c r="AYA87" s="356"/>
      <c r="AYB87" s="356"/>
      <c r="AYC87" s="356"/>
      <c r="AYD87" s="356"/>
      <c r="AYE87" s="356"/>
      <c r="AYF87" s="356"/>
      <c r="AYG87" s="356"/>
      <c r="AYH87" s="356"/>
      <c r="AYI87" s="356"/>
      <c r="AYJ87" s="356"/>
      <c r="AYK87" s="356"/>
      <c r="AYL87" s="356"/>
      <c r="AYM87" s="356"/>
      <c r="AYN87" s="356"/>
      <c r="AYO87" s="356"/>
      <c r="AYP87" s="356"/>
      <c r="AYQ87" s="356"/>
      <c r="AYR87" s="356"/>
      <c r="AYS87" s="356"/>
      <c r="AYT87" s="356"/>
      <c r="AYU87" s="356"/>
      <c r="AYV87" s="356"/>
      <c r="AYW87" s="356"/>
      <c r="AYX87" s="356"/>
      <c r="AYY87" s="356"/>
      <c r="AYZ87" s="356"/>
      <c r="AZA87" s="356"/>
      <c r="AZB87" s="356"/>
      <c r="AZC87" s="356"/>
      <c r="AZD87" s="356"/>
      <c r="AZE87" s="356"/>
      <c r="AZF87" s="356"/>
      <c r="AZG87" s="356"/>
      <c r="AZH87" s="356"/>
      <c r="AZI87" s="356"/>
      <c r="AZJ87" s="356"/>
      <c r="AZK87" s="356"/>
      <c r="AZL87" s="356"/>
      <c r="AZM87" s="356"/>
      <c r="AZN87" s="356"/>
      <c r="AZO87" s="356"/>
      <c r="AZP87" s="356"/>
      <c r="AZQ87" s="356"/>
      <c r="AZR87" s="356"/>
      <c r="AZS87" s="356"/>
      <c r="AZT87" s="356"/>
      <c r="AZU87" s="356"/>
      <c r="AZV87" s="356"/>
      <c r="AZW87" s="356"/>
      <c r="AZX87" s="356"/>
      <c r="AZY87" s="356"/>
      <c r="AZZ87" s="356"/>
      <c r="BAA87" s="356"/>
      <c r="BAB87" s="356"/>
      <c r="BAC87" s="356"/>
      <c r="BAD87" s="356"/>
      <c r="BAE87" s="356"/>
      <c r="BAF87" s="356"/>
      <c r="BAG87" s="356"/>
      <c r="BAH87" s="356"/>
      <c r="BAI87" s="356"/>
      <c r="BAJ87" s="356"/>
      <c r="BAK87" s="356"/>
      <c r="BAL87" s="356"/>
      <c r="BAM87" s="356"/>
      <c r="BAN87" s="356"/>
      <c r="BAO87" s="356"/>
      <c r="BAP87" s="356"/>
      <c r="BAQ87" s="356"/>
      <c r="BAR87" s="356"/>
      <c r="BAS87" s="356"/>
      <c r="BAT87" s="356"/>
      <c r="BAU87" s="356"/>
      <c r="BAV87" s="356"/>
      <c r="BAW87" s="356"/>
      <c r="BAX87" s="356"/>
      <c r="BAY87" s="356"/>
      <c r="BAZ87" s="356"/>
      <c r="BBA87" s="356"/>
      <c r="BBB87" s="356"/>
      <c r="BBC87" s="356"/>
      <c r="BBD87" s="356"/>
      <c r="BBE87" s="356"/>
      <c r="BBF87" s="356"/>
      <c r="BBG87" s="356"/>
      <c r="BBH87" s="356"/>
      <c r="BBI87" s="356"/>
      <c r="BBJ87" s="356"/>
      <c r="BBK87" s="356"/>
      <c r="BBL87" s="356"/>
      <c r="BBM87" s="356"/>
      <c r="BBN87" s="356"/>
      <c r="BBO87" s="356"/>
      <c r="BBP87" s="356"/>
      <c r="BBQ87" s="356"/>
      <c r="BBR87" s="356"/>
      <c r="BBS87" s="356"/>
      <c r="BBT87" s="356"/>
      <c r="BBU87" s="356"/>
      <c r="BBV87" s="356"/>
      <c r="BBW87" s="356"/>
      <c r="BBX87" s="356"/>
      <c r="BBY87" s="356"/>
      <c r="BBZ87" s="356"/>
      <c r="BCA87" s="356"/>
      <c r="BCB87" s="356"/>
      <c r="BCC87" s="356"/>
      <c r="BCD87" s="356"/>
      <c r="BCE87" s="356"/>
      <c r="BCF87" s="356"/>
      <c r="BCG87" s="356"/>
      <c r="BCH87" s="356"/>
      <c r="BCI87" s="356"/>
      <c r="BCJ87" s="356"/>
      <c r="BCK87" s="356"/>
      <c r="BCL87" s="356"/>
      <c r="BCM87" s="356"/>
      <c r="BCN87" s="356"/>
      <c r="BCO87" s="356"/>
      <c r="BCP87" s="356"/>
      <c r="BCQ87" s="356"/>
      <c r="BCR87" s="356"/>
      <c r="BCS87" s="356"/>
      <c r="BCT87" s="356"/>
      <c r="BCU87" s="356"/>
      <c r="BCV87" s="356"/>
      <c r="BCW87" s="356"/>
      <c r="BCX87" s="356"/>
      <c r="BCY87" s="356"/>
      <c r="BCZ87" s="356"/>
      <c r="BDA87" s="356"/>
      <c r="BDB87" s="356"/>
      <c r="BDC87" s="356"/>
      <c r="BDD87" s="356"/>
      <c r="BDE87" s="356"/>
      <c r="BDF87" s="356"/>
      <c r="BDG87" s="356"/>
      <c r="BDH87" s="356"/>
      <c r="BDI87" s="356"/>
      <c r="BDJ87" s="356"/>
      <c r="BDK87" s="356"/>
      <c r="BDL87" s="356"/>
      <c r="BDM87" s="356"/>
      <c r="BDN87" s="356"/>
      <c r="BDO87" s="356"/>
      <c r="BDP87" s="356"/>
      <c r="BDQ87" s="356"/>
      <c r="BDR87" s="356"/>
      <c r="BDS87" s="356"/>
      <c r="BDT87" s="356"/>
      <c r="BDU87" s="356"/>
      <c r="BDV87" s="356"/>
      <c r="BDW87" s="356"/>
      <c r="BDX87" s="356"/>
      <c r="BDY87" s="356"/>
      <c r="BDZ87" s="356"/>
      <c r="BEA87" s="356"/>
      <c r="BEB87" s="356"/>
      <c r="BEC87" s="356"/>
      <c r="BED87" s="356"/>
      <c r="BEE87" s="356"/>
      <c r="BEF87" s="356"/>
      <c r="BEG87" s="356"/>
      <c r="BEH87" s="356"/>
      <c r="BEI87" s="356"/>
      <c r="BEJ87" s="356"/>
      <c r="BEK87" s="356"/>
      <c r="BEL87" s="356"/>
      <c r="BEM87" s="356"/>
      <c r="BEN87" s="356"/>
      <c r="BEO87" s="356"/>
      <c r="BEP87" s="356"/>
      <c r="BEQ87" s="356"/>
      <c r="BER87" s="356"/>
      <c r="BES87" s="356"/>
      <c r="BET87" s="356"/>
      <c r="BEU87" s="356"/>
      <c r="BEV87" s="356"/>
      <c r="BEW87" s="356"/>
      <c r="BEX87" s="356"/>
      <c r="BEY87" s="356"/>
      <c r="BEZ87" s="356"/>
      <c r="BFA87" s="356"/>
      <c r="BFB87" s="356"/>
      <c r="BFC87" s="356"/>
      <c r="BFD87" s="356"/>
      <c r="BFE87" s="356"/>
      <c r="BFF87" s="356"/>
      <c r="BFG87" s="356"/>
      <c r="BFH87" s="356"/>
      <c r="BFI87" s="356"/>
      <c r="BFJ87" s="356"/>
      <c r="BFK87" s="356"/>
      <c r="BFL87" s="356"/>
      <c r="BFM87" s="356"/>
      <c r="BFN87" s="356"/>
      <c r="BFO87" s="356"/>
      <c r="BFP87" s="356"/>
      <c r="BFQ87" s="356"/>
      <c r="BFR87" s="356"/>
      <c r="BFS87" s="356"/>
      <c r="BFT87" s="356"/>
      <c r="BFU87" s="356"/>
      <c r="BFV87" s="356"/>
      <c r="BFW87" s="356"/>
      <c r="BFX87" s="356"/>
      <c r="BFY87" s="356"/>
      <c r="BFZ87" s="356"/>
      <c r="BGA87" s="356"/>
      <c r="BGB87" s="356"/>
      <c r="BGC87" s="356"/>
      <c r="BGD87" s="356"/>
      <c r="BGE87" s="356"/>
      <c r="BGF87" s="356"/>
      <c r="BGG87" s="356"/>
      <c r="BGH87" s="356"/>
      <c r="BGI87" s="356"/>
      <c r="BGJ87" s="356"/>
      <c r="BGK87" s="356"/>
      <c r="BGL87" s="356"/>
      <c r="BGM87" s="356"/>
      <c r="BGN87" s="356"/>
      <c r="BGO87" s="356"/>
      <c r="BGP87" s="356"/>
      <c r="BGQ87" s="356"/>
      <c r="BGR87" s="356"/>
      <c r="BGS87" s="356"/>
      <c r="BGT87" s="356"/>
      <c r="BGU87" s="356"/>
      <c r="BGV87" s="356"/>
      <c r="BGW87" s="356"/>
      <c r="BGX87" s="356"/>
      <c r="BGY87" s="356"/>
      <c r="BGZ87" s="356"/>
      <c r="BHA87" s="356"/>
      <c r="BHB87" s="356"/>
      <c r="BHC87" s="356"/>
      <c r="BHD87" s="356"/>
      <c r="BHE87" s="356"/>
      <c r="BHF87" s="356"/>
      <c r="BHG87" s="356"/>
      <c r="BHH87" s="356"/>
      <c r="BHI87" s="356"/>
      <c r="BHJ87" s="356"/>
      <c r="BHK87" s="356"/>
      <c r="BHL87" s="356"/>
      <c r="BHM87" s="356"/>
      <c r="BHN87" s="356"/>
      <c r="BHO87" s="356"/>
      <c r="BHP87" s="356"/>
      <c r="BHQ87" s="356"/>
      <c r="BHR87" s="356"/>
      <c r="BHS87" s="356"/>
      <c r="BHT87" s="356"/>
      <c r="BHU87" s="356"/>
      <c r="BHV87" s="356"/>
      <c r="BHW87" s="356"/>
      <c r="BHX87" s="356"/>
      <c r="BHY87" s="356"/>
      <c r="BHZ87" s="356"/>
      <c r="BIA87" s="356"/>
      <c r="BIB87" s="356"/>
      <c r="BIC87" s="356"/>
      <c r="BID87" s="356"/>
      <c r="BIE87" s="356"/>
      <c r="BIF87" s="356"/>
      <c r="BIG87" s="356"/>
      <c r="BIH87" s="356"/>
      <c r="BII87" s="356"/>
      <c r="BIJ87" s="356"/>
      <c r="BIK87" s="356"/>
      <c r="BIL87" s="356"/>
      <c r="BIM87" s="356"/>
      <c r="BIN87" s="356"/>
      <c r="BIO87" s="356"/>
      <c r="BIP87" s="356"/>
      <c r="BIQ87" s="356"/>
      <c r="BIR87" s="356"/>
      <c r="BIS87" s="356"/>
      <c r="BIT87" s="356"/>
      <c r="BIU87" s="356"/>
      <c r="BIV87" s="356"/>
      <c r="BIW87" s="356"/>
      <c r="BIX87" s="356"/>
      <c r="BIY87" s="356"/>
      <c r="BIZ87" s="356"/>
      <c r="BJA87" s="356"/>
      <c r="BJB87" s="356"/>
      <c r="BJC87" s="356"/>
      <c r="BJD87" s="356"/>
      <c r="BJE87" s="356"/>
      <c r="BJF87" s="356"/>
      <c r="BJG87" s="356"/>
      <c r="BJH87" s="356"/>
      <c r="BJI87" s="356"/>
      <c r="BJJ87" s="356"/>
      <c r="BJK87" s="356"/>
      <c r="BJL87" s="356"/>
      <c r="BJM87" s="356"/>
      <c r="BJN87" s="356"/>
      <c r="BJO87" s="356"/>
      <c r="BJP87" s="356"/>
      <c r="BJQ87" s="356"/>
      <c r="BJR87" s="356"/>
      <c r="BJS87" s="356"/>
      <c r="BJT87" s="356"/>
      <c r="BJU87" s="356"/>
      <c r="BJV87" s="356"/>
      <c r="BJW87" s="356"/>
      <c r="BJX87" s="356"/>
      <c r="BJY87" s="356"/>
      <c r="BJZ87" s="356"/>
      <c r="BKA87" s="356"/>
      <c r="BKB87" s="356"/>
      <c r="BKC87" s="356"/>
      <c r="BKD87" s="356"/>
      <c r="BKE87" s="356"/>
      <c r="BKF87" s="356"/>
      <c r="BKG87" s="356"/>
      <c r="BKH87" s="356"/>
      <c r="BKI87" s="356"/>
      <c r="BKJ87" s="356"/>
      <c r="BKK87" s="356"/>
      <c r="BKL87" s="356"/>
      <c r="BKM87" s="356"/>
      <c r="BKN87" s="356"/>
      <c r="BKO87" s="356"/>
      <c r="BKP87" s="356"/>
      <c r="BKQ87" s="356"/>
      <c r="BKR87" s="356"/>
      <c r="BKS87" s="356"/>
      <c r="BKT87" s="356"/>
      <c r="BKU87" s="356"/>
      <c r="BKV87" s="356"/>
      <c r="BKW87" s="356"/>
      <c r="BKX87" s="356"/>
      <c r="BKY87" s="356"/>
      <c r="BKZ87" s="356"/>
      <c r="BLA87" s="356"/>
      <c r="BLB87" s="356"/>
      <c r="BLC87" s="356"/>
      <c r="BLD87" s="356"/>
      <c r="BLE87" s="356"/>
      <c r="BLF87" s="356"/>
      <c r="BLG87" s="356"/>
      <c r="BLH87" s="356"/>
      <c r="BLI87" s="356"/>
      <c r="BLJ87" s="356"/>
      <c r="BLK87" s="356"/>
      <c r="BLL87" s="356"/>
      <c r="BLM87" s="356"/>
      <c r="BLN87" s="356"/>
      <c r="BLO87" s="356"/>
      <c r="BLP87" s="356"/>
      <c r="BLQ87" s="356"/>
      <c r="BLR87" s="356"/>
      <c r="BLS87" s="356"/>
      <c r="BLT87" s="356"/>
      <c r="BLU87" s="356"/>
      <c r="BLV87" s="356"/>
      <c r="BLW87" s="356"/>
      <c r="BLX87" s="356"/>
      <c r="BLY87" s="356"/>
      <c r="BLZ87" s="356"/>
      <c r="BMA87" s="356"/>
      <c r="BMB87" s="356"/>
      <c r="BMC87" s="356"/>
      <c r="BMD87" s="356"/>
      <c r="BME87" s="356"/>
      <c r="BMF87" s="356"/>
      <c r="BMG87" s="356"/>
      <c r="BMH87" s="356"/>
      <c r="BMI87" s="356"/>
      <c r="BMJ87" s="356"/>
      <c r="BMK87" s="356"/>
      <c r="BML87" s="356"/>
      <c r="BMM87" s="356"/>
      <c r="BMN87" s="356"/>
      <c r="BMO87" s="356"/>
      <c r="BMP87" s="356"/>
      <c r="BMQ87" s="356"/>
      <c r="BMR87" s="356"/>
      <c r="BMS87" s="356"/>
      <c r="BMT87" s="356"/>
      <c r="BMU87" s="356"/>
      <c r="BMV87" s="356"/>
      <c r="BMW87" s="356"/>
      <c r="BMX87" s="356"/>
      <c r="BMY87" s="356"/>
      <c r="BMZ87" s="356"/>
      <c r="BNA87" s="356"/>
      <c r="BNB87" s="356"/>
      <c r="BNC87" s="356"/>
      <c r="BND87" s="356"/>
      <c r="BNE87" s="356"/>
      <c r="BNF87" s="356"/>
      <c r="BNG87" s="356"/>
      <c r="BNH87" s="356"/>
      <c r="BNI87" s="356"/>
      <c r="BNJ87" s="356"/>
      <c r="BNK87" s="356"/>
      <c r="BNL87" s="356"/>
      <c r="BNM87" s="356"/>
      <c r="BNN87" s="356"/>
      <c r="BNO87" s="356"/>
      <c r="BNP87" s="356"/>
      <c r="BNQ87" s="356"/>
      <c r="BNR87" s="356"/>
      <c r="BNS87" s="356"/>
      <c r="BNT87" s="356"/>
      <c r="BNU87" s="356"/>
      <c r="BNV87" s="356"/>
      <c r="BNW87" s="356"/>
      <c r="BNX87" s="356"/>
      <c r="BNY87" s="356"/>
      <c r="BNZ87" s="356"/>
      <c r="BOA87" s="356"/>
      <c r="BOB87" s="356"/>
      <c r="BOC87" s="356"/>
      <c r="BOD87" s="356"/>
      <c r="BOE87" s="356"/>
      <c r="BOF87" s="356"/>
      <c r="BOG87" s="356"/>
      <c r="BOH87" s="356"/>
      <c r="BOI87" s="356"/>
      <c r="BOJ87" s="356"/>
      <c r="BOK87" s="356"/>
      <c r="BOL87" s="356"/>
      <c r="BOM87" s="356"/>
      <c r="BON87" s="356"/>
      <c r="BOO87" s="356"/>
      <c r="BOP87" s="356"/>
      <c r="BOQ87" s="356"/>
      <c r="BOR87" s="356"/>
      <c r="BOS87" s="356"/>
      <c r="BOT87" s="356"/>
      <c r="BOU87" s="356"/>
      <c r="BOV87" s="356"/>
      <c r="BOW87" s="356"/>
      <c r="BOX87" s="356"/>
      <c r="BOY87" s="356"/>
      <c r="BOZ87" s="356"/>
      <c r="BPA87" s="356"/>
      <c r="BPB87" s="356"/>
      <c r="BPC87" s="356"/>
      <c r="BPD87" s="356"/>
      <c r="BPE87" s="356"/>
      <c r="BPF87" s="356"/>
      <c r="BPG87" s="356"/>
      <c r="BPH87" s="356"/>
      <c r="BPI87" s="356"/>
      <c r="BPJ87" s="356"/>
      <c r="BPK87" s="356"/>
      <c r="BPL87" s="356"/>
      <c r="BPM87" s="356"/>
      <c r="BPN87" s="356"/>
      <c r="BPO87" s="356"/>
      <c r="BPP87" s="356"/>
      <c r="BPQ87" s="356"/>
      <c r="BPR87" s="356"/>
      <c r="BPS87" s="356"/>
      <c r="BPT87" s="356"/>
      <c r="BPU87" s="356"/>
      <c r="BPV87" s="356"/>
      <c r="BPW87" s="356"/>
      <c r="BPX87" s="356"/>
      <c r="BPY87" s="356"/>
      <c r="BPZ87" s="356"/>
      <c r="BQA87" s="356"/>
      <c r="BQB87" s="356"/>
      <c r="BQC87" s="356"/>
      <c r="BQD87" s="356"/>
      <c r="BQE87" s="356"/>
      <c r="BQF87" s="356"/>
      <c r="BQG87" s="356"/>
      <c r="BQH87" s="356"/>
      <c r="BQI87" s="356"/>
      <c r="BQJ87" s="356"/>
      <c r="BQK87" s="356"/>
      <c r="BQL87" s="356"/>
      <c r="BQM87" s="356"/>
      <c r="BQN87" s="356"/>
      <c r="BQO87" s="356"/>
      <c r="BQP87" s="356"/>
      <c r="BQQ87" s="356"/>
      <c r="BQR87" s="356"/>
      <c r="BQS87" s="356"/>
      <c r="BQT87" s="356"/>
      <c r="BQU87" s="356"/>
      <c r="BQV87" s="356"/>
      <c r="BQW87" s="356"/>
      <c r="BQX87" s="356"/>
      <c r="BQY87" s="356"/>
      <c r="BQZ87" s="356"/>
      <c r="BRA87" s="356"/>
      <c r="BRB87" s="356"/>
      <c r="BRC87" s="356"/>
      <c r="BRD87" s="356"/>
      <c r="BRE87" s="356"/>
      <c r="BRF87" s="356"/>
      <c r="BRG87" s="356"/>
      <c r="BRH87" s="356"/>
      <c r="BRI87" s="356"/>
      <c r="BRJ87" s="356"/>
      <c r="BRK87" s="356"/>
      <c r="BRL87" s="356"/>
      <c r="BRM87" s="356"/>
      <c r="BRN87" s="356"/>
      <c r="BRO87" s="356"/>
      <c r="BRP87" s="356"/>
      <c r="BRQ87" s="356"/>
      <c r="BRR87" s="356"/>
      <c r="BRS87" s="356"/>
      <c r="BRT87" s="356"/>
      <c r="BRU87" s="356"/>
      <c r="BRV87" s="356"/>
      <c r="BRW87" s="356"/>
      <c r="BRX87" s="356"/>
      <c r="BRY87" s="356"/>
      <c r="BRZ87" s="356"/>
      <c r="BSA87" s="356"/>
      <c r="BSB87" s="356"/>
      <c r="BSC87" s="356"/>
      <c r="BSD87" s="356"/>
      <c r="BSE87" s="356"/>
      <c r="BSF87" s="356"/>
      <c r="BSG87" s="356"/>
      <c r="BSH87" s="356"/>
      <c r="BSI87" s="356"/>
      <c r="BSJ87" s="356"/>
      <c r="BSK87" s="356"/>
      <c r="BSL87" s="356"/>
      <c r="BSM87" s="356"/>
      <c r="BSN87" s="356"/>
      <c r="BSO87" s="356"/>
      <c r="BSP87" s="356"/>
      <c r="BSQ87" s="356"/>
      <c r="BSR87" s="356"/>
      <c r="BSS87" s="356"/>
      <c r="BST87" s="356"/>
      <c r="BSU87" s="356"/>
      <c r="BSV87" s="356"/>
      <c r="BSW87" s="356"/>
      <c r="BSX87" s="356"/>
      <c r="BSY87" s="356"/>
      <c r="BSZ87" s="356"/>
      <c r="BTA87" s="356"/>
      <c r="BTB87" s="356"/>
      <c r="BTC87" s="356"/>
      <c r="BTD87" s="356"/>
      <c r="BTE87" s="356"/>
      <c r="BTF87" s="356"/>
      <c r="BTG87" s="356"/>
      <c r="BTH87" s="356"/>
      <c r="BTI87" s="356"/>
      <c r="BTJ87" s="356"/>
      <c r="BTK87" s="356"/>
      <c r="BTL87" s="356"/>
      <c r="BTM87" s="356"/>
      <c r="BTN87" s="356"/>
      <c r="BTO87" s="356"/>
      <c r="BTP87" s="356"/>
      <c r="BTQ87" s="356"/>
      <c r="BTR87" s="356"/>
      <c r="BTS87" s="356"/>
      <c r="BTT87" s="356"/>
      <c r="BTU87" s="356"/>
      <c r="BTV87" s="356"/>
      <c r="BTW87" s="356"/>
      <c r="BTX87" s="356"/>
      <c r="BTY87" s="356"/>
      <c r="BTZ87" s="356"/>
      <c r="BUA87" s="356"/>
      <c r="BUB87" s="356"/>
      <c r="BUC87" s="356"/>
      <c r="BUD87" s="356"/>
      <c r="BUE87" s="356"/>
      <c r="BUF87" s="356"/>
      <c r="BUG87" s="356"/>
      <c r="BUH87" s="356"/>
      <c r="BUI87" s="356"/>
      <c r="BUJ87" s="356"/>
      <c r="BUK87" s="356"/>
      <c r="BUL87" s="356"/>
      <c r="BUM87" s="356"/>
      <c r="BUN87" s="356"/>
      <c r="BUO87" s="356"/>
      <c r="BUP87" s="356"/>
      <c r="BUQ87" s="356"/>
      <c r="BUR87" s="356"/>
      <c r="BUS87" s="356"/>
      <c r="BUT87" s="356"/>
      <c r="BUU87" s="356"/>
      <c r="BUV87" s="356"/>
      <c r="BUW87" s="356"/>
      <c r="BUX87" s="356"/>
      <c r="BUY87" s="356"/>
      <c r="BUZ87" s="356"/>
      <c r="BVA87" s="356"/>
      <c r="BVB87" s="356"/>
      <c r="BVC87" s="356"/>
      <c r="BVD87" s="356"/>
      <c r="BVE87" s="356"/>
      <c r="BVF87" s="356"/>
      <c r="BVG87" s="356"/>
      <c r="BVH87" s="356"/>
      <c r="BVI87" s="356"/>
      <c r="BVJ87" s="356"/>
      <c r="BVK87" s="356"/>
      <c r="BVL87" s="356"/>
      <c r="BVM87" s="356"/>
      <c r="BVN87" s="356"/>
      <c r="BVO87" s="356"/>
      <c r="BVP87" s="356"/>
      <c r="BVQ87" s="356"/>
      <c r="BVR87" s="356"/>
      <c r="BVS87" s="356"/>
      <c r="BVT87" s="356"/>
      <c r="BVU87" s="356"/>
      <c r="BVV87" s="356"/>
      <c r="BVW87" s="356"/>
      <c r="BVX87" s="356"/>
      <c r="BVY87" s="356"/>
      <c r="BVZ87" s="356"/>
      <c r="BWA87" s="356"/>
      <c r="BWB87" s="356"/>
      <c r="BWC87" s="356"/>
      <c r="BWD87" s="356"/>
      <c r="BWE87" s="356"/>
      <c r="BWF87" s="356"/>
      <c r="BWG87" s="356"/>
      <c r="BWH87" s="356"/>
      <c r="BWI87" s="356"/>
      <c r="BWJ87" s="356"/>
      <c r="BWK87" s="356"/>
      <c r="BWL87" s="356"/>
      <c r="BWM87" s="356"/>
      <c r="BWN87" s="356"/>
      <c r="BWO87" s="356"/>
      <c r="BWP87" s="356"/>
      <c r="BWQ87" s="356"/>
      <c r="BWR87" s="356"/>
      <c r="BWS87" s="356"/>
      <c r="BWT87" s="356"/>
      <c r="BWU87" s="356"/>
      <c r="BWV87" s="356"/>
      <c r="BWW87" s="356"/>
      <c r="BWX87" s="356"/>
      <c r="BWY87" s="356"/>
      <c r="BWZ87" s="356"/>
      <c r="BXA87" s="356"/>
      <c r="BXB87" s="356"/>
      <c r="BXC87" s="356"/>
      <c r="BXD87" s="356"/>
      <c r="BXE87" s="356"/>
      <c r="BXF87" s="356"/>
      <c r="BXG87" s="356"/>
      <c r="BXH87" s="356"/>
      <c r="BXI87" s="356"/>
      <c r="BXJ87" s="356"/>
      <c r="BXK87" s="356"/>
      <c r="BXL87" s="356"/>
      <c r="BXM87" s="356"/>
      <c r="BXN87" s="356"/>
      <c r="BXO87" s="356"/>
      <c r="BXP87" s="356"/>
      <c r="BXQ87" s="356"/>
      <c r="BXR87" s="356"/>
      <c r="BXS87" s="356"/>
      <c r="BXT87" s="356"/>
      <c r="BXU87" s="356"/>
      <c r="BXV87" s="356"/>
      <c r="BXW87" s="356"/>
      <c r="BXX87" s="356"/>
      <c r="BXY87" s="356"/>
      <c r="BXZ87" s="356"/>
      <c r="BYA87" s="356"/>
      <c r="BYB87" s="356"/>
      <c r="BYC87" s="356"/>
      <c r="BYD87" s="356"/>
      <c r="BYE87" s="356"/>
      <c r="BYF87" s="356"/>
      <c r="BYG87" s="356"/>
      <c r="BYH87" s="356"/>
      <c r="BYI87" s="356"/>
      <c r="BYJ87" s="356"/>
      <c r="BYK87" s="356"/>
      <c r="BYL87" s="356"/>
      <c r="BYM87" s="356"/>
      <c r="BYN87" s="356"/>
      <c r="BYO87" s="356"/>
      <c r="BYP87" s="356"/>
      <c r="BYQ87" s="356"/>
      <c r="BYR87" s="356"/>
      <c r="BYS87" s="356"/>
      <c r="BYT87" s="356"/>
      <c r="BYU87" s="356"/>
      <c r="BYV87" s="356"/>
      <c r="BYW87" s="356"/>
      <c r="BYX87" s="356"/>
      <c r="BYY87" s="356"/>
      <c r="BYZ87" s="356"/>
      <c r="BZA87" s="356"/>
      <c r="BZB87" s="356"/>
      <c r="BZC87" s="356"/>
      <c r="BZD87" s="356"/>
      <c r="BZE87" s="356"/>
      <c r="BZF87" s="356"/>
      <c r="BZG87" s="356"/>
      <c r="BZH87" s="356"/>
      <c r="BZI87" s="356"/>
      <c r="BZJ87" s="356"/>
      <c r="BZK87" s="356"/>
      <c r="BZL87" s="356"/>
      <c r="BZM87" s="356"/>
      <c r="BZN87" s="356"/>
      <c r="BZO87" s="356"/>
      <c r="BZP87" s="356"/>
      <c r="BZQ87" s="356"/>
      <c r="BZR87" s="356"/>
      <c r="BZS87" s="356"/>
      <c r="BZT87" s="356"/>
      <c r="BZU87" s="356"/>
      <c r="BZV87" s="356"/>
      <c r="BZW87" s="356"/>
      <c r="BZX87" s="356"/>
      <c r="BZY87" s="356"/>
      <c r="BZZ87" s="356"/>
      <c r="CAA87" s="356"/>
      <c r="CAB87" s="356"/>
      <c r="CAC87" s="356"/>
      <c r="CAD87" s="356"/>
      <c r="CAE87" s="356"/>
      <c r="CAF87" s="356"/>
      <c r="CAG87" s="356"/>
      <c r="CAH87" s="356"/>
      <c r="CAI87" s="356"/>
      <c r="CAJ87" s="356"/>
      <c r="CAK87" s="356"/>
      <c r="CAL87" s="356"/>
      <c r="CAM87" s="356"/>
      <c r="CAN87" s="356"/>
      <c r="CAO87" s="356"/>
      <c r="CAP87" s="356"/>
      <c r="CAQ87" s="356"/>
      <c r="CAR87" s="356"/>
      <c r="CAS87" s="356"/>
      <c r="CAT87" s="356"/>
      <c r="CAU87" s="356"/>
      <c r="CAV87" s="356"/>
      <c r="CAW87" s="356"/>
      <c r="CAX87" s="356"/>
      <c r="CAY87" s="356"/>
      <c r="CAZ87" s="356"/>
      <c r="CBA87" s="356"/>
      <c r="CBB87" s="356"/>
      <c r="CBC87" s="356"/>
      <c r="CBD87" s="356"/>
      <c r="CBE87" s="356"/>
      <c r="CBF87" s="356"/>
      <c r="CBG87" s="356"/>
      <c r="CBH87" s="356"/>
      <c r="CBI87" s="356"/>
      <c r="CBJ87" s="356"/>
      <c r="CBK87" s="356"/>
      <c r="CBL87" s="356"/>
      <c r="CBM87" s="356"/>
      <c r="CBN87" s="356"/>
      <c r="CBO87" s="356"/>
      <c r="CBP87" s="356"/>
      <c r="CBQ87" s="356"/>
      <c r="CBR87" s="356"/>
      <c r="CBS87" s="356"/>
      <c r="CBT87" s="356"/>
      <c r="CBU87" s="356"/>
      <c r="CBV87" s="356"/>
      <c r="CBW87" s="356"/>
      <c r="CBX87" s="356"/>
      <c r="CBY87" s="356"/>
      <c r="CBZ87" s="356"/>
      <c r="CCA87" s="356"/>
      <c r="CCB87" s="356"/>
      <c r="CCC87" s="356"/>
      <c r="CCD87" s="356"/>
      <c r="CCE87" s="356"/>
      <c r="CCF87" s="356"/>
      <c r="CCG87" s="356"/>
      <c r="CCH87" s="356"/>
      <c r="CCI87" s="356"/>
      <c r="CCJ87" s="356"/>
      <c r="CCK87" s="356"/>
      <c r="CCL87" s="356"/>
      <c r="CCM87" s="356"/>
      <c r="CCN87" s="356"/>
      <c r="CCO87" s="356"/>
      <c r="CCP87" s="356"/>
      <c r="CCQ87" s="356"/>
      <c r="CCR87" s="356"/>
      <c r="CCS87" s="356"/>
      <c r="CCT87" s="356"/>
      <c r="CCU87" s="356"/>
      <c r="CCV87" s="356"/>
      <c r="CCW87" s="356"/>
      <c r="CCX87" s="356"/>
      <c r="CCY87" s="356"/>
      <c r="CCZ87" s="356"/>
      <c r="CDA87" s="356"/>
      <c r="CDB87" s="356"/>
      <c r="CDC87" s="356"/>
      <c r="CDD87" s="356"/>
      <c r="CDE87" s="356"/>
      <c r="CDF87" s="356"/>
      <c r="CDG87" s="356"/>
      <c r="CDH87" s="356"/>
      <c r="CDI87" s="356"/>
      <c r="CDJ87" s="356"/>
      <c r="CDK87" s="356"/>
      <c r="CDL87" s="356"/>
      <c r="CDM87" s="356"/>
      <c r="CDN87" s="356"/>
      <c r="CDO87" s="356"/>
      <c r="CDP87" s="356"/>
      <c r="CDQ87" s="356"/>
      <c r="CDR87" s="356"/>
      <c r="CDS87" s="356"/>
      <c r="CDT87" s="356"/>
      <c r="CDU87" s="356"/>
      <c r="CDV87" s="356"/>
      <c r="CDW87" s="356"/>
      <c r="CDX87" s="356"/>
      <c r="CDY87" s="356"/>
      <c r="CDZ87" s="356"/>
      <c r="CEA87" s="356"/>
      <c r="CEB87" s="356"/>
      <c r="CEC87" s="356"/>
      <c r="CED87" s="356"/>
      <c r="CEE87" s="356"/>
      <c r="CEF87" s="356"/>
      <c r="CEG87" s="356"/>
      <c r="CEH87" s="356"/>
      <c r="CEI87" s="356"/>
      <c r="CEJ87" s="356"/>
      <c r="CEK87" s="356"/>
      <c r="CEL87" s="356"/>
      <c r="CEM87" s="356"/>
      <c r="CEN87" s="356"/>
      <c r="CEO87" s="356"/>
      <c r="CEP87" s="356"/>
      <c r="CEQ87" s="356"/>
      <c r="CER87" s="356"/>
      <c r="CES87" s="356"/>
      <c r="CET87" s="356"/>
      <c r="CEU87" s="356"/>
      <c r="CEV87" s="356"/>
      <c r="CEW87" s="356"/>
      <c r="CEX87" s="356"/>
      <c r="CEY87" s="356"/>
      <c r="CEZ87" s="356"/>
      <c r="CFA87" s="356"/>
      <c r="CFB87" s="356"/>
      <c r="CFC87" s="356"/>
      <c r="CFD87" s="356"/>
      <c r="CFE87" s="356"/>
      <c r="CFF87" s="356"/>
      <c r="CFG87" s="356"/>
      <c r="CFH87" s="356"/>
      <c r="CFI87" s="356"/>
      <c r="CFJ87" s="356"/>
      <c r="CFK87" s="356"/>
      <c r="CFL87" s="356"/>
      <c r="CFM87" s="356"/>
      <c r="CFN87" s="356"/>
      <c r="CFO87" s="356"/>
      <c r="CFP87" s="356"/>
      <c r="CFQ87" s="356"/>
      <c r="CFR87" s="356"/>
      <c r="CFS87" s="356"/>
      <c r="CFT87" s="356"/>
      <c r="CFU87" s="356"/>
      <c r="CFV87" s="356"/>
      <c r="CFW87" s="356"/>
      <c r="CFX87" s="356"/>
      <c r="CFY87" s="356"/>
      <c r="CFZ87" s="356"/>
      <c r="CGA87" s="356"/>
      <c r="CGB87" s="356"/>
      <c r="CGC87" s="356"/>
      <c r="CGD87" s="356"/>
      <c r="CGE87" s="356"/>
      <c r="CGF87" s="356"/>
      <c r="CGG87" s="356"/>
      <c r="CGH87" s="356"/>
      <c r="CGI87" s="356"/>
      <c r="CGJ87" s="356"/>
      <c r="CGK87" s="356"/>
      <c r="CGL87" s="356"/>
      <c r="CGM87" s="356"/>
      <c r="CGN87" s="356"/>
      <c r="CGO87" s="356"/>
      <c r="CGP87" s="356"/>
      <c r="CGQ87" s="356"/>
      <c r="CGR87" s="356"/>
      <c r="CGS87" s="356"/>
      <c r="CGT87" s="356"/>
      <c r="CGU87" s="356"/>
      <c r="CGV87" s="356"/>
      <c r="CGW87" s="356"/>
      <c r="CGX87" s="356"/>
      <c r="CGY87" s="356"/>
      <c r="CGZ87" s="356"/>
      <c r="CHA87" s="356"/>
      <c r="CHB87" s="356"/>
      <c r="CHC87" s="356"/>
      <c r="CHD87" s="356"/>
      <c r="CHE87" s="356"/>
      <c r="CHF87" s="356"/>
      <c r="CHG87" s="356"/>
      <c r="CHH87" s="356"/>
      <c r="CHI87" s="356"/>
      <c r="CHJ87" s="356"/>
      <c r="CHK87" s="356"/>
      <c r="CHL87" s="356"/>
      <c r="CHM87" s="356"/>
      <c r="CHN87" s="356"/>
      <c r="CHO87" s="356"/>
      <c r="CHP87" s="356"/>
      <c r="CHQ87" s="356"/>
      <c r="CHR87" s="356"/>
      <c r="CHS87" s="356"/>
      <c r="CHT87" s="356"/>
      <c r="CHU87" s="356"/>
      <c r="CHV87" s="356"/>
      <c r="CHW87" s="356"/>
      <c r="CHX87" s="356"/>
      <c r="CHY87" s="356"/>
      <c r="CHZ87" s="356"/>
      <c r="CIA87" s="356"/>
      <c r="CIB87" s="356"/>
      <c r="CIC87" s="356"/>
      <c r="CID87" s="356"/>
      <c r="CIE87" s="356"/>
      <c r="CIF87" s="356"/>
      <c r="CIG87" s="356"/>
      <c r="CIH87" s="356"/>
      <c r="CII87" s="356"/>
      <c r="CIJ87" s="356"/>
      <c r="CIK87" s="356"/>
      <c r="CIL87" s="356"/>
      <c r="CIM87" s="356"/>
      <c r="CIN87" s="356"/>
      <c r="CIO87" s="356"/>
      <c r="CIP87" s="356"/>
      <c r="CIQ87" s="356"/>
      <c r="CIR87" s="356"/>
      <c r="CIS87" s="356"/>
      <c r="CIT87" s="356"/>
      <c r="CIU87" s="356"/>
      <c r="CIV87" s="356"/>
      <c r="CIW87" s="356"/>
      <c r="CIX87" s="356"/>
      <c r="CIY87" s="356"/>
      <c r="CIZ87" s="356"/>
      <c r="CJA87" s="356"/>
      <c r="CJB87" s="356"/>
      <c r="CJC87" s="356"/>
      <c r="CJD87" s="356"/>
      <c r="CJE87" s="356"/>
      <c r="CJF87" s="356"/>
      <c r="CJG87" s="356"/>
      <c r="CJH87" s="356"/>
      <c r="CJI87" s="356"/>
      <c r="CJJ87" s="356"/>
      <c r="CJK87" s="356"/>
      <c r="CJL87" s="356"/>
      <c r="CJM87" s="356"/>
      <c r="CJN87" s="356"/>
      <c r="CJO87" s="356"/>
      <c r="CJP87" s="356"/>
      <c r="CJQ87" s="356"/>
      <c r="CJR87" s="356"/>
      <c r="CJS87" s="356"/>
      <c r="CJT87" s="356"/>
      <c r="CJU87" s="356"/>
      <c r="CJV87" s="356"/>
      <c r="CJW87" s="356"/>
      <c r="CJX87" s="356"/>
      <c r="CJY87" s="356"/>
      <c r="CJZ87" s="356"/>
      <c r="CKA87" s="356"/>
      <c r="CKB87" s="356"/>
      <c r="CKC87" s="356"/>
      <c r="CKD87" s="356"/>
      <c r="CKE87" s="356"/>
      <c r="CKF87" s="356"/>
      <c r="CKG87" s="356"/>
      <c r="CKH87" s="356"/>
      <c r="CKI87" s="356"/>
      <c r="CKJ87" s="356"/>
      <c r="CKK87" s="356"/>
      <c r="CKL87" s="356"/>
      <c r="CKM87" s="356"/>
      <c r="CKN87" s="356"/>
      <c r="CKO87" s="356"/>
      <c r="CKP87" s="356"/>
      <c r="CKQ87" s="356"/>
      <c r="CKR87" s="356"/>
      <c r="CKS87" s="356"/>
      <c r="CKT87" s="356"/>
      <c r="CKU87" s="356"/>
      <c r="CKV87" s="356"/>
      <c r="CKW87" s="356"/>
      <c r="CKX87" s="356"/>
      <c r="CKY87" s="356"/>
      <c r="CKZ87" s="356"/>
      <c r="CLA87" s="356"/>
      <c r="CLB87" s="356"/>
      <c r="CLC87" s="356"/>
      <c r="CLD87" s="356"/>
      <c r="CLE87" s="356"/>
      <c r="CLF87" s="356"/>
      <c r="CLG87" s="356"/>
      <c r="CLH87" s="356"/>
      <c r="CLI87" s="356"/>
      <c r="CLJ87" s="356"/>
      <c r="CLK87" s="356"/>
      <c r="CLL87" s="356"/>
      <c r="CLM87" s="356"/>
      <c r="CLN87" s="356"/>
      <c r="CLO87" s="356"/>
      <c r="CLP87" s="356"/>
      <c r="CLQ87" s="356"/>
      <c r="CLR87" s="356"/>
      <c r="CLS87" s="356"/>
      <c r="CLT87" s="356"/>
      <c r="CLU87" s="356"/>
      <c r="CLV87" s="356"/>
      <c r="CLW87" s="356"/>
      <c r="CLX87" s="356"/>
      <c r="CLY87" s="356"/>
      <c r="CLZ87" s="356"/>
      <c r="CMA87" s="356"/>
      <c r="CMB87" s="356"/>
      <c r="CMC87" s="356"/>
      <c r="CMD87" s="356"/>
      <c r="CME87" s="356"/>
      <c r="CMF87" s="356"/>
      <c r="CMG87" s="356"/>
      <c r="CMH87" s="356"/>
      <c r="CMI87" s="356"/>
      <c r="CMJ87" s="356"/>
      <c r="CMK87" s="356"/>
      <c r="CML87" s="356"/>
      <c r="CMM87" s="356"/>
      <c r="CMN87" s="356"/>
      <c r="CMO87" s="356"/>
      <c r="CMP87" s="356"/>
      <c r="CMQ87" s="356"/>
      <c r="CMR87" s="356"/>
      <c r="CMS87" s="356"/>
      <c r="CMT87" s="356"/>
      <c r="CMU87" s="356"/>
      <c r="CMV87" s="356"/>
      <c r="CMW87" s="356"/>
      <c r="CMX87" s="356"/>
      <c r="CMY87" s="356"/>
      <c r="CMZ87" s="356"/>
      <c r="CNA87" s="356"/>
      <c r="CNB87" s="356"/>
      <c r="CNC87" s="356"/>
      <c r="CND87" s="356"/>
      <c r="CNE87" s="356"/>
      <c r="CNF87" s="356"/>
      <c r="CNG87" s="356"/>
      <c r="CNH87" s="356"/>
      <c r="CNI87" s="356"/>
      <c r="CNJ87" s="356"/>
      <c r="CNK87" s="356"/>
      <c r="CNL87" s="356"/>
      <c r="CNM87" s="356"/>
      <c r="CNN87" s="356"/>
      <c r="CNO87" s="356"/>
      <c r="CNP87" s="356"/>
      <c r="CNQ87" s="356"/>
      <c r="CNR87" s="356"/>
      <c r="CNS87" s="356"/>
      <c r="CNT87" s="356"/>
      <c r="CNU87" s="356"/>
      <c r="CNV87" s="356"/>
      <c r="CNW87" s="356"/>
      <c r="CNX87" s="356"/>
      <c r="CNY87" s="356"/>
      <c r="CNZ87" s="356"/>
      <c r="COA87" s="356"/>
      <c r="COB87" s="356"/>
      <c r="COC87" s="356"/>
      <c r="COD87" s="356"/>
      <c r="COE87" s="356"/>
      <c r="COF87" s="356"/>
      <c r="COG87" s="356"/>
      <c r="COH87" s="356"/>
      <c r="COI87" s="356"/>
      <c r="COJ87" s="356"/>
      <c r="COK87" s="356"/>
      <c r="COL87" s="356"/>
      <c r="COM87" s="356"/>
      <c r="CON87" s="356"/>
      <c r="COO87" s="356"/>
      <c r="COP87" s="356"/>
      <c r="COQ87" s="356"/>
      <c r="COR87" s="356"/>
      <c r="COS87" s="356"/>
      <c r="COT87" s="356"/>
      <c r="COU87" s="356"/>
      <c r="COV87" s="356"/>
      <c r="COW87" s="356"/>
      <c r="COX87" s="356"/>
      <c r="COY87" s="356"/>
      <c r="COZ87" s="356"/>
      <c r="CPA87" s="356"/>
      <c r="CPB87" s="356"/>
      <c r="CPC87" s="356"/>
      <c r="CPD87" s="356"/>
      <c r="CPE87" s="356"/>
      <c r="CPF87" s="356"/>
      <c r="CPG87" s="356"/>
      <c r="CPH87" s="356"/>
      <c r="CPI87" s="356"/>
      <c r="CPJ87" s="356"/>
      <c r="CPK87" s="356"/>
      <c r="CPL87" s="356"/>
      <c r="CPM87" s="356"/>
      <c r="CPN87" s="356"/>
      <c r="CPO87" s="356"/>
      <c r="CPP87" s="356"/>
      <c r="CPQ87" s="356"/>
      <c r="CPR87" s="356"/>
      <c r="CPS87" s="356"/>
      <c r="CPT87" s="356"/>
      <c r="CPU87" s="356"/>
      <c r="CPV87" s="356"/>
      <c r="CPW87" s="356"/>
      <c r="CPX87" s="356"/>
      <c r="CPY87" s="356"/>
      <c r="CPZ87" s="356"/>
      <c r="CQA87" s="356"/>
      <c r="CQB87" s="356"/>
      <c r="CQC87" s="356"/>
      <c r="CQD87" s="356"/>
      <c r="CQE87" s="356"/>
      <c r="CQF87" s="356"/>
      <c r="CQG87" s="356"/>
      <c r="CQH87" s="356"/>
      <c r="CQI87" s="356"/>
      <c r="CQJ87" s="356"/>
      <c r="CQK87" s="356"/>
      <c r="CQL87" s="356"/>
      <c r="CQM87" s="356"/>
      <c r="CQN87" s="356"/>
      <c r="CQO87" s="356"/>
      <c r="CQP87" s="356"/>
      <c r="CQQ87" s="356"/>
      <c r="CQR87" s="356"/>
      <c r="CQS87" s="356"/>
      <c r="CQT87" s="356"/>
      <c r="CQU87" s="356"/>
      <c r="CQV87" s="356"/>
      <c r="CQW87" s="356"/>
      <c r="CQX87" s="356"/>
      <c r="CQY87" s="356"/>
      <c r="CQZ87" s="356"/>
      <c r="CRA87" s="356"/>
      <c r="CRB87" s="356"/>
      <c r="CRC87" s="356"/>
      <c r="CRD87" s="356"/>
      <c r="CRE87" s="356"/>
      <c r="CRF87" s="356"/>
      <c r="CRG87" s="356"/>
      <c r="CRH87" s="356"/>
      <c r="CRI87" s="356"/>
      <c r="CRJ87" s="356"/>
      <c r="CRK87" s="356"/>
      <c r="CRL87" s="356"/>
      <c r="CRM87" s="356"/>
      <c r="CRN87" s="356"/>
      <c r="CRO87" s="356"/>
      <c r="CRP87" s="356"/>
      <c r="CRQ87" s="356"/>
      <c r="CRR87" s="356"/>
      <c r="CRS87" s="356"/>
      <c r="CRT87" s="356"/>
      <c r="CRU87" s="356"/>
      <c r="CRV87" s="356"/>
      <c r="CRW87" s="356"/>
      <c r="CRX87" s="356"/>
      <c r="CRY87" s="356"/>
      <c r="CRZ87" s="356"/>
      <c r="CSA87" s="356"/>
      <c r="CSB87" s="356"/>
      <c r="CSC87" s="356"/>
      <c r="CSD87" s="356"/>
      <c r="CSE87" s="356"/>
      <c r="CSF87" s="356"/>
      <c r="CSG87" s="356"/>
      <c r="CSH87" s="356"/>
      <c r="CSI87" s="356"/>
      <c r="CSJ87" s="356"/>
      <c r="CSK87" s="356"/>
      <c r="CSL87" s="356"/>
      <c r="CSM87" s="356"/>
      <c r="CSN87" s="356"/>
      <c r="CSO87" s="356"/>
      <c r="CSP87" s="356"/>
      <c r="CSQ87" s="356"/>
      <c r="CSR87" s="356"/>
      <c r="CSS87" s="356"/>
      <c r="CST87" s="356"/>
      <c r="CSU87" s="356"/>
      <c r="CSV87" s="356"/>
      <c r="CSW87" s="356"/>
      <c r="CSX87" s="356"/>
      <c r="CSY87" s="356"/>
      <c r="CSZ87" s="356"/>
      <c r="CTA87" s="356"/>
      <c r="CTB87" s="356"/>
      <c r="CTC87" s="356"/>
      <c r="CTD87" s="356"/>
      <c r="CTE87" s="356"/>
      <c r="CTF87" s="356"/>
      <c r="CTG87" s="356"/>
      <c r="CTH87" s="356"/>
      <c r="CTI87" s="356"/>
      <c r="CTJ87" s="356"/>
      <c r="CTK87" s="356"/>
      <c r="CTL87" s="356"/>
      <c r="CTM87" s="356"/>
      <c r="CTN87" s="356"/>
      <c r="CTO87" s="356"/>
      <c r="CTP87" s="356"/>
      <c r="CTQ87" s="356"/>
      <c r="CTR87" s="356"/>
      <c r="CTS87" s="356"/>
      <c r="CTT87" s="356"/>
      <c r="CTU87" s="356"/>
      <c r="CTV87" s="356"/>
      <c r="CTW87" s="356"/>
      <c r="CTX87" s="356"/>
      <c r="CTY87" s="356"/>
      <c r="CTZ87" s="356"/>
      <c r="CUA87" s="356"/>
      <c r="CUB87" s="356"/>
      <c r="CUC87" s="356"/>
      <c r="CUD87" s="356"/>
      <c r="CUE87" s="356"/>
      <c r="CUF87" s="356"/>
      <c r="CUG87" s="356"/>
      <c r="CUH87" s="356"/>
      <c r="CUI87" s="356"/>
      <c r="CUJ87" s="356"/>
      <c r="CUK87" s="356"/>
      <c r="CUL87" s="356"/>
      <c r="CUM87" s="356"/>
      <c r="CUN87" s="356"/>
      <c r="CUO87" s="356"/>
      <c r="CUP87" s="356"/>
      <c r="CUQ87" s="356"/>
      <c r="CUR87" s="356"/>
      <c r="CUS87" s="356"/>
      <c r="CUT87" s="356"/>
      <c r="CUU87" s="356"/>
      <c r="CUV87" s="356"/>
      <c r="CUW87" s="356"/>
      <c r="CUX87" s="356"/>
      <c r="CUY87" s="356"/>
      <c r="CUZ87" s="356"/>
      <c r="CVA87" s="356"/>
      <c r="CVB87" s="356"/>
      <c r="CVC87" s="356"/>
      <c r="CVD87" s="356"/>
      <c r="CVE87" s="356"/>
      <c r="CVF87" s="356"/>
      <c r="CVG87" s="356"/>
      <c r="CVH87" s="356"/>
      <c r="CVI87" s="356"/>
      <c r="CVJ87" s="356"/>
      <c r="CVK87" s="356"/>
      <c r="CVL87" s="356"/>
      <c r="CVM87" s="356"/>
      <c r="CVN87" s="356"/>
      <c r="CVO87" s="356"/>
      <c r="CVP87" s="356"/>
      <c r="CVQ87" s="356"/>
      <c r="CVR87" s="356"/>
      <c r="CVS87" s="356"/>
      <c r="CVT87" s="356"/>
      <c r="CVU87" s="356"/>
      <c r="CVV87" s="356"/>
      <c r="CVW87" s="356"/>
      <c r="CVX87" s="356"/>
      <c r="CVY87" s="356"/>
      <c r="CVZ87" s="356"/>
      <c r="CWA87" s="356"/>
      <c r="CWB87" s="356"/>
      <c r="CWC87" s="356"/>
      <c r="CWD87" s="356"/>
      <c r="CWE87" s="356"/>
      <c r="CWF87" s="356"/>
      <c r="CWG87" s="356"/>
      <c r="CWH87" s="356"/>
      <c r="CWI87" s="356"/>
      <c r="CWJ87" s="356"/>
      <c r="CWK87" s="356"/>
      <c r="CWL87" s="356"/>
      <c r="CWM87" s="356"/>
      <c r="CWN87" s="356"/>
      <c r="CWO87" s="356"/>
      <c r="CWP87" s="356"/>
      <c r="CWQ87" s="356"/>
      <c r="CWR87" s="356"/>
      <c r="CWS87" s="356"/>
      <c r="CWT87" s="356"/>
      <c r="CWU87" s="356"/>
      <c r="CWV87" s="356"/>
      <c r="CWW87" s="356"/>
      <c r="CWX87" s="356"/>
      <c r="CWY87" s="356"/>
      <c r="CWZ87" s="356"/>
      <c r="CXA87" s="356"/>
      <c r="CXB87" s="356"/>
      <c r="CXC87" s="356"/>
      <c r="CXD87" s="356"/>
      <c r="CXE87" s="356"/>
      <c r="CXF87" s="356"/>
      <c r="CXG87" s="356"/>
      <c r="CXH87" s="356"/>
      <c r="CXI87" s="356"/>
      <c r="CXJ87" s="356"/>
      <c r="CXK87" s="356"/>
      <c r="CXL87" s="356"/>
      <c r="CXM87" s="356"/>
      <c r="CXN87" s="356"/>
      <c r="CXO87" s="356"/>
      <c r="CXP87" s="356"/>
      <c r="CXQ87" s="356"/>
      <c r="CXR87" s="356"/>
      <c r="CXS87" s="356"/>
      <c r="CXT87" s="356"/>
      <c r="CXU87" s="356"/>
      <c r="CXV87" s="356"/>
      <c r="CXW87" s="356"/>
      <c r="CXX87" s="356"/>
      <c r="CXY87" s="356"/>
      <c r="CXZ87" s="356"/>
      <c r="CYA87" s="356"/>
      <c r="CYB87" s="356"/>
      <c r="CYC87" s="356"/>
      <c r="CYD87" s="356"/>
      <c r="CYE87" s="356"/>
      <c r="CYF87" s="356"/>
      <c r="CYG87" s="356"/>
      <c r="CYH87" s="356"/>
      <c r="CYI87" s="356"/>
      <c r="CYJ87" s="356"/>
      <c r="CYK87" s="356"/>
      <c r="CYL87" s="356"/>
      <c r="CYM87" s="356"/>
      <c r="CYN87" s="356"/>
      <c r="CYO87" s="356"/>
      <c r="CYP87" s="356"/>
      <c r="CYQ87" s="356"/>
      <c r="CYR87" s="356"/>
      <c r="CYS87" s="356"/>
      <c r="CYT87" s="356"/>
      <c r="CYU87" s="356"/>
      <c r="CYV87" s="356"/>
      <c r="CYW87" s="356"/>
      <c r="CYX87" s="356"/>
      <c r="CYY87" s="356"/>
      <c r="CYZ87" s="356"/>
      <c r="CZA87" s="356"/>
      <c r="CZB87" s="356"/>
      <c r="CZC87" s="356"/>
      <c r="CZD87" s="356"/>
      <c r="CZE87" s="356"/>
      <c r="CZF87" s="356"/>
      <c r="CZG87" s="356"/>
      <c r="CZH87" s="356"/>
      <c r="CZI87" s="356"/>
      <c r="CZJ87" s="356"/>
      <c r="CZK87" s="356"/>
      <c r="CZL87" s="356"/>
      <c r="CZM87" s="356"/>
      <c r="CZN87" s="356"/>
      <c r="CZO87" s="356"/>
      <c r="CZP87" s="356"/>
      <c r="CZQ87" s="356"/>
      <c r="CZR87" s="356"/>
      <c r="CZS87" s="356"/>
      <c r="CZT87" s="356"/>
      <c r="CZU87" s="356"/>
      <c r="CZV87" s="356"/>
      <c r="CZW87" s="356"/>
      <c r="CZX87" s="356"/>
      <c r="CZY87" s="356"/>
      <c r="CZZ87" s="356"/>
      <c r="DAA87" s="356"/>
      <c r="DAB87" s="356"/>
      <c r="DAC87" s="356"/>
      <c r="DAD87" s="356"/>
      <c r="DAE87" s="356"/>
      <c r="DAF87" s="356"/>
      <c r="DAG87" s="356"/>
      <c r="DAH87" s="356"/>
      <c r="DAI87" s="356"/>
      <c r="DAJ87" s="356"/>
      <c r="DAK87" s="356"/>
      <c r="DAL87" s="356"/>
      <c r="DAM87" s="356"/>
      <c r="DAN87" s="356"/>
      <c r="DAO87" s="356"/>
      <c r="DAP87" s="356"/>
      <c r="DAQ87" s="356"/>
      <c r="DAR87" s="356"/>
      <c r="DAS87" s="356"/>
      <c r="DAT87" s="356"/>
      <c r="DAU87" s="356"/>
      <c r="DAV87" s="356"/>
      <c r="DAW87" s="356"/>
      <c r="DAX87" s="356"/>
      <c r="DAY87" s="356"/>
      <c r="DAZ87" s="356"/>
      <c r="DBA87" s="356"/>
      <c r="DBB87" s="356"/>
      <c r="DBC87" s="356"/>
      <c r="DBD87" s="356"/>
      <c r="DBE87" s="356"/>
      <c r="DBF87" s="356"/>
      <c r="DBG87" s="356"/>
      <c r="DBH87" s="356"/>
      <c r="DBI87" s="356"/>
      <c r="DBJ87" s="356"/>
      <c r="DBK87" s="356"/>
      <c r="DBL87" s="356"/>
      <c r="DBM87" s="356"/>
      <c r="DBN87" s="356"/>
      <c r="DBO87" s="356"/>
      <c r="DBP87" s="356"/>
      <c r="DBQ87" s="356"/>
      <c r="DBR87" s="356"/>
      <c r="DBS87" s="356"/>
      <c r="DBT87" s="356"/>
      <c r="DBU87" s="356"/>
      <c r="DBV87" s="356"/>
      <c r="DBW87" s="356"/>
      <c r="DBX87" s="356"/>
      <c r="DBY87" s="356"/>
      <c r="DBZ87" s="356"/>
      <c r="DCA87" s="356"/>
      <c r="DCB87" s="356"/>
      <c r="DCC87" s="356"/>
      <c r="DCD87" s="356"/>
      <c r="DCE87" s="356"/>
      <c r="DCF87" s="356"/>
      <c r="DCG87" s="356"/>
      <c r="DCH87" s="356"/>
      <c r="DCI87" s="356"/>
      <c r="DCJ87" s="356"/>
      <c r="DCK87" s="356"/>
      <c r="DCL87" s="356"/>
      <c r="DCM87" s="356"/>
      <c r="DCN87" s="356"/>
      <c r="DCO87" s="356"/>
      <c r="DCP87" s="356"/>
      <c r="DCQ87" s="356"/>
      <c r="DCR87" s="356"/>
      <c r="DCS87" s="356"/>
      <c r="DCT87" s="356"/>
      <c r="DCU87" s="356"/>
      <c r="DCV87" s="356"/>
      <c r="DCW87" s="356"/>
      <c r="DCX87" s="356"/>
      <c r="DCY87" s="356"/>
      <c r="DCZ87" s="356"/>
      <c r="DDA87" s="356"/>
      <c r="DDB87" s="356"/>
      <c r="DDC87" s="356"/>
      <c r="DDD87" s="356"/>
      <c r="DDE87" s="356"/>
      <c r="DDF87" s="356"/>
      <c r="DDG87" s="356"/>
      <c r="DDH87" s="356"/>
      <c r="DDI87" s="356"/>
      <c r="DDJ87" s="356"/>
      <c r="DDK87" s="356"/>
      <c r="DDL87" s="356"/>
      <c r="DDM87" s="356"/>
      <c r="DDN87" s="356"/>
      <c r="DDO87" s="356"/>
      <c r="DDP87" s="356"/>
      <c r="DDQ87" s="356"/>
      <c r="DDR87" s="356"/>
      <c r="DDS87" s="356"/>
      <c r="DDT87" s="356"/>
      <c r="DDU87" s="356"/>
      <c r="DDV87" s="356"/>
      <c r="DDW87" s="356"/>
      <c r="DDX87" s="356"/>
      <c r="DDY87" s="356"/>
      <c r="DDZ87" s="356"/>
      <c r="DEA87" s="356"/>
      <c r="DEB87" s="356"/>
      <c r="DEC87" s="356"/>
      <c r="DED87" s="356"/>
      <c r="DEE87" s="356"/>
      <c r="DEF87" s="356"/>
      <c r="DEG87" s="356"/>
      <c r="DEH87" s="356"/>
      <c r="DEI87" s="356"/>
      <c r="DEJ87" s="356"/>
      <c r="DEK87" s="356"/>
      <c r="DEL87" s="356"/>
      <c r="DEM87" s="356"/>
      <c r="DEN87" s="356"/>
      <c r="DEO87" s="356"/>
      <c r="DEP87" s="356"/>
      <c r="DEQ87" s="356"/>
      <c r="DER87" s="356"/>
      <c r="DES87" s="356"/>
      <c r="DET87" s="356"/>
      <c r="DEU87" s="356"/>
      <c r="DEV87" s="356"/>
      <c r="DEW87" s="356"/>
      <c r="DEX87" s="356"/>
      <c r="DEY87" s="356"/>
      <c r="DEZ87" s="356"/>
      <c r="DFA87" s="356"/>
      <c r="DFB87" s="356"/>
      <c r="DFC87" s="356"/>
      <c r="DFD87" s="356"/>
      <c r="DFE87" s="356"/>
      <c r="DFF87" s="356"/>
      <c r="DFG87" s="356"/>
      <c r="DFH87" s="356"/>
      <c r="DFI87" s="356"/>
      <c r="DFJ87" s="356"/>
      <c r="DFK87" s="356"/>
      <c r="DFL87" s="356"/>
      <c r="DFM87" s="356"/>
      <c r="DFN87" s="356"/>
      <c r="DFO87" s="356"/>
      <c r="DFP87" s="356"/>
      <c r="DFQ87" s="356"/>
      <c r="DFR87" s="356"/>
      <c r="DFS87" s="356"/>
      <c r="DFT87" s="356"/>
      <c r="DFU87" s="356"/>
      <c r="DFV87" s="356"/>
      <c r="DFW87" s="356"/>
      <c r="DFX87" s="356"/>
      <c r="DFY87" s="356"/>
      <c r="DFZ87" s="356"/>
      <c r="DGA87" s="356"/>
      <c r="DGB87" s="356"/>
      <c r="DGC87" s="356"/>
      <c r="DGD87" s="356"/>
      <c r="DGE87" s="356"/>
      <c r="DGF87" s="356"/>
      <c r="DGG87" s="356"/>
      <c r="DGH87" s="356"/>
      <c r="DGI87" s="356"/>
      <c r="DGJ87" s="356"/>
      <c r="DGK87" s="356"/>
      <c r="DGL87" s="356"/>
      <c r="DGM87" s="356"/>
      <c r="DGN87" s="356"/>
      <c r="DGO87" s="356"/>
      <c r="DGP87" s="356"/>
      <c r="DGQ87" s="356"/>
      <c r="DGR87" s="356"/>
      <c r="DGS87" s="356"/>
      <c r="DGT87" s="356"/>
      <c r="DGU87" s="356"/>
      <c r="DGV87" s="356"/>
      <c r="DGW87" s="356"/>
      <c r="DGX87" s="356"/>
      <c r="DGY87" s="356"/>
      <c r="DGZ87" s="356"/>
      <c r="DHA87" s="356"/>
      <c r="DHB87" s="356"/>
      <c r="DHC87" s="356"/>
      <c r="DHD87" s="356"/>
      <c r="DHE87" s="356"/>
      <c r="DHF87" s="356"/>
      <c r="DHG87" s="356"/>
      <c r="DHH87" s="356"/>
      <c r="DHI87" s="356"/>
      <c r="DHJ87" s="356"/>
      <c r="DHK87" s="356"/>
      <c r="DHL87" s="356"/>
      <c r="DHM87" s="356"/>
      <c r="DHN87" s="356"/>
      <c r="DHO87" s="356"/>
      <c r="DHP87" s="356"/>
      <c r="DHQ87" s="356"/>
      <c r="DHR87" s="356"/>
      <c r="DHS87" s="356"/>
      <c r="DHT87" s="356"/>
      <c r="DHU87" s="356"/>
      <c r="DHV87" s="356"/>
      <c r="DHW87" s="356"/>
      <c r="DHX87" s="356"/>
      <c r="DHY87" s="356"/>
      <c r="DHZ87" s="356"/>
      <c r="DIA87" s="356"/>
      <c r="DIB87" s="356"/>
      <c r="DIC87" s="356"/>
      <c r="DID87" s="356"/>
      <c r="DIE87" s="356"/>
      <c r="DIF87" s="356"/>
      <c r="DIG87" s="356"/>
      <c r="DIH87" s="356"/>
      <c r="DII87" s="356"/>
      <c r="DIJ87" s="356"/>
      <c r="DIK87" s="356"/>
      <c r="DIL87" s="356"/>
      <c r="DIM87" s="356"/>
      <c r="DIN87" s="356"/>
      <c r="DIO87" s="356"/>
      <c r="DIP87" s="356"/>
      <c r="DIQ87" s="356"/>
      <c r="DIR87" s="356"/>
      <c r="DIS87" s="356"/>
      <c r="DIT87" s="356"/>
      <c r="DIU87" s="356"/>
      <c r="DIV87" s="356"/>
      <c r="DIW87" s="356"/>
      <c r="DIX87" s="356"/>
      <c r="DIY87" s="356"/>
      <c r="DIZ87" s="356"/>
      <c r="DJA87" s="356"/>
      <c r="DJB87" s="356"/>
      <c r="DJC87" s="356"/>
      <c r="DJD87" s="356"/>
      <c r="DJE87" s="356"/>
      <c r="DJF87" s="356"/>
      <c r="DJG87" s="356"/>
      <c r="DJH87" s="356"/>
      <c r="DJI87" s="356"/>
      <c r="DJJ87" s="356"/>
      <c r="DJK87" s="356"/>
      <c r="DJL87" s="356"/>
      <c r="DJM87" s="356"/>
      <c r="DJN87" s="356"/>
      <c r="DJO87" s="356"/>
      <c r="DJP87" s="356"/>
      <c r="DJQ87" s="356"/>
      <c r="DJR87" s="356"/>
      <c r="DJS87" s="356"/>
      <c r="DJT87" s="356"/>
      <c r="DJU87" s="356"/>
      <c r="DJV87" s="356"/>
      <c r="DJW87" s="356"/>
      <c r="DJX87" s="356"/>
      <c r="DJY87" s="356"/>
      <c r="DJZ87" s="356"/>
      <c r="DKA87" s="356"/>
      <c r="DKB87" s="356"/>
      <c r="DKC87" s="356"/>
      <c r="DKD87" s="356"/>
      <c r="DKE87" s="356"/>
      <c r="DKF87" s="356"/>
      <c r="DKG87" s="356"/>
      <c r="DKH87" s="356"/>
      <c r="DKI87" s="356"/>
      <c r="DKJ87" s="356"/>
      <c r="DKK87" s="356"/>
      <c r="DKL87" s="356"/>
      <c r="DKM87" s="356"/>
      <c r="DKN87" s="356"/>
      <c r="DKO87" s="356"/>
      <c r="DKP87" s="356"/>
      <c r="DKQ87" s="356"/>
      <c r="DKR87" s="356"/>
      <c r="DKS87" s="356"/>
      <c r="DKT87" s="356"/>
      <c r="DKU87" s="356"/>
      <c r="DKV87" s="356"/>
      <c r="DKW87" s="356"/>
      <c r="DKX87" s="356"/>
      <c r="DKY87" s="356"/>
      <c r="DKZ87" s="356"/>
      <c r="DLA87" s="356"/>
      <c r="DLB87" s="356"/>
      <c r="DLC87" s="356"/>
      <c r="DLD87" s="356"/>
      <c r="DLE87" s="356"/>
      <c r="DLF87" s="356"/>
      <c r="DLG87" s="356"/>
      <c r="DLH87" s="356"/>
      <c r="DLI87" s="356"/>
      <c r="DLJ87" s="356"/>
      <c r="DLK87" s="356"/>
      <c r="DLL87" s="356"/>
      <c r="DLM87" s="356"/>
      <c r="DLN87" s="356"/>
      <c r="DLO87" s="356"/>
      <c r="DLP87" s="356"/>
      <c r="DLQ87" s="356"/>
      <c r="DLR87" s="356"/>
      <c r="DLS87" s="356"/>
      <c r="DLT87" s="356"/>
      <c r="DLU87" s="356"/>
      <c r="DLV87" s="356"/>
      <c r="DLW87" s="356"/>
      <c r="DLX87" s="356"/>
      <c r="DLY87" s="356"/>
      <c r="DLZ87" s="356"/>
      <c r="DMA87" s="356"/>
      <c r="DMB87" s="356"/>
      <c r="DMC87" s="356"/>
      <c r="DMD87" s="356"/>
      <c r="DME87" s="356"/>
      <c r="DMF87" s="356"/>
      <c r="DMG87" s="356"/>
      <c r="DMH87" s="356"/>
      <c r="DMI87" s="356"/>
      <c r="DMJ87" s="356"/>
      <c r="DMK87" s="356"/>
      <c r="DML87" s="356"/>
      <c r="DMM87" s="356"/>
      <c r="DMN87" s="356"/>
      <c r="DMO87" s="356"/>
      <c r="DMP87" s="356"/>
      <c r="DMQ87" s="356"/>
      <c r="DMR87" s="356"/>
      <c r="DMS87" s="356"/>
      <c r="DMT87" s="356"/>
      <c r="DMU87" s="356"/>
      <c r="DMV87" s="356"/>
      <c r="DMW87" s="356"/>
      <c r="DMX87" s="356"/>
      <c r="DMY87" s="356"/>
      <c r="DMZ87" s="356"/>
      <c r="DNA87" s="356"/>
      <c r="DNB87" s="356"/>
      <c r="DNC87" s="356"/>
      <c r="DND87" s="356"/>
      <c r="DNE87" s="356"/>
      <c r="DNF87" s="356"/>
      <c r="DNG87" s="356"/>
      <c r="DNH87" s="356"/>
      <c r="DNI87" s="356"/>
      <c r="DNJ87" s="356"/>
      <c r="DNK87" s="356"/>
      <c r="DNL87" s="356"/>
      <c r="DNM87" s="356"/>
      <c r="DNN87" s="356"/>
      <c r="DNO87" s="356"/>
      <c r="DNP87" s="356"/>
      <c r="DNQ87" s="356"/>
      <c r="DNR87" s="356"/>
      <c r="DNS87" s="356"/>
      <c r="DNT87" s="356"/>
      <c r="DNU87" s="356"/>
      <c r="DNV87" s="356"/>
      <c r="DNW87" s="356"/>
      <c r="DNX87" s="356"/>
      <c r="DNY87" s="356"/>
      <c r="DNZ87" s="356"/>
      <c r="DOA87" s="356"/>
      <c r="DOB87" s="356"/>
      <c r="DOC87" s="356"/>
      <c r="DOD87" s="356"/>
      <c r="DOE87" s="356"/>
      <c r="DOF87" s="356"/>
      <c r="DOG87" s="356"/>
      <c r="DOH87" s="356"/>
      <c r="DOI87" s="356"/>
      <c r="DOJ87" s="356"/>
      <c r="DOK87" s="356"/>
      <c r="DOL87" s="356"/>
      <c r="DOM87" s="356"/>
      <c r="DON87" s="356"/>
      <c r="DOO87" s="356"/>
      <c r="DOP87" s="356"/>
      <c r="DOQ87" s="356"/>
      <c r="DOR87" s="356"/>
      <c r="DOS87" s="356"/>
      <c r="DOT87" s="356"/>
      <c r="DOU87" s="356"/>
      <c r="DOV87" s="356"/>
      <c r="DOW87" s="356"/>
      <c r="DOX87" s="356"/>
      <c r="DOY87" s="356"/>
      <c r="DOZ87" s="356"/>
      <c r="DPA87" s="356"/>
      <c r="DPB87" s="356"/>
      <c r="DPC87" s="356"/>
      <c r="DPD87" s="356"/>
      <c r="DPE87" s="356"/>
      <c r="DPF87" s="356"/>
      <c r="DPG87" s="356"/>
      <c r="DPH87" s="356"/>
      <c r="DPI87" s="356"/>
      <c r="DPJ87" s="356"/>
      <c r="DPK87" s="356"/>
      <c r="DPL87" s="356"/>
      <c r="DPM87" s="356"/>
      <c r="DPN87" s="356"/>
      <c r="DPO87" s="356"/>
      <c r="DPP87" s="356"/>
      <c r="DPQ87" s="356"/>
      <c r="DPR87" s="356"/>
      <c r="DPS87" s="356"/>
      <c r="DPT87" s="356"/>
      <c r="DPU87" s="356"/>
      <c r="DPV87" s="356"/>
      <c r="DPW87" s="356"/>
      <c r="DPX87" s="356"/>
      <c r="DPY87" s="356"/>
      <c r="DPZ87" s="356"/>
      <c r="DQA87" s="356"/>
      <c r="DQB87" s="356"/>
      <c r="DQC87" s="356"/>
      <c r="DQD87" s="356"/>
      <c r="DQE87" s="356"/>
      <c r="DQF87" s="356"/>
      <c r="DQG87" s="356"/>
      <c r="DQH87" s="356"/>
      <c r="DQI87" s="356"/>
      <c r="DQJ87" s="356"/>
      <c r="DQK87" s="356"/>
      <c r="DQL87" s="356"/>
      <c r="DQM87" s="356"/>
      <c r="DQN87" s="356"/>
      <c r="DQO87" s="356"/>
      <c r="DQP87" s="356"/>
      <c r="DQQ87" s="356"/>
      <c r="DQR87" s="356"/>
      <c r="DQS87" s="356"/>
      <c r="DQT87" s="356"/>
      <c r="DQU87" s="356"/>
      <c r="DQV87" s="356"/>
      <c r="DQW87" s="356"/>
      <c r="DQX87" s="356"/>
      <c r="DQY87" s="356"/>
      <c r="DQZ87" s="356"/>
      <c r="DRA87" s="356"/>
      <c r="DRB87" s="356"/>
      <c r="DRC87" s="356"/>
      <c r="DRD87" s="356"/>
      <c r="DRE87" s="356"/>
      <c r="DRF87" s="356"/>
      <c r="DRG87" s="356"/>
      <c r="DRH87" s="356"/>
      <c r="DRI87" s="356"/>
      <c r="DRJ87" s="356"/>
      <c r="DRK87" s="356"/>
      <c r="DRL87" s="356"/>
      <c r="DRM87" s="356"/>
      <c r="DRN87" s="356"/>
      <c r="DRO87" s="356"/>
      <c r="DRP87" s="356"/>
      <c r="DRQ87" s="356"/>
      <c r="DRR87" s="356"/>
      <c r="DRS87" s="356"/>
      <c r="DRT87" s="356"/>
      <c r="DRU87" s="356"/>
      <c r="DRV87" s="356"/>
      <c r="DRW87" s="356"/>
      <c r="DRX87" s="356"/>
      <c r="DRY87" s="356"/>
      <c r="DRZ87" s="356"/>
      <c r="DSA87" s="356"/>
      <c r="DSB87" s="356"/>
      <c r="DSC87" s="356"/>
      <c r="DSD87" s="356"/>
      <c r="DSE87" s="356"/>
      <c r="DSF87" s="356"/>
      <c r="DSG87" s="356"/>
      <c r="DSH87" s="356"/>
      <c r="DSI87" s="356"/>
      <c r="DSJ87" s="356"/>
      <c r="DSK87" s="356"/>
      <c r="DSL87" s="356"/>
      <c r="DSM87" s="356"/>
      <c r="DSN87" s="356"/>
      <c r="DSO87" s="356"/>
      <c r="DSP87" s="356"/>
      <c r="DSQ87" s="356"/>
      <c r="DSR87" s="356"/>
      <c r="DSS87" s="356"/>
      <c r="DST87" s="356"/>
      <c r="DSU87" s="356"/>
      <c r="DSV87" s="356"/>
      <c r="DSW87" s="356"/>
      <c r="DSX87" s="356"/>
      <c r="DSY87" s="356"/>
      <c r="DSZ87" s="356"/>
      <c r="DTA87" s="356"/>
      <c r="DTB87" s="356"/>
      <c r="DTC87" s="356"/>
      <c r="DTD87" s="356"/>
      <c r="DTE87" s="356"/>
      <c r="DTF87" s="356"/>
      <c r="DTG87" s="356"/>
      <c r="DTH87" s="356"/>
      <c r="DTI87" s="356"/>
      <c r="DTJ87" s="356"/>
      <c r="DTK87" s="356"/>
      <c r="DTL87" s="356"/>
      <c r="DTM87" s="356"/>
      <c r="DTN87" s="356"/>
      <c r="DTO87" s="356"/>
      <c r="DTP87" s="356"/>
      <c r="DTQ87" s="356"/>
      <c r="DTR87" s="356"/>
      <c r="DTS87" s="356"/>
      <c r="DTT87" s="356"/>
      <c r="DTU87" s="356"/>
      <c r="DTV87" s="356"/>
      <c r="DTW87" s="356"/>
      <c r="DTX87" s="356"/>
      <c r="DTY87" s="356"/>
      <c r="DTZ87" s="356"/>
      <c r="DUA87" s="356"/>
      <c r="DUB87" s="356"/>
      <c r="DUC87" s="356"/>
      <c r="DUD87" s="356"/>
      <c r="DUE87" s="356"/>
      <c r="DUF87" s="356"/>
      <c r="DUG87" s="356"/>
      <c r="DUH87" s="356"/>
      <c r="DUI87" s="356"/>
      <c r="DUJ87" s="356"/>
      <c r="DUK87" s="356"/>
      <c r="DUL87" s="356"/>
      <c r="DUM87" s="356"/>
      <c r="DUN87" s="356"/>
      <c r="DUO87" s="356"/>
      <c r="DUP87" s="356"/>
      <c r="DUQ87" s="356"/>
      <c r="DUR87" s="356"/>
      <c r="DUS87" s="356"/>
      <c r="DUT87" s="356"/>
      <c r="DUU87" s="356"/>
      <c r="DUV87" s="356"/>
      <c r="DUW87" s="356"/>
      <c r="DUX87" s="356"/>
      <c r="DUY87" s="356"/>
      <c r="DUZ87" s="356"/>
      <c r="DVA87" s="356"/>
      <c r="DVB87" s="356"/>
      <c r="DVC87" s="356"/>
      <c r="DVD87" s="356"/>
      <c r="DVE87" s="356"/>
      <c r="DVF87" s="356"/>
      <c r="DVG87" s="356"/>
      <c r="DVH87" s="356"/>
      <c r="DVI87" s="356"/>
      <c r="DVJ87" s="356"/>
      <c r="DVK87" s="356"/>
      <c r="DVL87" s="356"/>
      <c r="DVM87" s="356"/>
      <c r="DVN87" s="356"/>
      <c r="DVO87" s="356"/>
      <c r="DVP87" s="356"/>
      <c r="DVQ87" s="356"/>
      <c r="DVR87" s="356"/>
      <c r="DVS87" s="356"/>
      <c r="DVT87" s="356"/>
      <c r="DVU87" s="356"/>
      <c r="DVV87" s="356"/>
      <c r="DVW87" s="356"/>
      <c r="DVX87" s="356"/>
      <c r="DVY87" s="356"/>
      <c r="DVZ87" s="356"/>
      <c r="DWA87" s="356"/>
      <c r="DWB87" s="356"/>
      <c r="DWC87" s="356"/>
      <c r="DWD87" s="356"/>
      <c r="DWE87" s="356"/>
      <c r="DWF87" s="356"/>
      <c r="DWG87" s="356"/>
      <c r="DWH87" s="356"/>
      <c r="DWI87" s="356"/>
      <c r="DWJ87" s="356"/>
      <c r="DWK87" s="356"/>
      <c r="DWL87" s="356"/>
      <c r="DWM87" s="356"/>
      <c r="DWN87" s="356"/>
      <c r="DWO87" s="356"/>
      <c r="DWP87" s="356"/>
      <c r="DWQ87" s="356"/>
      <c r="DWR87" s="356"/>
      <c r="DWS87" s="356"/>
      <c r="DWT87" s="356"/>
      <c r="DWU87" s="356"/>
      <c r="DWV87" s="356"/>
      <c r="DWW87" s="356"/>
      <c r="DWX87" s="356"/>
      <c r="DWY87" s="356"/>
      <c r="DWZ87" s="356"/>
      <c r="DXA87" s="356"/>
      <c r="DXB87" s="356"/>
      <c r="DXC87" s="356"/>
      <c r="DXD87" s="356"/>
      <c r="DXE87" s="356"/>
      <c r="DXF87" s="356"/>
      <c r="DXG87" s="356"/>
      <c r="DXH87" s="356"/>
      <c r="DXI87" s="356"/>
      <c r="DXJ87" s="356"/>
      <c r="DXK87" s="356"/>
      <c r="DXL87" s="356"/>
      <c r="DXM87" s="356"/>
      <c r="DXN87" s="356"/>
      <c r="DXO87" s="356"/>
      <c r="DXP87" s="356"/>
      <c r="DXQ87" s="356"/>
      <c r="DXR87" s="356"/>
      <c r="DXS87" s="356"/>
      <c r="DXT87" s="356"/>
      <c r="DXU87" s="356"/>
      <c r="DXV87" s="356"/>
      <c r="DXW87" s="356"/>
      <c r="DXX87" s="356"/>
      <c r="DXY87" s="356"/>
      <c r="DXZ87" s="356"/>
      <c r="DYA87" s="356"/>
      <c r="DYB87" s="356"/>
      <c r="DYC87" s="356"/>
      <c r="DYD87" s="356"/>
      <c r="DYE87" s="356"/>
      <c r="DYF87" s="356"/>
      <c r="DYG87" s="356"/>
      <c r="DYH87" s="356"/>
      <c r="DYI87" s="356"/>
      <c r="DYJ87" s="356"/>
      <c r="DYK87" s="356"/>
      <c r="DYL87" s="356"/>
      <c r="DYM87" s="356"/>
      <c r="DYN87" s="356"/>
      <c r="DYO87" s="356"/>
      <c r="DYP87" s="356"/>
      <c r="DYQ87" s="356"/>
      <c r="DYR87" s="356"/>
      <c r="DYS87" s="356"/>
      <c r="DYT87" s="356"/>
      <c r="DYU87" s="356"/>
      <c r="DYV87" s="356"/>
      <c r="DYW87" s="356"/>
      <c r="DYX87" s="356"/>
      <c r="DYY87" s="356"/>
      <c r="DYZ87" s="356"/>
      <c r="DZA87" s="356"/>
      <c r="DZB87" s="356"/>
      <c r="DZC87" s="356"/>
      <c r="DZD87" s="356"/>
      <c r="DZE87" s="356"/>
      <c r="DZF87" s="356"/>
      <c r="DZG87" s="356"/>
      <c r="DZH87" s="356"/>
      <c r="DZI87" s="356"/>
      <c r="DZJ87" s="356"/>
      <c r="DZK87" s="356"/>
      <c r="DZL87" s="356"/>
      <c r="DZM87" s="356"/>
      <c r="DZN87" s="356"/>
      <c r="DZO87" s="356"/>
      <c r="DZP87" s="356"/>
      <c r="DZQ87" s="356"/>
      <c r="DZR87" s="356"/>
      <c r="DZS87" s="356"/>
      <c r="DZT87" s="356"/>
      <c r="DZU87" s="356"/>
      <c r="DZV87" s="356"/>
      <c r="DZW87" s="356"/>
      <c r="DZX87" s="356"/>
      <c r="DZY87" s="356"/>
      <c r="DZZ87" s="356"/>
      <c r="EAA87" s="356"/>
      <c r="EAB87" s="356"/>
      <c r="EAC87" s="356"/>
      <c r="EAD87" s="356"/>
      <c r="EAE87" s="356"/>
      <c r="EAF87" s="356"/>
      <c r="EAG87" s="356"/>
      <c r="EAH87" s="356"/>
      <c r="EAI87" s="356"/>
      <c r="EAJ87" s="356"/>
      <c r="EAK87" s="356"/>
      <c r="EAL87" s="356"/>
      <c r="EAM87" s="356"/>
      <c r="EAN87" s="356"/>
      <c r="EAO87" s="356"/>
      <c r="EAP87" s="356"/>
      <c r="EAQ87" s="356"/>
      <c r="EAR87" s="356"/>
      <c r="EAS87" s="356"/>
      <c r="EAT87" s="356"/>
      <c r="EAU87" s="356"/>
      <c r="EAV87" s="356"/>
      <c r="EAW87" s="356"/>
      <c r="EAX87" s="356"/>
      <c r="EAY87" s="356"/>
      <c r="EAZ87" s="356"/>
      <c r="EBA87" s="356"/>
      <c r="EBB87" s="356"/>
      <c r="EBC87" s="356"/>
      <c r="EBD87" s="356"/>
      <c r="EBE87" s="356"/>
      <c r="EBF87" s="356"/>
      <c r="EBG87" s="356"/>
      <c r="EBH87" s="356"/>
      <c r="EBI87" s="356"/>
      <c r="EBJ87" s="356"/>
      <c r="EBK87" s="356"/>
      <c r="EBL87" s="356"/>
      <c r="EBM87" s="356"/>
      <c r="EBN87" s="356"/>
      <c r="EBO87" s="356"/>
      <c r="EBP87" s="356"/>
      <c r="EBQ87" s="356"/>
      <c r="EBR87" s="356"/>
      <c r="EBS87" s="356"/>
      <c r="EBT87" s="356"/>
      <c r="EBU87" s="356"/>
      <c r="EBV87" s="356"/>
      <c r="EBW87" s="356"/>
      <c r="EBX87" s="356"/>
      <c r="EBY87" s="356"/>
      <c r="EBZ87" s="356"/>
      <c r="ECA87" s="356"/>
      <c r="ECB87" s="356"/>
      <c r="ECC87" s="356"/>
      <c r="ECD87" s="356"/>
      <c r="ECE87" s="356"/>
      <c r="ECF87" s="356"/>
      <c r="ECG87" s="356"/>
      <c r="ECH87" s="356"/>
      <c r="ECI87" s="356"/>
      <c r="ECJ87" s="356"/>
      <c r="ECK87" s="356"/>
      <c r="ECL87" s="356"/>
      <c r="ECM87" s="356"/>
      <c r="ECN87" s="356"/>
      <c r="ECO87" s="356"/>
      <c r="ECP87" s="356"/>
      <c r="ECQ87" s="356"/>
      <c r="ECR87" s="356"/>
      <c r="ECS87" s="356"/>
      <c r="ECT87" s="356"/>
      <c r="ECU87" s="356"/>
      <c r="ECV87" s="356"/>
      <c r="ECW87" s="356"/>
      <c r="ECX87" s="356"/>
      <c r="ECY87" s="356"/>
      <c r="ECZ87" s="356"/>
      <c r="EDA87" s="356"/>
      <c r="EDB87" s="356"/>
      <c r="EDC87" s="356"/>
      <c r="EDD87" s="356"/>
      <c r="EDE87" s="356"/>
      <c r="EDF87" s="356"/>
      <c r="EDG87" s="356"/>
      <c r="EDH87" s="356"/>
      <c r="EDI87" s="356"/>
      <c r="EDJ87" s="356"/>
      <c r="EDK87" s="356"/>
      <c r="EDL87" s="356"/>
      <c r="EDM87" s="356"/>
      <c r="EDN87" s="356"/>
      <c r="EDO87" s="356"/>
      <c r="EDP87" s="356"/>
      <c r="EDQ87" s="356"/>
      <c r="EDR87" s="356"/>
      <c r="EDS87" s="356"/>
      <c r="EDT87" s="356"/>
      <c r="EDU87" s="356"/>
      <c r="EDV87" s="356"/>
      <c r="EDW87" s="356"/>
      <c r="EDX87" s="356"/>
      <c r="EDY87" s="356"/>
      <c r="EDZ87" s="356"/>
      <c r="EEA87" s="356"/>
      <c r="EEB87" s="356"/>
      <c r="EEC87" s="356"/>
      <c r="EED87" s="356"/>
      <c r="EEE87" s="356"/>
      <c r="EEF87" s="356"/>
      <c r="EEG87" s="356"/>
      <c r="EEH87" s="356"/>
      <c r="EEI87" s="356"/>
      <c r="EEJ87" s="356"/>
      <c r="EEK87" s="356"/>
      <c r="EEL87" s="356"/>
      <c r="EEM87" s="356"/>
      <c r="EEN87" s="356"/>
      <c r="EEO87" s="356"/>
      <c r="EEP87" s="356"/>
      <c r="EEQ87" s="356"/>
      <c r="EER87" s="356"/>
      <c r="EES87" s="356"/>
      <c r="EET87" s="356"/>
      <c r="EEU87" s="356"/>
      <c r="EEV87" s="356"/>
      <c r="EEW87" s="356"/>
      <c r="EEX87" s="356"/>
      <c r="EEY87" s="356"/>
      <c r="EEZ87" s="356"/>
      <c r="EFA87" s="356"/>
      <c r="EFB87" s="356"/>
      <c r="EFC87" s="356"/>
      <c r="EFD87" s="356"/>
      <c r="EFE87" s="356"/>
      <c r="EFF87" s="356"/>
      <c r="EFG87" s="356"/>
      <c r="EFH87" s="356"/>
      <c r="EFI87" s="356"/>
      <c r="EFJ87" s="356"/>
      <c r="EFK87" s="356"/>
      <c r="EFL87" s="356"/>
      <c r="EFM87" s="356"/>
      <c r="EFN87" s="356"/>
      <c r="EFO87" s="356"/>
      <c r="EFP87" s="356"/>
      <c r="EFQ87" s="356"/>
      <c r="EFR87" s="356"/>
      <c r="EFS87" s="356"/>
      <c r="EFT87" s="356"/>
      <c r="EFU87" s="356"/>
      <c r="EFV87" s="356"/>
      <c r="EFW87" s="356"/>
      <c r="EFX87" s="356"/>
      <c r="EFY87" s="356"/>
      <c r="EFZ87" s="356"/>
      <c r="EGA87" s="356"/>
      <c r="EGB87" s="356"/>
      <c r="EGC87" s="356"/>
      <c r="EGD87" s="356"/>
      <c r="EGE87" s="356"/>
      <c r="EGF87" s="356"/>
      <c r="EGG87" s="356"/>
      <c r="EGH87" s="356"/>
      <c r="EGI87" s="356"/>
      <c r="EGJ87" s="356"/>
      <c r="EGK87" s="356"/>
      <c r="EGL87" s="356"/>
      <c r="EGM87" s="356"/>
      <c r="EGN87" s="356"/>
      <c r="EGO87" s="356"/>
      <c r="EGP87" s="356"/>
      <c r="EGQ87" s="356"/>
      <c r="EGR87" s="356"/>
      <c r="EGS87" s="356"/>
      <c r="EGT87" s="356"/>
      <c r="EGU87" s="356"/>
      <c r="EGV87" s="356"/>
      <c r="EGW87" s="356"/>
      <c r="EGX87" s="356"/>
      <c r="EGY87" s="356"/>
      <c r="EGZ87" s="356"/>
      <c r="EHA87" s="356"/>
      <c r="EHB87" s="356"/>
      <c r="EHC87" s="356"/>
      <c r="EHD87" s="356"/>
      <c r="EHE87" s="356"/>
      <c r="EHF87" s="356"/>
      <c r="EHG87" s="356"/>
      <c r="EHH87" s="356"/>
      <c r="EHI87" s="356"/>
      <c r="EHJ87" s="356"/>
      <c r="EHK87" s="356"/>
      <c r="EHL87" s="356"/>
      <c r="EHM87" s="356"/>
      <c r="EHN87" s="356"/>
      <c r="EHO87" s="356"/>
      <c r="EHP87" s="356"/>
      <c r="EHQ87" s="356"/>
      <c r="EHR87" s="356"/>
      <c r="EHS87" s="356"/>
      <c r="EHT87" s="356"/>
      <c r="EHU87" s="356"/>
      <c r="EHV87" s="356"/>
      <c r="EHW87" s="356"/>
      <c r="EHX87" s="356"/>
      <c r="EHY87" s="356"/>
      <c r="EHZ87" s="356"/>
      <c r="EIA87" s="356"/>
      <c r="EIB87" s="356"/>
      <c r="EIC87" s="356"/>
      <c r="EID87" s="356"/>
      <c r="EIE87" s="356"/>
      <c r="EIF87" s="356"/>
      <c r="EIG87" s="356"/>
      <c r="EIH87" s="356"/>
      <c r="EII87" s="356"/>
      <c r="EIJ87" s="356"/>
      <c r="EIK87" s="356"/>
      <c r="EIL87" s="356"/>
      <c r="EIM87" s="356"/>
      <c r="EIN87" s="356"/>
      <c r="EIO87" s="356"/>
      <c r="EIP87" s="356"/>
      <c r="EIQ87" s="356"/>
      <c r="EIR87" s="356"/>
      <c r="EIS87" s="356"/>
      <c r="EIT87" s="356"/>
      <c r="EIU87" s="356"/>
      <c r="EIV87" s="356"/>
      <c r="EIW87" s="356"/>
      <c r="EIX87" s="356"/>
      <c r="EIY87" s="356"/>
      <c r="EIZ87" s="356"/>
      <c r="EJA87" s="356"/>
      <c r="EJB87" s="356"/>
      <c r="EJC87" s="356"/>
      <c r="EJD87" s="356"/>
      <c r="EJE87" s="356"/>
      <c r="EJF87" s="356"/>
      <c r="EJG87" s="356"/>
      <c r="EJH87" s="356"/>
      <c r="EJI87" s="356"/>
      <c r="EJJ87" s="356"/>
      <c r="EJK87" s="356"/>
      <c r="EJL87" s="356"/>
      <c r="EJM87" s="356"/>
      <c r="EJN87" s="356"/>
      <c r="EJO87" s="356"/>
      <c r="EJP87" s="356"/>
      <c r="EJQ87" s="356"/>
      <c r="EJR87" s="356"/>
      <c r="EJS87" s="356"/>
      <c r="EJT87" s="356"/>
      <c r="EJU87" s="356"/>
      <c r="EJV87" s="356"/>
      <c r="EJW87" s="356"/>
      <c r="EJX87" s="356"/>
      <c r="EJY87" s="356"/>
      <c r="EJZ87" s="356"/>
      <c r="EKA87" s="356"/>
      <c r="EKB87" s="356"/>
      <c r="EKC87" s="356"/>
      <c r="EKD87" s="356"/>
      <c r="EKE87" s="356"/>
      <c r="EKF87" s="356"/>
      <c r="EKG87" s="356"/>
      <c r="EKH87" s="356"/>
      <c r="EKI87" s="356"/>
      <c r="EKJ87" s="356"/>
      <c r="EKK87" s="356"/>
      <c r="EKL87" s="356"/>
      <c r="EKM87" s="356"/>
      <c r="EKN87" s="356"/>
      <c r="EKO87" s="356"/>
      <c r="EKP87" s="356"/>
      <c r="EKQ87" s="356"/>
      <c r="EKR87" s="356"/>
      <c r="EKS87" s="356"/>
      <c r="EKT87" s="356"/>
      <c r="EKU87" s="356"/>
      <c r="EKV87" s="356"/>
      <c r="EKW87" s="356"/>
      <c r="EKX87" s="356"/>
      <c r="EKY87" s="356"/>
      <c r="EKZ87" s="356"/>
      <c r="ELA87" s="356"/>
      <c r="ELB87" s="356"/>
      <c r="ELC87" s="356"/>
      <c r="ELD87" s="356"/>
      <c r="ELE87" s="356"/>
      <c r="ELF87" s="356"/>
      <c r="ELG87" s="356"/>
      <c r="ELH87" s="356"/>
      <c r="ELI87" s="356"/>
      <c r="ELJ87" s="356"/>
      <c r="ELK87" s="356"/>
      <c r="ELL87" s="356"/>
      <c r="ELM87" s="356"/>
      <c r="ELN87" s="356"/>
      <c r="ELO87" s="356"/>
      <c r="ELP87" s="356"/>
      <c r="ELQ87" s="356"/>
      <c r="ELR87" s="356"/>
      <c r="ELS87" s="356"/>
      <c r="ELT87" s="356"/>
      <c r="ELU87" s="356"/>
      <c r="ELV87" s="356"/>
      <c r="ELW87" s="356"/>
      <c r="ELX87" s="356"/>
      <c r="ELY87" s="356"/>
      <c r="ELZ87" s="356"/>
      <c r="EMA87" s="356"/>
      <c r="EMB87" s="356"/>
      <c r="EMC87" s="356"/>
      <c r="EMD87" s="356"/>
      <c r="EME87" s="356"/>
      <c r="EMF87" s="356"/>
      <c r="EMG87" s="356"/>
      <c r="EMH87" s="356"/>
      <c r="EMI87" s="356"/>
      <c r="EMJ87" s="356"/>
      <c r="EMK87" s="356"/>
      <c r="EML87" s="356"/>
      <c r="EMM87" s="356"/>
      <c r="EMN87" s="356"/>
      <c r="EMO87" s="356"/>
      <c r="EMP87" s="356"/>
      <c r="EMQ87" s="356"/>
      <c r="EMR87" s="356"/>
      <c r="EMS87" s="356"/>
      <c r="EMT87" s="356"/>
      <c r="EMU87" s="356"/>
      <c r="EMV87" s="356"/>
      <c r="EMW87" s="356"/>
      <c r="EMX87" s="356"/>
      <c r="EMY87" s="356"/>
      <c r="EMZ87" s="356"/>
      <c r="ENA87" s="356"/>
      <c r="ENB87" s="356"/>
      <c r="ENC87" s="356"/>
      <c r="END87" s="356"/>
      <c r="ENE87" s="356"/>
      <c r="ENF87" s="356"/>
      <c r="ENG87" s="356"/>
      <c r="ENH87" s="356"/>
      <c r="ENI87" s="356"/>
      <c r="ENJ87" s="356"/>
      <c r="ENK87" s="356"/>
      <c r="ENL87" s="356"/>
      <c r="ENM87" s="356"/>
      <c r="ENN87" s="356"/>
      <c r="ENO87" s="356"/>
      <c r="ENP87" s="356"/>
      <c r="ENQ87" s="356"/>
      <c r="ENR87" s="356"/>
      <c r="ENS87" s="356"/>
      <c r="ENT87" s="356"/>
      <c r="ENU87" s="356"/>
      <c r="ENV87" s="356"/>
      <c r="ENW87" s="356"/>
      <c r="ENX87" s="356"/>
      <c r="ENY87" s="356"/>
      <c r="ENZ87" s="356"/>
      <c r="EOA87" s="356"/>
      <c r="EOB87" s="356"/>
      <c r="EOC87" s="356"/>
      <c r="EOD87" s="356"/>
      <c r="EOE87" s="356"/>
      <c r="EOF87" s="356"/>
      <c r="EOG87" s="356"/>
      <c r="EOH87" s="356"/>
      <c r="EOI87" s="356"/>
      <c r="EOJ87" s="356"/>
      <c r="EOK87" s="356"/>
      <c r="EOL87" s="356"/>
      <c r="EOM87" s="356"/>
      <c r="EON87" s="356"/>
      <c r="EOO87" s="356"/>
      <c r="EOP87" s="356"/>
      <c r="EOQ87" s="356"/>
      <c r="EOR87" s="356"/>
      <c r="EOS87" s="356"/>
      <c r="EOT87" s="356"/>
      <c r="EOU87" s="356"/>
      <c r="EOV87" s="356"/>
      <c r="EOW87" s="356"/>
      <c r="EOX87" s="356"/>
      <c r="EOY87" s="356"/>
      <c r="EOZ87" s="356"/>
      <c r="EPA87" s="356"/>
      <c r="EPB87" s="356"/>
      <c r="EPC87" s="356"/>
      <c r="EPD87" s="356"/>
      <c r="EPE87" s="356"/>
      <c r="EPF87" s="356"/>
      <c r="EPG87" s="356"/>
      <c r="EPH87" s="356"/>
      <c r="EPI87" s="356"/>
      <c r="EPJ87" s="356"/>
      <c r="EPK87" s="356"/>
      <c r="EPL87" s="356"/>
      <c r="EPM87" s="356"/>
      <c r="EPN87" s="356"/>
      <c r="EPO87" s="356"/>
      <c r="EPP87" s="356"/>
      <c r="EPQ87" s="356"/>
      <c r="EPR87" s="356"/>
      <c r="EPS87" s="356"/>
      <c r="EPT87" s="356"/>
      <c r="EPU87" s="356"/>
      <c r="EPV87" s="356"/>
      <c r="EPW87" s="356"/>
      <c r="EPX87" s="356"/>
      <c r="EPY87" s="356"/>
      <c r="EPZ87" s="356"/>
      <c r="EQA87" s="356"/>
      <c r="EQB87" s="356"/>
      <c r="EQC87" s="356"/>
      <c r="EQD87" s="356"/>
      <c r="EQE87" s="356"/>
      <c r="EQF87" s="356"/>
      <c r="EQG87" s="356"/>
      <c r="EQH87" s="356"/>
      <c r="EQI87" s="356"/>
      <c r="EQJ87" s="356"/>
      <c r="EQK87" s="356"/>
      <c r="EQL87" s="356"/>
      <c r="EQM87" s="356"/>
      <c r="EQN87" s="356"/>
      <c r="EQO87" s="356"/>
      <c r="EQP87" s="356"/>
      <c r="EQQ87" s="356"/>
      <c r="EQR87" s="356"/>
      <c r="EQS87" s="356"/>
      <c r="EQT87" s="356"/>
      <c r="EQU87" s="356"/>
      <c r="EQV87" s="356"/>
      <c r="EQW87" s="356"/>
      <c r="EQX87" s="356"/>
      <c r="EQY87" s="356"/>
      <c r="EQZ87" s="356"/>
      <c r="ERA87" s="356"/>
      <c r="ERB87" s="356"/>
      <c r="ERC87" s="356"/>
      <c r="ERD87" s="356"/>
      <c r="ERE87" s="356"/>
      <c r="ERF87" s="356"/>
      <c r="ERG87" s="356"/>
      <c r="ERH87" s="356"/>
      <c r="ERI87" s="356"/>
      <c r="ERJ87" s="356"/>
      <c r="ERK87" s="356"/>
      <c r="ERL87" s="356"/>
      <c r="ERM87" s="356"/>
      <c r="ERN87" s="356"/>
      <c r="ERO87" s="356"/>
      <c r="ERP87" s="356"/>
      <c r="ERQ87" s="356"/>
      <c r="ERR87" s="356"/>
      <c r="ERS87" s="356"/>
      <c r="ERT87" s="356"/>
      <c r="ERU87" s="356"/>
      <c r="ERV87" s="356"/>
      <c r="ERW87" s="356"/>
      <c r="ERX87" s="356"/>
      <c r="ERY87" s="356"/>
      <c r="ERZ87" s="356"/>
      <c r="ESA87" s="356"/>
      <c r="ESB87" s="356"/>
      <c r="ESC87" s="356"/>
      <c r="ESD87" s="356"/>
      <c r="ESE87" s="356"/>
      <c r="ESF87" s="356"/>
      <c r="ESG87" s="356"/>
      <c r="ESH87" s="356"/>
      <c r="ESI87" s="356"/>
      <c r="ESJ87" s="356"/>
      <c r="ESK87" s="356"/>
      <c r="ESL87" s="356"/>
      <c r="ESM87" s="356"/>
      <c r="ESN87" s="356"/>
      <c r="ESO87" s="356"/>
      <c r="ESP87" s="356"/>
      <c r="ESQ87" s="356"/>
      <c r="ESR87" s="356"/>
      <c r="ESS87" s="356"/>
      <c r="EST87" s="356"/>
      <c r="ESU87" s="356"/>
      <c r="ESV87" s="356"/>
      <c r="ESW87" s="356"/>
      <c r="ESX87" s="356"/>
      <c r="ESY87" s="356"/>
      <c r="ESZ87" s="356"/>
      <c r="ETA87" s="356"/>
      <c r="ETB87" s="356"/>
      <c r="ETC87" s="356"/>
      <c r="ETD87" s="356"/>
      <c r="ETE87" s="356"/>
      <c r="ETF87" s="356"/>
      <c r="ETG87" s="356"/>
      <c r="ETH87" s="356"/>
      <c r="ETI87" s="356"/>
      <c r="ETJ87" s="356"/>
      <c r="ETK87" s="356"/>
      <c r="ETL87" s="356"/>
      <c r="ETM87" s="356"/>
      <c r="ETN87" s="356"/>
      <c r="ETO87" s="356"/>
      <c r="ETP87" s="356"/>
      <c r="ETQ87" s="356"/>
      <c r="ETR87" s="356"/>
      <c r="ETS87" s="356"/>
      <c r="ETT87" s="356"/>
      <c r="ETU87" s="356"/>
      <c r="ETV87" s="356"/>
      <c r="ETW87" s="356"/>
      <c r="ETX87" s="356"/>
      <c r="ETY87" s="356"/>
      <c r="ETZ87" s="356"/>
      <c r="EUA87" s="356"/>
      <c r="EUB87" s="356"/>
      <c r="EUC87" s="356"/>
      <c r="EUD87" s="356"/>
      <c r="EUE87" s="356"/>
      <c r="EUF87" s="356"/>
      <c r="EUG87" s="356"/>
      <c r="EUH87" s="356"/>
      <c r="EUI87" s="356"/>
      <c r="EUJ87" s="356"/>
      <c r="EUK87" s="356"/>
      <c r="EUL87" s="356"/>
      <c r="EUM87" s="356"/>
      <c r="EUN87" s="356"/>
      <c r="EUO87" s="356"/>
      <c r="EUP87" s="356"/>
      <c r="EUQ87" s="356"/>
      <c r="EUR87" s="356"/>
      <c r="EUS87" s="356"/>
      <c r="EUT87" s="356"/>
      <c r="EUU87" s="356"/>
      <c r="EUV87" s="356"/>
      <c r="EUW87" s="356"/>
      <c r="EUX87" s="356"/>
      <c r="EUY87" s="356"/>
      <c r="EUZ87" s="356"/>
      <c r="EVA87" s="356"/>
      <c r="EVB87" s="356"/>
      <c r="EVC87" s="356"/>
      <c r="EVD87" s="356"/>
      <c r="EVE87" s="356"/>
      <c r="EVF87" s="356"/>
      <c r="EVG87" s="356"/>
      <c r="EVH87" s="356"/>
      <c r="EVI87" s="356"/>
      <c r="EVJ87" s="356"/>
      <c r="EVK87" s="356"/>
      <c r="EVL87" s="356"/>
      <c r="EVM87" s="356"/>
      <c r="EVN87" s="356"/>
      <c r="EVO87" s="356"/>
      <c r="EVP87" s="356"/>
      <c r="EVQ87" s="356"/>
      <c r="EVR87" s="356"/>
      <c r="EVS87" s="356"/>
      <c r="EVT87" s="356"/>
      <c r="EVU87" s="356"/>
      <c r="EVV87" s="356"/>
      <c r="EVW87" s="356"/>
      <c r="EVX87" s="356"/>
      <c r="EVY87" s="356"/>
      <c r="EVZ87" s="356"/>
      <c r="EWA87" s="356"/>
      <c r="EWB87" s="356"/>
      <c r="EWC87" s="356"/>
      <c r="EWD87" s="356"/>
      <c r="EWE87" s="356"/>
      <c r="EWF87" s="356"/>
      <c r="EWG87" s="356"/>
      <c r="EWH87" s="356"/>
      <c r="EWI87" s="356"/>
      <c r="EWJ87" s="356"/>
      <c r="EWK87" s="356"/>
      <c r="EWL87" s="356"/>
      <c r="EWM87" s="356"/>
      <c r="EWN87" s="356"/>
      <c r="EWO87" s="356"/>
      <c r="EWP87" s="356"/>
      <c r="EWQ87" s="356"/>
      <c r="EWR87" s="356"/>
      <c r="EWS87" s="356"/>
      <c r="EWT87" s="356"/>
      <c r="EWU87" s="356"/>
      <c r="EWV87" s="356"/>
      <c r="EWW87" s="356"/>
      <c r="EWX87" s="356"/>
      <c r="EWY87" s="356"/>
      <c r="EWZ87" s="356"/>
      <c r="EXA87" s="356"/>
      <c r="EXB87" s="356"/>
      <c r="EXC87" s="356"/>
      <c r="EXD87" s="356"/>
      <c r="EXE87" s="356"/>
      <c r="EXF87" s="356"/>
      <c r="EXG87" s="356"/>
      <c r="EXH87" s="356"/>
      <c r="EXI87" s="356"/>
      <c r="EXJ87" s="356"/>
      <c r="EXK87" s="356"/>
      <c r="EXL87" s="356"/>
      <c r="EXM87" s="356"/>
      <c r="EXN87" s="356"/>
      <c r="EXO87" s="356"/>
      <c r="EXP87" s="356"/>
      <c r="EXQ87" s="356"/>
      <c r="EXR87" s="356"/>
      <c r="EXS87" s="356"/>
      <c r="EXT87" s="356"/>
      <c r="EXU87" s="356"/>
      <c r="EXV87" s="356"/>
      <c r="EXW87" s="356"/>
      <c r="EXX87" s="356"/>
      <c r="EXY87" s="356"/>
      <c r="EXZ87" s="356"/>
      <c r="EYA87" s="356"/>
      <c r="EYB87" s="356"/>
      <c r="EYC87" s="356"/>
      <c r="EYD87" s="356"/>
      <c r="EYE87" s="356"/>
      <c r="EYF87" s="356"/>
      <c r="EYG87" s="356"/>
      <c r="EYH87" s="356"/>
      <c r="EYI87" s="356"/>
      <c r="EYJ87" s="356"/>
      <c r="EYK87" s="356"/>
      <c r="EYL87" s="356"/>
      <c r="EYM87" s="356"/>
      <c r="EYN87" s="356"/>
      <c r="EYO87" s="356"/>
      <c r="EYP87" s="356"/>
      <c r="EYQ87" s="356"/>
      <c r="EYR87" s="356"/>
      <c r="EYS87" s="356"/>
      <c r="EYT87" s="356"/>
      <c r="EYU87" s="356"/>
      <c r="EYV87" s="356"/>
      <c r="EYW87" s="356"/>
      <c r="EYX87" s="356"/>
      <c r="EYY87" s="356"/>
      <c r="EYZ87" s="356"/>
      <c r="EZA87" s="356"/>
      <c r="EZB87" s="356"/>
      <c r="EZC87" s="356"/>
      <c r="EZD87" s="356"/>
      <c r="EZE87" s="356"/>
      <c r="EZF87" s="356"/>
      <c r="EZG87" s="356"/>
      <c r="EZH87" s="356"/>
      <c r="EZI87" s="356"/>
      <c r="EZJ87" s="356"/>
      <c r="EZK87" s="356"/>
      <c r="EZL87" s="356"/>
      <c r="EZM87" s="356"/>
      <c r="EZN87" s="356"/>
      <c r="EZO87" s="356"/>
      <c r="EZP87" s="356"/>
      <c r="EZQ87" s="356"/>
      <c r="EZR87" s="356"/>
      <c r="EZS87" s="356"/>
      <c r="EZT87" s="356"/>
      <c r="EZU87" s="356"/>
      <c r="EZV87" s="356"/>
      <c r="EZW87" s="356"/>
      <c r="EZX87" s="356"/>
      <c r="EZY87" s="356"/>
      <c r="EZZ87" s="356"/>
      <c r="FAA87" s="356"/>
      <c r="FAB87" s="356"/>
      <c r="FAC87" s="356"/>
      <c r="FAD87" s="356"/>
      <c r="FAE87" s="356"/>
      <c r="FAF87" s="356"/>
      <c r="FAG87" s="356"/>
      <c r="FAH87" s="356"/>
      <c r="FAI87" s="356"/>
      <c r="FAJ87" s="356"/>
      <c r="FAK87" s="356"/>
      <c r="FAL87" s="356"/>
      <c r="FAM87" s="356"/>
      <c r="FAN87" s="356"/>
      <c r="FAO87" s="356"/>
      <c r="FAP87" s="356"/>
      <c r="FAQ87" s="356"/>
      <c r="FAR87" s="356"/>
      <c r="FAS87" s="356"/>
      <c r="FAT87" s="356"/>
      <c r="FAU87" s="356"/>
      <c r="FAV87" s="356"/>
      <c r="FAW87" s="356"/>
      <c r="FAX87" s="356"/>
      <c r="FAY87" s="356"/>
      <c r="FAZ87" s="356"/>
      <c r="FBA87" s="356"/>
      <c r="FBB87" s="356"/>
      <c r="FBC87" s="356"/>
      <c r="FBD87" s="356"/>
      <c r="FBE87" s="356"/>
      <c r="FBF87" s="356"/>
      <c r="FBG87" s="356"/>
      <c r="FBH87" s="356"/>
      <c r="FBI87" s="356"/>
      <c r="FBJ87" s="356"/>
      <c r="FBK87" s="356"/>
      <c r="FBL87" s="356"/>
      <c r="FBM87" s="356"/>
      <c r="FBN87" s="356"/>
      <c r="FBO87" s="356"/>
      <c r="FBP87" s="356"/>
      <c r="FBQ87" s="356"/>
      <c r="FBR87" s="356"/>
      <c r="FBS87" s="356"/>
      <c r="FBT87" s="356"/>
      <c r="FBU87" s="356"/>
      <c r="FBV87" s="356"/>
      <c r="FBW87" s="356"/>
      <c r="FBX87" s="356"/>
      <c r="FBY87" s="356"/>
      <c r="FBZ87" s="356"/>
      <c r="FCA87" s="356"/>
      <c r="FCB87" s="356"/>
      <c r="FCC87" s="356"/>
      <c r="FCD87" s="356"/>
      <c r="FCE87" s="356"/>
      <c r="FCF87" s="356"/>
      <c r="FCG87" s="356"/>
      <c r="FCH87" s="356"/>
      <c r="FCI87" s="356"/>
      <c r="FCJ87" s="356"/>
      <c r="FCK87" s="356"/>
      <c r="FCL87" s="356"/>
      <c r="FCM87" s="356"/>
      <c r="FCN87" s="356"/>
      <c r="FCO87" s="356"/>
      <c r="FCP87" s="356"/>
      <c r="FCQ87" s="356"/>
      <c r="FCR87" s="356"/>
      <c r="FCS87" s="356"/>
      <c r="FCT87" s="356"/>
      <c r="FCU87" s="356"/>
      <c r="FCV87" s="356"/>
      <c r="FCW87" s="356"/>
      <c r="FCX87" s="356"/>
      <c r="FCY87" s="356"/>
      <c r="FCZ87" s="356"/>
      <c r="FDA87" s="356"/>
      <c r="FDB87" s="356"/>
      <c r="FDC87" s="356"/>
      <c r="FDD87" s="356"/>
      <c r="FDE87" s="356"/>
      <c r="FDF87" s="356"/>
      <c r="FDG87" s="356"/>
      <c r="FDH87" s="356"/>
      <c r="FDI87" s="356"/>
      <c r="FDJ87" s="356"/>
      <c r="FDK87" s="356"/>
      <c r="FDL87" s="356"/>
      <c r="FDM87" s="356"/>
      <c r="FDN87" s="356"/>
      <c r="FDO87" s="356"/>
      <c r="FDP87" s="356"/>
      <c r="FDQ87" s="356"/>
      <c r="FDR87" s="356"/>
      <c r="FDS87" s="356"/>
      <c r="FDT87" s="356"/>
      <c r="FDU87" s="356"/>
      <c r="FDV87" s="356"/>
      <c r="FDW87" s="356"/>
      <c r="FDX87" s="356"/>
      <c r="FDY87" s="356"/>
      <c r="FDZ87" s="356"/>
      <c r="FEA87" s="356"/>
      <c r="FEB87" s="356"/>
      <c r="FEC87" s="356"/>
      <c r="FED87" s="356"/>
      <c r="FEE87" s="356"/>
      <c r="FEF87" s="356"/>
      <c r="FEG87" s="356"/>
      <c r="FEH87" s="356"/>
      <c r="FEI87" s="356"/>
      <c r="FEJ87" s="356"/>
      <c r="FEK87" s="356"/>
      <c r="FEL87" s="356"/>
      <c r="FEM87" s="356"/>
      <c r="FEN87" s="356"/>
      <c r="FEO87" s="356"/>
      <c r="FEP87" s="356"/>
      <c r="FEQ87" s="356"/>
      <c r="FER87" s="356"/>
      <c r="FES87" s="356"/>
      <c r="FET87" s="356"/>
      <c r="FEU87" s="356"/>
      <c r="FEV87" s="356"/>
      <c r="FEW87" s="356"/>
      <c r="FEX87" s="356"/>
      <c r="FEY87" s="356"/>
      <c r="FEZ87" s="356"/>
      <c r="FFA87" s="356"/>
      <c r="FFB87" s="356"/>
      <c r="FFC87" s="356"/>
      <c r="FFD87" s="356"/>
      <c r="FFE87" s="356"/>
      <c r="FFF87" s="356"/>
      <c r="FFG87" s="356"/>
      <c r="FFH87" s="356"/>
      <c r="FFI87" s="356"/>
      <c r="FFJ87" s="356"/>
      <c r="FFK87" s="356"/>
      <c r="FFL87" s="356"/>
      <c r="FFM87" s="356"/>
      <c r="FFN87" s="356"/>
      <c r="FFO87" s="356"/>
      <c r="FFP87" s="356"/>
      <c r="FFQ87" s="356"/>
      <c r="FFR87" s="356"/>
      <c r="FFS87" s="356"/>
      <c r="FFT87" s="356"/>
      <c r="FFU87" s="356"/>
      <c r="FFV87" s="356"/>
      <c r="FFW87" s="356"/>
      <c r="FFX87" s="356"/>
      <c r="FFY87" s="356"/>
      <c r="FFZ87" s="356"/>
      <c r="FGA87" s="356"/>
      <c r="FGB87" s="356"/>
      <c r="FGC87" s="356"/>
      <c r="FGD87" s="356"/>
      <c r="FGE87" s="356"/>
      <c r="FGF87" s="356"/>
      <c r="FGG87" s="356"/>
      <c r="FGH87" s="356"/>
      <c r="FGI87" s="356"/>
      <c r="FGJ87" s="356"/>
      <c r="FGK87" s="356"/>
      <c r="FGL87" s="356"/>
      <c r="FGM87" s="356"/>
      <c r="FGN87" s="356"/>
      <c r="FGO87" s="356"/>
      <c r="FGP87" s="356"/>
      <c r="FGQ87" s="356"/>
      <c r="FGR87" s="356"/>
      <c r="FGS87" s="356"/>
      <c r="FGT87" s="356"/>
      <c r="FGU87" s="356"/>
      <c r="FGV87" s="356"/>
      <c r="FGW87" s="356"/>
      <c r="FGX87" s="356"/>
      <c r="FGY87" s="356"/>
      <c r="FGZ87" s="356"/>
      <c r="FHA87" s="356"/>
      <c r="FHB87" s="356"/>
      <c r="FHC87" s="356"/>
      <c r="FHD87" s="356"/>
      <c r="FHE87" s="356"/>
      <c r="FHF87" s="356"/>
      <c r="FHG87" s="356"/>
      <c r="FHH87" s="356"/>
      <c r="FHI87" s="356"/>
      <c r="FHJ87" s="356"/>
      <c r="FHK87" s="356"/>
      <c r="FHL87" s="356"/>
      <c r="FHM87" s="356"/>
      <c r="FHN87" s="356"/>
      <c r="FHO87" s="356"/>
      <c r="FHP87" s="356"/>
      <c r="FHQ87" s="356"/>
      <c r="FHR87" s="356"/>
      <c r="FHS87" s="356"/>
      <c r="FHT87" s="356"/>
      <c r="FHU87" s="356"/>
      <c r="FHV87" s="356"/>
      <c r="FHW87" s="356"/>
      <c r="FHX87" s="356"/>
      <c r="FHY87" s="356"/>
      <c r="FHZ87" s="356"/>
      <c r="FIA87" s="356"/>
      <c r="FIB87" s="356"/>
      <c r="FIC87" s="356"/>
      <c r="FID87" s="356"/>
      <c r="FIE87" s="356"/>
      <c r="FIF87" s="356"/>
      <c r="FIG87" s="356"/>
      <c r="FIH87" s="356"/>
      <c r="FII87" s="356"/>
      <c r="FIJ87" s="356"/>
      <c r="FIK87" s="356"/>
      <c r="FIL87" s="356"/>
      <c r="FIM87" s="356"/>
      <c r="FIN87" s="356"/>
      <c r="FIO87" s="356"/>
      <c r="FIP87" s="356"/>
      <c r="FIQ87" s="356"/>
      <c r="FIR87" s="356"/>
      <c r="FIS87" s="356"/>
      <c r="FIT87" s="356"/>
      <c r="FIU87" s="356"/>
      <c r="FIV87" s="356"/>
      <c r="FIW87" s="356"/>
      <c r="FIX87" s="356"/>
      <c r="FIY87" s="356"/>
      <c r="FIZ87" s="356"/>
      <c r="FJA87" s="356"/>
      <c r="FJB87" s="356"/>
      <c r="FJC87" s="356"/>
      <c r="FJD87" s="356"/>
      <c r="FJE87" s="356"/>
      <c r="FJF87" s="356"/>
      <c r="FJG87" s="356"/>
      <c r="FJH87" s="356"/>
      <c r="FJI87" s="356"/>
      <c r="FJJ87" s="356"/>
      <c r="FJK87" s="356"/>
      <c r="FJL87" s="356"/>
      <c r="FJM87" s="356"/>
      <c r="FJN87" s="356"/>
      <c r="FJO87" s="356"/>
      <c r="FJP87" s="356"/>
      <c r="FJQ87" s="356"/>
      <c r="FJR87" s="356"/>
      <c r="FJS87" s="356"/>
      <c r="FJT87" s="356"/>
      <c r="FJU87" s="356"/>
      <c r="FJV87" s="356"/>
      <c r="FJW87" s="356"/>
      <c r="FJX87" s="356"/>
      <c r="FJY87" s="356"/>
      <c r="FJZ87" s="356"/>
      <c r="FKA87" s="356"/>
      <c r="FKB87" s="356"/>
      <c r="FKC87" s="356"/>
      <c r="FKD87" s="356"/>
      <c r="FKE87" s="356"/>
      <c r="FKF87" s="356"/>
      <c r="FKG87" s="356"/>
      <c r="FKH87" s="356"/>
      <c r="FKI87" s="356"/>
      <c r="FKJ87" s="356"/>
      <c r="FKK87" s="356"/>
      <c r="FKL87" s="356"/>
      <c r="FKM87" s="356"/>
      <c r="FKN87" s="356"/>
      <c r="FKO87" s="356"/>
      <c r="FKP87" s="356"/>
      <c r="FKQ87" s="356"/>
      <c r="FKR87" s="356"/>
      <c r="FKS87" s="356"/>
      <c r="FKT87" s="356"/>
      <c r="FKU87" s="356"/>
      <c r="FKV87" s="356"/>
      <c r="FKW87" s="356"/>
      <c r="FKX87" s="356"/>
      <c r="FKY87" s="356"/>
      <c r="FKZ87" s="356"/>
      <c r="FLA87" s="356"/>
      <c r="FLB87" s="356"/>
      <c r="FLC87" s="356"/>
      <c r="FLD87" s="356"/>
      <c r="FLE87" s="356"/>
      <c r="FLF87" s="356"/>
      <c r="FLG87" s="356"/>
      <c r="FLH87" s="356"/>
      <c r="FLI87" s="356"/>
      <c r="FLJ87" s="356"/>
      <c r="FLK87" s="356"/>
      <c r="FLL87" s="356"/>
      <c r="FLM87" s="356"/>
      <c r="FLN87" s="356"/>
      <c r="FLO87" s="356"/>
      <c r="FLP87" s="356"/>
      <c r="FLQ87" s="356"/>
      <c r="FLR87" s="356"/>
      <c r="FLS87" s="356"/>
      <c r="FLT87" s="356"/>
      <c r="FLU87" s="356"/>
      <c r="FLV87" s="356"/>
      <c r="FLW87" s="356"/>
      <c r="FLX87" s="356"/>
      <c r="FLY87" s="356"/>
      <c r="FLZ87" s="356"/>
      <c r="FMA87" s="356"/>
      <c r="FMB87" s="356"/>
      <c r="FMC87" s="356"/>
      <c r="FMD87" s="356"/>
      <c r="FME87" s="356"/>
      <c r="FMF87" s="356"/>
      <c r="FMG87" s="356"/>
      <c r="FMH87" s="356"/>
      <c r="FMI87" s="356"/>
      <c r="FMJ87" s="356"/>
      <c r="FMK87" s="356"/>
      <c r="FML87" s="356"/>
      <c r="FMM87" s="356"/>
      <c r="FMN87" s="356"/>
      <c r="FMO87" s="356"/>
      <c r="FMP87" s="356"/>
      <c r="FMQ87" s="356"/>
      <c r="FMR87" s="356"/>
      <c r="FMS87" s="356"/>
      <c r="FMT87" s="356"/>
      <c r="FMU87" s="356"/>
      <c r="FMV87" s="356"/>
      <c r="FMW87" s="356"/>
      <c r="FMX87" s="356"/>
      <c r="FMY87" s="356"/>
      <c r="FMZ87" s="356"/>
      <c r="FNA87" s="356"/>
      <c r="FNB87" s="356"/>
      <c r="FNC87" s="356"/>
      <c r="FND87" s="356"/>
      <c r="FNE87" s="356"/>
      <c r="FNF87" s="356"/>
      <c r="FNG87" s="356"/>
      <c r="FNH87" s="356"/>
      <c r="FNI87" s="356"/>
      <c r="FNJ87" s="356"/>
      <c r="FNK87" s="356"/>
      <c r="FNL87" s="356"/>
      <c r="FNM87" s="356"/>
      <c r="FNN87" s="356"/>
      <c r="FNO87" s="356"/>
      <c r="FNP87" s="356"/>
      <c r="FNQ87" s="356"/>
      <c r="FNR87" s="356"/>
      <c r="FNS87" s="356"/>
      <c r="FNT87" s="356"/>
      <c r="FNU87" s="356"/>
      <c r="FNV87" s="356"/>
      <c r="FNW87" s="356"/>
      <c r="FNX87" s="356"/>
      <c r="FNY87" s="356"/>
      <c r="FNZ87" s="356"/>
      <c r="FOA87" s="356"/>
      <c r="FOB87" s="356"/>
      <c r="FOC87" s="356"/>
      <c r="FOD87" s="356"/>
      <c r="FOE87" s="356"/>
      <c r="FOF87" s="356"/>
      <c r="FOG87" s="356"/>
      <c r="FOH87" s="356"/>
      <c r="FOI87" s="356"/>
      <c r="FOJ87" s="356"/>
      <c r="FOK87" s="356"/>
      <c r="FOL87" s="356"/>
      <c r="FOM87" s="356"/>
      <c r="FON87" s="356"/>
      <c r="FOO87" s="356"/>
      <c r="FOP87" s="356"/>
      <c r="FOQ87" s="356"/>
      <c r="FOR87" s="356"/>
      <c r="FOS87" s="356"/>
      <c r="FOT87" s="356"/>
      <c r="FOU87" s="356"/>
      <c r="FOV87" s="356"/>
      <c r="FOW87" s="356"/>
      <c r="FOX87" s="356"/>
      <c r="FOY87" s="356"/>
      <c r="FOZ87" s="356"/>
      <c r="FPA87" s="356"/>
      <c r="FPB87" s="356"/>
      <c r="FPC87" s="356"/>
      <c r="FPD87" s="356"/>
      <c r="FPE87" s="356"/>
      <c r="FPF87" s="356"/>
      <c r="FPG87" s="356"/>
      <c r="FPH87" s="356"/>
      <c r="FPI87" s="356"/>
      <c r="FPJ87" s="356"/>
      <c r="FPK87" s="356"/>
      <c r="FPL87" s="356"/>
      <c r="FPM87" s="356"/>
      <c r="FPN87" s="356"/>
      <c r="FPO87" s="356"/>
      <c r="FPP87" s="356"/>
      <c r="FPQ87" s="356"/>
      <c r="FPR87" s="356"/>
      <c r="FPS87" s="356"/>
      <c r="FPT87" s="356"/>
      <c r="FPU87" s="356"/>
      <c r="FPV87" s="356"/>
      <c r="FPW87" s="356"/>
      <c r="FPX87" s="356"/>
      <c r="FPY87" s="356"/>
      <c r="FPZ87" s="356"/>
      <c r="FQA87" s="356"/>
      <c r="FQB87" s="356"/>
      <c r="FQC87" s="356"/>
      <c r="FQD87" s="356"/>
      <c r="FQE87" s="356"/>
      <c r="FQF87" s="356"/>
      <c r="FQG87" s="356"/>
      <c r="FQH87" s="356"/>
      <c r="FQI87" s="356"/>
      <c r="FQJ87" s="356"/>
      <c r="FQK87" s="356"/>
      <c r="FQL87" s="356"/>
      <c r="FQM87" s="356"/>
      <c r="FQN87" s="356"/>
      <c r="FQO87" s="356"/>
      <c r="FQP87" s="356"/>
      <c r="FQQ87" s="356"/>
      <c r="FQR87" s="356"/>
      <c r="FQS87" s="356"/>
      <c r="FQT87" s="356"/>
      <c r="FQU87" s="356"/>
      <c r="FQV87" s="356"/>
      <c r="FQW87" s="356"/>
      <c r="FQX87" s="356"/>
      <c r="FQY87" s="356"/>
      <c r="FQZ87" s="356"/>
      <c r="FRA87" s="356"/>
      <c r="FRB87" s="356"/>
      <c r="FRC87" s="356"/>
      <c r="FRD87" s="356"/>
      <c r="FRE87" s="356"/>
      <c r="FRF87" s="356"/>
      <c r="FRG87" s="356"/>
      <c r="FRH87" s="356"/>
      <c r="FRI87" s="356"/>
      <c r="FRJ87" s="356"/>
      <c r="FRK87" s="356"/>
      <c r="FRL87" s="356"/>
      <c r="FRM87" s="356"/>
      <c r="FRN87" s="356"/>
      <c r="FRO87" s="356"/>
      <c r="FRP87" s="356"/>
      <c r="FRQ87" s="356"/>
      <c r="FRR87" s="356"/>
      <c r="FRS87" s="356"/>
      <c r="FRT87" s="356"/>
      <c r="FRU87" s="356"/>
      <c r="FRV87" s="356"/>
      <c r="FRW87" s="356"/>
      <c r="FRX87" s="356"/>
      <c r="FRY87" s="356"/>
      <c r="FRZ87" s="356"/>
      <c r="FSA87" s="356"/>
      <c r="FSB87" s="356"/>
      <c r="FSC87" s="356"/>
      <c r="FSD87" s="356"/>
      <c r="FSE87" s="356"/>
      <c r="FSF87" s="356"/>
      <c r="FSG87" s="356"/>
      <c r="FSH87" s="356"/>
      <c r="FSI87" s="356"/>
      <c r="FSJ87" s="356"/>
      <c r="FSK87" s="356"/>
      <c r="FSL87" s="356"/>
      <c r="FSM87" s="356"/>
      <c r="FSN87" s="356"/>
      <c r="FSO87" s="356"/>
      <c r="FSP87" s="356"/>
      <c r="FSQ87" s="356"/>
      <c r="FSR87" s="356"/>
      <c r="FSS87" s="356"/>
      <c r="FST87" s="356"/>
      <c r="FSU87" s="356"/>
      <c r="FSV87" s="356"/>
      <c r="FSW87" s="356"/>
      <c r="FSX87" s="356"/>
      <c r="FSY87" s="356"/>
      <c r="FSZ87" s="356"/>
      <c r="FTA87" s="356"/>
      <c r="FTB87" s="356"/>
      <c r="FTC87" s="356"/>
      <c r="FTD87" s="356"/>
      <c r="FTE87" s="356"/>
      <c r="FTF87" s="356"/>
      <c r="FTG87" s="356"/>
      <c r="FTH87" s="356"/>
      <c r="FTI87" s="356"/>
      <c r="FTJ87" s="356"/>
      <c r="FTK87" s="356"/>
      <c r="FTL87" s="356"/>
      <c r="FTM87" s="356"/>
      <c r="FTN87" s="356"/>
      <c r="FTO87" s="356"/>
      <c r="FTP87" s="356"/>
      <c r="FTQ87" s="356"/>
      <c r="FTR87" s="356"/>
      <c r="FTS87" s="356"/>
      <c r="FTT87" s="356"/>
      <c r="FTU87" s="356"/>
      <c r="FTV87" s="356"/>
      <c r="FTW87" s="356"/>
      <c r="FTX87" s="356"/>
      <c r="FTY87" s="356"/>
      <c r="FTZ87" s="356"/>
      <c r="FUA87" s="356"/>
      <c r="FUB87" s="356"/>
      <c r="FUC87" s="356"/>
      <c r="FUD87" s="356"/>
      <c r="FUE87" s="356"/>
      <c r="FUF87" s="356"/>
      <c r="FUG87" s="356"/>
      <c r="FUH87" s="356"/>
      <c r="FUI87" s="356"/>
      <c r="FUJ87" s="356"/>
      <c r="FUK87" s="356"/>
      <c r="FUL87" s="356"/>
      <c r="FUM87" s="356"/>
      <c r="FUN87" s="356"/>
      <c r="FUO87" s="356"/>
      <c r="FUP87" s="356"/>
      <c r="FUQ87" s="356"/>
      <c r="FUR87" s="356"/>
      <c r="FUS87" s="356"/>
      <c r="FUT87" s="356"/>
      <c r="FUU87" s="356"/>
      <c r="FUV87" s="356"/>
      <c r="FUW87" s="356"/>
      <c r="FUX87" s="356"/>
      <c r="FUY87" s="356"/>
      <c r="FUZ87" s="356"/>
      <c r="FVA87" s="356"/>
      <c r="FVB87" s="356"/>
      <c r="FVC87" s="356"/>
      <c r="FVD87" s="356"/>
      <c r="FVE87" s="356"/>
      <c r="FVF87" s="356"/>
      <c r="FVG87" s="356"/>
      <c r="FVH87" s="356"/>
      <c r="FVI87" s="356"/>
      <c r="FVJ87" s="356"/>
      <c r="FVK87" s="356"/>
      <c r="FVL87" s="356"/>
      <c r="FVM87" s="356"/>
      <c r="FVN87" s="356"/>
      <c r="FVO87" s="356"/>
      <c r="FVP87" s="356"/>
      <c r="FVQ87" s="356"/>
      <c r="FVR87" s="356"/>
      <c r="FVS87" s="356"/>
      <c r="FVT87" s="356"/>
      <c r="FVU87" s="356"/>
      <c r="FVV87" s="356"/>
      <c r="FVW87" s="356"/>
      <c r="FVX87" s="356"/>
      <c r="FVY87" s="356"/>
      <c r="FVZ87" s="356"/>
      <c r="FWA87" s="356"/>
      <c r="FWB87" s="356"/>
      <c r="FWC87" s="356"/>
      <c r="FWD87" s="356"/>
      <c r="FWE87" s="356"/>
      <c r="FWF87" s="356"/>
      <c r="FWG87" s="356"/>
      <c r="FWH87" s="356"/>
      <c r="FWI87" s="356"/>
      <c r="FWJ87" s="356"/>
      <c r="FWK87" s="356"/>
      <c r="FWL87" s="356"/>
      <c r="FWM87" s="356"/>
      <c r="FWN87" s="356"/>
      <c r="FWO87" s="356"/>
      <c r="FWP87" s="356"/>
      <c r="FWQ87" s="356"/>
      <c r="FWR87" s="356"/>
      <c r="FWS87" s="356"/>
      <c r="FWT87" s="356"/>
      <c r="FWU87" s="356"/>
      <c r="FWV87" s="356"/>
      <c r="FWW87" s="356"/>
      <c r="FWX87" s="356"/>
      <c r="FWY87" s="356"/>
      <c r="FWZ87" s="356"/>
      <c r="FXA87" s="356"/>
      <c r="FXB87" s="356"/>
      <c r="FXC87" s="356"/>
      <c r="FXD87" s="356"/>
      <c r="FXE87" s="356"/>
      <c r="FXF87" s="356"/>
      <c r="FXG87" s="356"/>
      <c r="FXH87" s="356"/>
      <c r="FXI87" s="356"/>
      <c r="FXJ87" s="356"/>
      <c r="FXK87" s="356"/>
      <c r="FXL87" s="356"/>
      <c r="FXM87" s="356"/>
      <c r="FXN87" s="356"/>
      <c r="FXO87" s="356"/>
      <c r="FXP87" s="356"/>
      <c r="FXQ87" s="356"/>
      <c r="FXR87" s="356"/>
      <c r="FXS87" s="356"/>
      <c r="FXT87" s="356"/>
      <c r="FXU87" s="356"/>
      <c r="FXV87" s="356"/>
      <c r="FXW87" s="356"/>
      <c r="FXX87" s="356"/>
      <c r="FXY87" s="356"/>
      <c r="FXZ87" s="356"/>
      <c r="FYA87" s="356"/>
      <c r="FYB87" s="356"/>
      <c r="FYC87" s="356"/>
      <c r="FYD87" s="356"/>
      <c r="FYE87" s="356"/>
      <c r="FYF87" s="356"/>
      <c r="FYG87" s="356"/>
      <c r="FYH87" s="356"/>
      <c r="FYI87" s="356"/>
      <c r="FYJ87" s="356"/>
      <c r="FYK87" s="356"/>
      <c r="FYL87" s="356"/>
      <c r="FYM87" s="356"/>
      <c r="FYN87" s="356"/>
      <c r="FYO87" s="356"/>
      <c r="FYP87" s="356"/>
      <c r="FYQ87" s="356"/>
      <c r="FYR87" s="356"/>
      <c r="FYS87" s="356"/>
      <c r="FYT87" s="356"/>
      <c r="FYU87" s="356"/>
      <c r="FYV87" s="356"/>
      <c r="FYW87" s="356"/>
      <c r="FYX87" s="356"/>
      <c r="FYY87" s="356"/>
      <c r="FYZ87" s="356"/>
      <c r="FZA87" s="356"/>
      <c r="FZB87" s="356"/>
      <c r="FZC87" s="356"/>
      <c r="FZD87" s="356"/>
      <c r="FZE87" s="356"/>
      <c r="FZF87" s="356"/>
      <c r="FZG87" s="356"/>
      <c r="FZH87" s="356"/>
      <c r="FZI87" s="356"/>
      <c r="FZJ87" s="356"/>
      <c r="FZK87" s="356"/>
      <c r="FZL87" s="356"/>
      <c r="FZM87" s="356"/>
      <c r="FZN87" s="356"/>
      <c r="FZO87" s="356"/>
      <c r="FZP87" s="356"/>
      <c r="FZQ87" s="356"/>
      <c r="FZR87" s="356"/>
      <c r="FZS87" s="356"/>
      <c r="FZT87" s="356"/>
      <c r="FZU87" s="356"/>
      <c r="FZV87" s="356"/>
      <c r="FZW87" s="356"/>
      <c r="FZX87" s="356"/>
      <c r="FZY87" s="356"/>
      <c r="FZZ87" s="356"/>
      <c r="GAA87" s="356"/>
      <c r="GAB87" s="356"/>
      <c r="GAC87" s="356"/>
      <c r="GAD87" s="356"/>
      <c r="GAE87" s="356"/>
      <c r="GAF87" s="356"/>
      <c r="GAG87" s="356"/>
      <c r="GAH87" s="356"/>
      <c r="GAI87" s="356"/>
      <c r="GAJ87" s="356"/>
      <c r="GAK87" s="356"/>
      <c r="GAL87" s="356"/>
      <c r="GAM87" s="356"/>
      <c r="GAN87" s="356"/>
      <c r="GAO87" s="356"/>
      <c r="GAP87" s="356"/>
      <c r="GAQ87" s="356"/>
      <c r="GAR87" s="356"/>
      <c r="GAS87" s="356"/>
      <c r="GAT87" s="356"/>
      <c r="GAU87" s="356"/>
      <c r="GAV87" s="356"/>
      <c r="GAW87" s="356"/>
      <c r="GAX87" s="356"/>
      <c r="GAY87" s="356"/>
      <c r="GAZ87" s="356"/>
      <c r="GBA87" s="356"/>
      <c r="GBB87" s="356"/>
      <c r="GBC87" s="356"/>
      <c r="GBD87" s="356"/>
      <c r="GBE87" s="356"/>
      <c r="GBF87" s="356"/>
      <c r="GBG87" s="356"/>
      <c r="GBH87" s="356"/>
      <c r="GBI87" s="356"/>
      <c r="GBJ87" s="356"/>
      <c r="GBK87" s="356"/>
      <c r="GBL87" s="356"/>
      <c r="GBM87" s="356"/>
      <c r="GBN87" s="356"/>
      <c r="GBO87" s="356"/>
      <c r="GBP87" s="356"/>
      <c r="GBQ87" s="356"/>
      <c r="GBR87" s="356"/>
      <c r="GBS87" s="356"/>
      <c r="GBT87" s="356"/>
      <c r="GBU87" s="356"/>
      <c r="GBV87" s="356"/>
      <c r="GBW87" s="356"/>
      <c r="GBX87" s="356"/>
      <c r="GBY87" s="356"/>
      <c r="GBZ87" s="356"/>
      <c r="GCA87" s="356"/>
      <c r="GCB87" s="356"/>
      <c r="GCC87" s="356"/>
      <c r="GCD87" s="356"/>
      <c r="GCE87" s="356"/>
      <c r="GCF87" s="356"/>
      <c r="GCG87" s="356"/>
      <c r="GCH87" s="356"/>
      <c r="GCI87" s="356"/>
      <c r="GCJ87" s="356"/>
      <c r="GCK87" s="356"/>
      <c r="GCL87" s="356"/>
      <c r="GCM87" s="356"/>
      <c r="GCN87" s="356"/>
      <c r="GCO87" s="356"/>
      <c r="GCP87" s="356"/>
      <c r="GCQ87" s="356"/>
      <c r="GCR87" s="356"/>
      <c r="GCS87" s="356"/>
      <c r="GCT87" s="356"/>
      <c r="GCU87" s="356"/>
      <c r="GCV87" s="356"/>
      <c r="GCW87" s="356"/>
      <c r="GCX87" s="356"/>
      <c r="GCY87" s="356"/>
      <c r="GCZ87" s="356"/>
      <c r="GDA87" s="356"/>
      <c r="GDB87" s="356"/>
      <c r="GDC87" s="356"/>
      <c r="GDD87" s="356"/>
      <c r="GDE87" s="356"/>
      <c r="GDF87" s="356"/>
      <c r="GDG87" s="356"/>
      <c r="GDH87" s="356"/>
      <c r="GDI87" s="356"/>
      <c r="GDJ87" s="356"/>
      <c r="GDK87" s="356"/>
      <c r="GDL87" s="356"/>
      <c r="GDM87" s="356"/>
      <c r="GDN87" s="356"/>
      <c r="GDO87" s="356"/>
      <c r="GDP87" s="356"/>
      <c r="GDQ87" s="356"/>
      <c r="GDR87" s="356"/>
      <c r="GDS87" s="356"/>
      <c r="GDT87" s="356"/>
      <c r="GDU87" s="356"/>
      <c r="GDV87" s="356"/>
      <c r="GDW87" s="356"/>
      <c r="GDX87" s="356"/>
      <c r="GDY87" s="356"/>
      <c r="GDZ87" s="356"/>
      <c r="GEA87" s="356"/>
      <c r="GEB87" s="356"/>
      <c r="GEC87" s="356"/>
      <c r="GED87" s="356"/>
      <c r="GEE87" s="356"/>
      <c r="GEF87" s="356"/>
      <c r="GEG87" s="356"/>
      <c r="GEH87" s="356"/>
      <c r="GEI87" s="356"/>
      <c r="GEJ87" s="356"/>
      <c r="GEK87" s="356"/>
      <c r="GEL87" s="356"/>
      <c r="GEM87" s="356"/>
      <c r="GEN87" s="356"/>
      <c r="GEO87" s="356"/>
      <c r="GEP87" s="356"/>
      <c r="GEQ87" s="356"/>
      <c r="GER87" s="356"/>
      <c r="GES87" s="356"/>
      <c r="GET87" s="356"/>
      <c r="GEU87" s="356"/>
      <c r="GEV87" s="356"/>
      <c r="GEW87" s="356"/>
      <c r="GEX87" s="356"/>
      <c r="GEY87" s="356"/>
      <c r="GEZ87" s="356"/>
      <c r="GFA87" s="356"/>
      <c r="GFB87" s="356"/>
      <c r="GFC87" s="356"/>
      <c r="GFD87" s="356"/>
      <c r="GFE87" s="356"/>
      <c r="GFF87" s="356"/>
      <c r="GFG87" s="356"/>
      <c r="GFH87" s="356"/>
      <c r="GFI87" s="356"/>
      <c r="GFJ87" s="356"/>
      <c r="GFK87" s="356"/>
      <c r="GFL87" s="356"/>
      <c r="GFM87" s="356"/>
      <c r="GFN87" s="356"/>
      <c r="GFO87" s="356"/>
      <c r="GFP87" s="356"/>
      <c r="GFQ87" s="356"/>
      <c r="GFR87" s="356"/>
      <c r="GFS87" s="356"/>
      <c r="GFT87" s="356"/>
      <c r="GFU87" s="356"/>
      <c r="GFV87" s="356"/>
      <c r="GFW87" s="356"/>
      <c r="GFX87" s="356"/>
      <c r="GFY87" s="356"/>
      <c r="GFZ87" s="356"/>
      <c r="GGA87" s="356"/>
      <c r="GGB87" s="356"/>
      <c r="GGC87" s="356"/>
      <c r="GGD87" s="356"/>
      <c r="GGE87" s="356"/>
      <c r="GGF87" s="356"/>
      <c r="GGG87" s="356"/>
      <c r="GGH87" s="356"/>
      <c r="GGI87" s="356"/>
      <c r="GGJ87" s="356"/>
      <c r="GGK87" s="356"/>
      <c r="GGL87" s="356"/>
      <c r="GGM87" s="356"/>
      <c r="GGN87" s="356"/>
      <c r="GGO87" s="356"/>
      <c r="GGP87" s="356"/>
      <c r="GGQ87" s="356"/>
      <c r="GGR87" s="356"/>
      <c r="GGS87" s="356"/>
      <c r="GGT87" s="356"/>
      <c r="GGU87" s="356"/>
      <c r="GGV87" s="356"/>
      <c r="GGW87" s="356"/>
      <c r="GGX87" s="356"/>
      <c r="GGY87" s="356"/>
      <c r="GGZ87" s="356"/>
      <c r="GHA87" s="356"/>
      <c r="GHB87" s="356"/>
      <c r="GHC87" s="356"/>
      <c r="GHD87" s="356"/>
      <c r="GHE87" s="356"/>
      <c r="GHF87" s="356"/>
      <c r="GHG87" s="356"/>
      <c r="GHH87" s="356"/>
      <c r="GHI87" s="356"/>
      <c r="GHJ87" s="356"/>
      <c r="GHK87" s="356"/>
      <c r="GHL87" s="356"/>
      <c r="GHM87" s="356"/>
      <c r="GHN87" s="356"/>
      <c r="GHO87" s="356"/>
      <c r="GHP87" s="356"/>
      <c r="GHQ87" s="356"/>
      <c r="GHR87" s="356"/>
      <c r="GHS87" s="356"/>
      <c r="GHT87" s="356"/>
      <c r="GHU87" s="356"/>
      <c r="GHV87" s="356"/>
      <c r="GHW87" s="356"/>
      <c r="GHX87" s="356"/>
      <c r="GHY87" s="356"/>
      <c r="GHZ87" s="356"/>
      <c r="GIA87" s="356"/>
      <c r="GIB87" s="356"/>
      <c r="GIC87" s="356"/>
      <c r="GID87" s="356"/>
      <c r="GIE87" s="356"/>
      <c r="GIF87" s="356"/>
      <c r="GIG87" s="356"/>
      <c r="GIH87" s="356"/>
      <c r="GII87" s="356"/>
      <c r="GIJ87" s="356"/>
      <c r="GIK87" s="356"/>
      <c r="GIL87" s="356"/>
      <c r="GIM87" s="356"/>
      <c r="GIN87" s="356"/>
      <c r="GIO87" s="356"/>
      <c r="GIP87" s="356"/>
      <c r="GIQ87" s="356"/>
      <c r="GIR87" s="356"/>
      <c r="GIS87" s="356"/>
      <c r="GIT87" s="356"/>
      <c r="GIU87" s="356"/>
      <c r="GIV87" s="356"/>
      <c r="GIW87" s="356"/>
      <c r="GIX87" s="356"/>
      <c r="GIY87" s="356"/>
      <c r="GIZ87" s="356"/>
      <c r="GJA87" s="356"/>
      <c r="GJB87" s="356"/>
      <c r="GJC87" s="356"/>
      <c r="GJD87" s="356"/>
      <c r="GJE87" s="356"/>
      <c r="GJF87" s="356"/>
      <c r="GJG87" s="356"/>
      <c r="GJH87" s="356"/>
      <c r="GJI87" s="356"/>
      <c r="GJJ87" s="356"/>
      <c r="GJK87" s="356"/>
      <c r="GJL87" s="356"/>
      <c r="GJM87" s="356"/>
      <c r="GJN87" s="356"/>
      <c r="GJO87" s="356"/>
      <c r="GJP87" s="356"/>
      <c r="GJQ87" s="356"/>
      <c r="GJR87" s="356"/>
      <c r="GJS87" s="356"/>
      <c r="GJT87" s="356"/>
      <c r="GJU87" s="356"/>
      <c r="GJV87" s="356"/>
      <c r="GJW87" s="356"/>
      <c r="GJX87" s="356"/>
      <c r="GJY87" s="356"/>
      <c r="GJZ87" s="356"/>
      <c r="GKA87" s="356"/>
      <c r="GKB87" s="356"/>
      <c r="GKC87" s="356"/>
      <c r="GKD87" s="356"/>
      <c r="GKE87" s="356"/>
      <c r="GKF87" s="356"/>
      <c r="GKG87" s="356"/>
      <c r="GKH87" s="356"/>
      <c r="GKI87" s="356"/>
      <c r="GKJ87" s="356"/>
      <c r="GKK87" s="356"/>
      <c r="GKL87" s="356"/>
      <c r="GKM87" s="356"/>
      <c r="GKN87" s="356"/>
      <c r="GKO87" s="356"/>
      <c r="GKP87" s="356"/>
      <c r="GKQ87" s="356"/>
      <c r="GKR87" s="356"/>
      <c r="GKS87" s="356"/>
      <c r="GKT87" s="356"/>
      <c r="GKU87" s="356"/>
      <c r="GKV87" s="356"/>
      <c r="GKW87" s="356"/>
      <c r="GKX87" s="356"/>
      <c r="GKY87" s="356"/>
      <c r="GKZ87" s="356"/>
      <c r="GLA87" s="356"/>
      <c r="GLB87" s="356"/>
      <c r="GLC87" s="356"/>
      <c r="GLD87" s="356"/>
      <c r="GLE87" s="356"/>
      <c r="GLF87" s="356"/>
      <c r="GLG87" s="356"/>
      <c r="GLH87" s="356"/>
      <c r="GLI87" s="356"/>
      <c r="GLJ87" s="356"/>
      <c r="GLK87" s="356"/>
      <c r="GLL87" s="356"/>
      <c r="GLM87" s="356"/>
      <c r="GLN87" s="356"/>
      <c r="GLO87" s="356"/>
      <c r="GLP87" s="356"/>
      <c r="GLQ87" s="356"/>
      <c r="GLR87" s="356"/>
      <c r="GLS87" s="356"/>
      <c r="GLT87" s="356"/>
      <c r="GLU87" s="356"/>
      <c r="GLV87" s="356"/>
      <c r="GLW87" s="356"/>
      <c r="GLX87" s="356"/>
      <c r="GLY87" s="356"/>
      <c r="GLZ87" s="356"/>
      <c r="GMA87" s="356"/>
      <c r="GMB87" s="356"/>
      <c r="GMC87" s="356"/>
      <c r="GMD87" s="356"/>
      <c r="GME87" s="356"/>
      <c r="GMF87" s="356"/>
      <c r="GMG87" s="356"/>
      <c r="GMH87" s="356"/>
      <c r="GMI87" s="356"/>
      <c r="GMJ87" s="356"/>
      <c r="GMK87" s="356"/>
      <c r="GML87" s="356"/>
      <c r="GMM87" s="356"/>
      <c r="GMN87" s="356"/>
      <c r="GMO87" s="356"/>
      <c r="GMP87" s="356"/>
      <c r="GMQ87" s="356"/>
      <c r="GMR87" s="356"/>
      <c r="GMS87" s="356"/>
      <c r="GMT87" s="356"/>
      <c r="GMU87" s="356"/>
      <c r="GMV87" s="356"/>
      <c r="GMW87" s="356"/>
      <c r="GMX87" s="356"/>
      <c r="GMY87" s="356"/>
      <c r="GMZ87" s="356"/>
      <c r="GNA87" s="356"/>
      <c r="GNB87" s="356"/>
      <c r="GNC87" s="356"/>
      <c r="GND87" s="356"/>
      <c r="GNE87" s="356"/>
      <c r="GNF87" s="356"/>
      <c r="GNG87" s="356"/>
      <c r="GNH87" s="356"/>
      <c r="GNI87" s="356"/>
      <c r="GNJ87" s="356"/>
      <c r="GNK87" s="356"/>
      <c r="GNL87" s="356"/>
      <c r="GNM87" s="356"/>
      <c r="GNN87" s="356"/>
      <c r="GNO87" s="356"/>
      <c r="GNP87" s="356"/>
      <c r="GNQ87" s="356"/>
      <c r="GNR87" s="356"/>
      <c r="GNS87" s="356"/>
      <c r="GNT87" s="356"/>
      <c r="GNU87" s="356"/>
      <c r="GNV87" s="356"/>
      <c r="GNW87" s="356"/>
      <c r="GNX87" s="356"/>
      <c r="GNY87" s="356"/>
      <c r="GNZ87" s="356"/>
      <c r="GOA87" s="356"/>
      <c r="GOB87" s="356"/>
      <c r="GOC87" s="356"/>
      <c r="GOD87" s="356"/>
      <c r="GOE87" s="356"/>
      <c r="GOF87" s="356"/>
      <c r="GOG87" s="356"/>
      <c r="GOH87" s="356"/>
      <c r="GOI87" s="356"/>
      <c r="GOJ87" s="356"/>
      <c r="GOK87" s="356"/>
      <c r="GOL87" s="356"/>
      <c r="GOM87" s="356"/>
      <c r="GON87" s="356"/>
      <c r="GOO87" s="356"/>
      <c r="GOP87" s="356"/>
      <c r="GOQ87" s="356"/>
      <c r="GOR87" s="356"/>
      <c r="GOS87" s="356"/>
      <c r="GOT87" s="356"/>
      <c r="GOU87" s="356"/>
      <c r="GOV87" s="356"/>
      <c r="GOW87" s="356"/>
      <c r="GOX87" s="356"/>
      <c r="GOY87" s="356"/>
      <c r="GOZ87" s="356"/>
      <c r="GPA87" s="356"/>
      <c r="GPB87" s="356"/>
      <c r="GPC87" s="356"/>
      <c r="GPD87" s="356"/>
      <c r="GPE87" s="356"/>
      <c r="GPF87" s="356"/>
      <c r="GPG87" s="356"/>
      <c r="GPH87" s="356"/>
      <c r="GPI87" s="356"/>
      <c r="GPJ87" s="356"/>
      <c r="GPK87" s="356"/>
      <c r="GPL87" s="356"/>
      <c r="GPM87" s="356"/>
      <c r="GPN87" s="356"/>
      <c r="GPO87" s="356"/>
      <c r="GPP87" s="356"/>
      <c r="GPQ87" s="356"/>
      <c r="GPR87" s="356"/>
      <c r="GPS87" s="356"/>
      <c r="GPT87" s="356"/>
      <c r="GPU87" s="356"/>
      <c r="GPV87" s="356"/>
      <c r="GPW87" s="356"/>
      <c r="GPX87" s="356"/>
      <c r="GPY87" s="356"/>
      <c r="GPZ87" s="356"/>
      <c r="GQA87" s="356"/>
      <c r="GQB87" s="356"/>
      <c r="GQC87" s="356"/>
      <c r="GQD87" s="356"/>
      <c r="GQE87" s="356"/>
      <c r="GQF87" s="356"/>
      <c r="GQG87" s="356"/>
      <c r="GQH87" s="356"/>
      <c r="GQI87" s="356"/>
      <c r="GQJ87" s="356"/>
      <c r="GQK87" s="356"/>
      <c r="GQL87" s="356"/>
      <c r="GQM87" s="356"/>
      <c r="GQN87" s="356"/>
      <c r="GQO87" s="356"/>
      <c r="GQP87" s="356"/>
      <c r="GQQ87" s="356"/>
      <c r="GQR87" s="356"/>
      <c r="GQS87" s="356"/>
      <c r="GQT87" s="356"/>
      <c r="GQU87" s="356"/>
      <c r="GQV87" s="356"/>
      <c r="GQW87" s="356"/>
      <c r="GQX87" s="356"/>
      <c r="GQY87" s="356"/>
      <c r="GQZ87" s="356"/>
      <c r="GRA87" s="356"/>
      <c r="GRB87" s="356"/>
      <c r="GRC87" s="356"/>
      <c r="GRD87" s="356"/>
      <c r="GRE87" s="356"/>
      <c r="GRF87" s="356"/>
      <c r="GRG87" s="356"/>
      <c r="GRH87" s="356"/>
      <c r="GRI87" s="356"/>
      <c r="GRJ87" s="356"/>
      <c r="GRK87" s="356"/>
      <c r="GRL87" s="356"/>
      <c r="GRM87" s="356"/>
      <c r="GRN87" s="356"/>
      <c r="GRO87" s="356"/>
      <c r="GRP87" s="356"/>
      <c r="GRQ87" s="356"/>
      <c r="GRR87" s="356"/>
      <c r="GRS87" s="356"/>
      <c r="GRT87" s="356"/>
      <c r="GRU87" s="356"/>
      <c r="GRV87" s="356"/>
      <c r="GRW87" s="356"/>
      <c r="GRX87" s="356"/>
      <c r="GRY87" s="356"/>
      <c r="GRZ87" s="356"/>
      <c r="GSA87" s="356"/>
      <c r="GSB87" s="356"/>
      <c r="GSC87" s="356"/>
      <c r="GSD87" s="356"/>
      <c r="GSE87" s="356"/>
      <c r="GSF87" s="356"/>
      <c r="GSG87" s="356"/>
      <c r="GSH87" s="356"/>
      <c r="GSI87" s="356"/>
      <c r="GSJ87" s="356"/>
      <c r="GSK87" s="356"/>
      <c r="GSL87" s="356"/>
      <c r="GSM87" s="356"/>
      <c r="GSN87" s="356"/>
      <c r="GSO87" s="356"/>
      <c r="GSP87" s="356"/>
      <c r="GSQ87" s="356"/>
      <c r="GSR87" s="356"/>
      <c r="GSS87" s="356"/>
      <c r="GST87" s="356"/>
      <c r="GSU87" s="356"/>
      <c r="GSV87" s="356"/>
      <c r="GSW87" s="356"/>
      <c r="GSX87" s="356"/>
      <c r="GSY87" s="356"/>
      <c r="GSZ87" s="356"/>
      <c r="GTA87" s="356"/>
      <c r="GTB87" s="356"/>
      <c r="GTC87" s="356"/>
      <c r="GTD87" s="356"/>
      <c r="GTE87" s="356"/>
      <c r="GTF87" s="356"/>
      <c r="GTG87" s="356"/>
      <c r="GTH87" s="356"/>
      <c r="GTI87" s="356"/>
      <c r="GTJ87" s="356"/>
      <c r="GTK87" s="356"/>
      <c r="GTL87" s="356"/>
      <c r="GTM87" s="356"/>
      <c r="GTN87" s="356"/>
      <c r="GTO87" s="356"/>
      <c r="GTP87" s="356"/>
      <c r="GTQ87" s="356"/>
      <c r="GTR87" s="356"/>
      <c r="GTS87" s="356"/>
      <c r="GTT87" s="356"/>
      <c r="GTU87" s="356"/>
      <c r="GTV87" s="356"/>
      <c r="GTW87" s="356"/>
      <c r="GTX87" s="356"/>
      <c r="GTY87" s="356"/>
      <c r="GTZ87" s="356"/>
      <c r="GUA87" s="356"/>
      <c r="GUB87" s="356"/>
      <c r="GUC87" s="356"/>
      <c r="GUD87" s="356"/>
      <c r="GUE87" s="356"/>
      <c r="GUF87" s="356"/>
      <c r="GUG87" s="356"/>
      <c r="GUH87" s="356"/>
      <c r="GUI87" s="356"/>
      <c r="GUJ87" s="356"/>
      <c r="GUK87" s="356"/>
      <c r="GUL87" s="356"/>
      <c r="GUM87" s="356"/>
      <c r="GUN87" s="356"/>
      <c r="GUO87" s="356"/>
      <c r="GUP87" s="356"/>
      <c r="GUQ87" s="356"/>
      <c r="GUR87" s="356"/>
      <c r="GUS87" s="356"/>
      <c r="GUT87" s="356"/>
      <c r="GUU87" s="356"/>
      <c r="GUV87" s="356"/>
      <c r="GUW87" s="356"/>
      <c r="GUX87" s="356"/>
      <c r="GUY87" s="356"/>
      <c r="GUZ87" s="356"/>
      <c r="GVA87" s="356"/>
      <c r="GVB87" s="356"/>
      <c r="GVC87" s="356"/>
      <c r="GVD87" s="356"/>
      <c r="GVE87" s="356"/>
      <c r="GVF87" s="356"/>
      <c r="GVG87" s="356"/>
      <c r="GVH87" s="356"/>
      <c r="GVI87" s="356"/>
      <c r="GVJ87" s="356"/>
      <c r="GVK87" s="356"/>
      <c r="GVL87" s="356"/>
      <c r="GVM87" s="356"/>
      <c r="GVN87" s="356"/>
      <c r="GVO87" s="356"/>
      <c r="GVP87" s="356"/>
      <c r="GVQ87" s="356"/>
      <c r="GVR87" s="356"/>
      <c r="GVS87" s="356"/>
      <c r="GVT87" s="356"/>
      <c r="GVU87" s="356"/>
      <c r="GVV87" s="356"/>
      <c r="GVW87" s="356"/>
      <c r="GVX87" s="356"/>
      <c r="GVY87" s="356"/>
      <c r="GVZ87" s="356"/>
      <c r="GWA87" s="356"/>
      <c r="GWB87" s="356"/>
      <c r="GWC87" s="356"/>
      <c r="GWD87" s="356"/>
      <c r="GWE87" s="356"/>
      <c r="GWF87" s="356"/>
      <c r="GWG87" s="356"/>
      <c r="GWH87" s="356"/>
      <c r="GWI87" s="356"/>
      <c r="GWJ87" s="356"/>
      <c r="GWK87" s="356"/>
      <c r="GWL87" s="356"/>
      <c r="GWM87" s="356"/>
      <c r="GWN87" s="356"/>
      <c r="GWO87" s="356"/>
      <c r="GWP87" s="356"/>
      <c r="GWQ87" s="356"/>
      <c r="GWR87" s="356"/>
      <c r="GWS87" s="356"/>
      <c r="GWT87" s="356"/>
      <c r="GWU87" s="356"/>
      <c r="GWV87" s="356"/>
      <c r="GWW87" s="356"/>
      <c r="GWX87" s="356"/>
      <c r="GWY87" s="356"/>
      <c r="GWZ87" s="356"/>
      <c r="GXA87" s="356"/>
      <c r="GXB87" s="356"/>
      <c r="GXC87" s="356"/>
      <c r="GXD87" s="356"/>
      <c r="GXE87" s="356"/>
      <c r="GXF87" s="356"/>
      <c r="GXG87" s="356"/>
      <c r="GXH87" s="356"/>
      <c r="GXI87" s="356"/>
      <c r="GXJ87" s="356"/>
      <c r="GXK87" s="356"/>
      <c r="GXL87" s="356"/>
      <c r="GXM87" s="356"/>
      <c r="GXN87" s="356"/>
      <c r="GXO87" s="356"/>
      <c r="GXP87" s="356"/>
      <c r="GXQ87" s="356"/>
      <c r="GXR87" s="356"/>
      <c r="GXS87" s="356"/>
      <c r="GXT87" s="356"/>
      <c r="GXU87" s="356"/>
      <c r="GXV87" s="356"/>
      <c r="GXW87" s="356"/>
      <c r="GXX87" s="356"/>
      <c r="GXY87" s="356"/>
      <c r="GXZ87" s="356"/>
      <c r="GYA87" s="356"/>
      <c r="GYB87" s="356"/>
      <c r="GYC87" s="356"/>
      <c r="GYD87" s="356"/>
      <c r="GYE87" s="356"/>
      <c r="GYF87" s="356"/>
      <c r="GYG87" s="356"/>
      <c r="GYH87" s="356"/>
      <c r="GYI87" s="356"/>
      <c r="GYJ87" s="356"/>
      <c r="GYK87" s="356"/>
      <c r="GYL87" s="356"/>
      <c r="GYM87" s="356"/>
      <c r="GYN87" s="356"/>
      <c r="GYO87" s="356"/>
      <c r="GYP87" s="356"/>
      <c r="GYQ87" s="356"/>
      <c r="GYR87" s="356"/>
      <c r="GYS87" s="356"/>
      <c r="GYT87" s="356"/>
      <c r="GYU87" s="356"/>
      <c r="GYV87" s="356"/>
      <c r="GYW87" s="356"/>
      <c r="GYX87" s="356"/>
      <c r="GYY87" s="356"/>
      <c r="GYZ87" s="356"/>
      <c r="GZA87" s="356"/>
      <c r="GZB87" s="356"/>
      <c r="GZC87" s="356"/>
      <c r="GZD87" s="356"/>
      <c r="GZE87" s="356"/>
      <c r="GZF87" s="356"/>
      <c r="GZG87" s="356"/>
      <c r="GZH87" s="356"/>
      <c r="GZI87" s="356"/>
      <c r="GZJ87" s="356"/>
      <c r="GZK87" s="356"/>
      <c r="GZL87" s="356"/>
      <c r="GZM87" s="356"/>
      <c r="GZN87" s="356"/>
      <c r="GZO87" s="356"/>
      <c r="GZP87" s="356"/>
      <c r="GZQ87" s="356"/>
      <c r="GZR87" s="356"/>
      <c r="GZS87" s="356"/>
      <c r="GZT87" s="356"/>
      <c r="GZU87" s="356"/>
      <c r="GZV87" s="356"/>
      <c r="GZW87" s="356"/>
      <c r="GZX87" s="356"/>
      <c r="GZY87" s="356"/>
      <c r="GZZ87" s="356"/>
      <c r="HAA87" s="356"/>
      <c r="HAB87" s="356"/>
      <c r="HAC87" s="356"/>
      <c r="HAD87" s="356"/>
      <c r="HAE87" s="356"/>
      <c r="HAF87" s="356"/>
      <c r="HAG87" s="356"/>
      <c r="HAH87" s="356"/>
      <c r="HAI87" s="356"/>
      <c r="HAJ87" s="356"/>
      <c r="HAK87" s="356"/>
      <c r="HAL87" s="356"/>
      <c r="HAM87" s="356"/>
      <c r="HAN87" s="356"/>
      <c r="HAO87" s="356"/>
      <c r="HAP87" s="356"/>
      <c r="HAQ87" s="356"/>
      <c r="HAR87" s="356"/>
      <c r="HAS87" s="356"/>
      <c r="HAT87" s="356"/>
      <c r="HAU87" s="356"/>
      <c r="HAV87" s="356"/>
      <c r="HAW87" s="356"/>
      <c r="HAX87" s="356"/>
      <c r="HAY87" s="356"/>
      <c r="HAZ87" s="356"/>
      <c r="HBA87" s="356"/>
      <c r="HBB87" s="356"/>
      <c r="HBC87" s="356"/>
      <c r="HBD87" s="356"/>
      <c r="HBE87" s="356"/>
      <c r="HBF87" s="356"/>
      <c r="HBG87" s="356"/>
      <c r="HBH87" s="356"/>
      <c r="HBI87" s="356"/>
      <c r="HBJ87" s="356"/>
      <c r="HBK87" s="356"/>
      <c r="HBL87" s="356"/>
      <c r="HBM87" s="356"/>
      <c r="HBN87" s="356"/>
      <c r="HBO87" s="356"/>
      <c r="HBP87" s="356"/>
      <c r="HBQ87" s="356"/>
      <c r="HBR87" s="356"/>
      <c r="HBS87" s="356"/>
      <c r="HBT87" s="356"/>
      <c r="HBU87" s="356"/>
      <c r="HBV87" s="356"/>
      <c r="HBW87" s="356"/>
      <c r="HBX87" s="356"/>
      <c r="HBY87" s="356"/>
      <c r="HBZ87" s="356"/>
      <c r="HCA87" s="356"/>
      <c r="HCB87" s="356"/>
      <c r="HCC87" s="356"/>
      <c r="HCD87" s="356"/>
      <c r="HCE87" s="356"/>
      <c r="HCF87" s="356"/>
      <c r="HCG87" s="356"/>
      <c r="HCH87" s="356"/>
      <c r="HCI87" s="356"/>
      <c r="HCJ87" s="356"/>
      <c r="HCK87" s="356"/>
      <c r="HCL87" s="356"/>
      <c r="HCM87" s="356"/>
      <c r="HCN87" s="356"/>
      <c r="HCO87" s="356"/>
      <c r="HCP87" s="356"/>
      <c r="HCQ87" s="356"/>
      <c r="HCR87" s="356"/>
      <c r="HCS87" s="356"/>
      <c r="HCT87" s="356"/>
      <c r="HCU87" s="356"/>
      <c r="HCV87" s="356"/>
      <c r="HCW87" s="356"/>
      <c r="HCX87" s="356"/>
      <c r="HCY87" s="356"/>
      <c r="HCZ87" s="356"/>
      <c r="HDA87" s="356"/>
      <c r="HDB87" s="356"/>
      <c r="HDC87" s="356"/>
      <c r="HDD87" s="356"/>
      <c r="HDE87" s="356"/>
      <c r="HDF87" s="356"/>
      <c r="HDG87" s="356"/>
      <c r="HDH87" s="356"/>
      <c r="HDI87" s="356"/>
      <c r="HDJ87" s="356"/>
      <c r="HDK87" s="356"/>
      <c r="HDL87" s="356"/>
      <c r="HDM87" s="356"/>
      <c r="HDN87" s="356"/>
      <c r="HDO87" s="356"/>
      <c r="HDP87" s="356"/>
      <c r="HDQ87" s="356"/>
      <c r="HDR87" s="356"/>
      <c r="HDS87" s="356"/>
      <c r="HDT87" s="356"/>
      <c r="HDU87" s="356"/>
      <c r="HDV87" s="356"/>
      <c r="HDW87" s="356"/>
      <c r="HDX87" s="356"/>
      <c r="HDY87" s="356"/>
      <c r="HDZ87" s="356"/>
      <c r="HEA87" s="356"/>
      <c r="HEB87" s="356"/>
      <c r="HEC87" s="356"/>
      <c r="HED87" s="356"/>
      <c r="HEE87" s="356"/>
      <c r="HEF87" s="356"/>
      <c r="HEG87" s="356"/>
      <c r="HEH87" s="356"/>
      <c r="HEI87" s="356"/>
      <c r="HEJ87" s="356"/>
      <c r="HEK87" s="356"/>
      <c r="HEL87" s="356"/>
      <c r="HEM87" s="356"/>
      <c r="HEN87" s="356"/>
      <c r="HEO87" s="356"/>
      <c r="HEP87" s="356"/>
      <c r="HEQ87" s="356"/>
      <c r="HER87" s="356"/>
      <c r="HES87" s="356"/>
      <c r="HET87" s="356"/>
      <c r="HEU87" s="356"/>
      <c r="HEV87" s="356"/>
      <c r="HEW87" s="356"/>
      <c r="HEX87" s="356"/>
      <c r="HEY87" s="356"/>
      <c r="HEZ87" s="356"/>
      <c r="HFA87" s="356"/>
      <c r="HFB87" s="356"/>
      <c r="HFC87" s="356"/>
      <c r="HFD87" s="356"/>
      <c r="HFE87" s="356"/>
      <c r="HFF87" s="356"/>
      <c r="HFG87" s="356"/>
      <c r="HFH87" s="356"/>
      <c r="HFI87" s="356"/>
      <c r="HFJ87" s="356"/>
      <c r="HFK87" s="356"/>
      <c r="HFL87" s="356"/>
      <c r="HFM87" s="356"/>
      <c r="HFN87" s="356"/>
      <c r="HFO87" s="356"/>
      <c r="HFP87" s="356"/>
      <c r="HFQ87" s="356"/>
      <c r="HFR87" s="356"/>
      <c r="HFS87" s="356"/>
      <c r="HFT87" s="356"/>
      <c r="HFU87" s="356"/>
      <c r="HFV87" s="356"/>
      <c r="HFW87" s="356"/>
      <c r="HFX87" s="356"/>
      <c r="HFY87" s="356"/>
      <c r="HFZ87" s="356"/>
      <c r="HGA87" s="356"/>
      <c r="HGB87" s="356"/>
      <c r="HGC87" s="356"/>
      <c r="HGD87" s="356"/>
      <c r="HGE87" s="356"/>
      <c r="HGF87" s="356"/>
      <c r="HGG87" s="356"/>
      <c r="HGH87" s="356"/>
      <c r="HGI87" s="356"/>
      <c r="HGJ87" s="356"/>
      <c r="HGK87" s="356"/>
      <c r="HGL87" s="356"/>
      <c r="HGM87" s="356"/>
      <c r="HGN87" s="356"/>
      <c r="HGO87" s="356"/>
      <c r="HGP87" s="356"/>
      <c r="HGQ87" s="356"/>
      <c r="HGR87" s="356"/>
      <c r="HGS87" s="356"/>
      <c r="HGT87" s="356"/>
      <c r="HGU87" s="356"/>
      <c r="HGV87" s="356"/>
      <c r="HGW87" s="356"/>
      <c r="HGX87" s="356"/>
      <c r="HGY87" s="356"/>
      <c r="HGZ87" s="356"/>
      <c r="HHA87" s="356"/>
      <c r="HHB87" s="356"/>
      <c r="HHC87" s="356"/>
      <c r="HHD87" s="356"/>
      <c r="HHE87" s="356"/>
      <c r="HHF87" s="356"/>
      <c r="HHG87" s="356"/>
      <c r="HHH87" s="356"/>
      <c r="HHI87" s="356"/>
      <c r="HHJ87" s="356"/>
      <c r="HHK87" s="356"/>
      <c r="HHL87" s="356"/>
      <c r="HHM87" s="356"/>
      <c r="HHN87" s="356"/>
      <c r="HHO87" s="356"/>
      <c r="HHP87" s="356"/>
      <c r="HHQ87" s="356"/>
      <c r="HHR87" s="356"/>
      <c r="HHS87" s="356"/>
      <c r="HHT87" s="356"/>
      <c r="HHU87" s="356"/>
      <c r="HHV87" s="356"/>
      <c r="HHW87" s="356"/>
      <c r="HHX87" s="356"/>
      <c r="HHY87" s="356"/>
      <c r="HHZ87" s="356"/>
      <c r="HIA87" s="356"/>
      <c r="HIB87" s="356"/>
      <c r="HIC87" s="356"/>
      <c r="HID87" s="356"/>
      <c r="HIE87" s="356"/>
      <c r="HIF87" s="356"/>
      <c r="HIG87" s="356"/>
      <c r="HIH87" s="356"/>
      <c r="HII87" s="356"/>
      <c r="HIJ87" s="356"/>
      <c r="HIK87" s="356"/>
      <c r="HIL87" s="356"/>
      <c r="HIM87" s="356"/>
      <c r="HIN87" s="356"/>
      <c r="HIO87" s="356"/>
      <c r="HIP87" s="356"/>
      <c r="HIQ87" s="356"/>
      <c r="HIR87" s="356"/>
      <c r="HIS87" s="356"/>
      <c r="HIT87" s="356"/>
      <c r="HIU87" s="356"/>
      <c r="HIV87" s="356"/>
      <c r="HIW87" s="356"/>
      <c r="HIX87" s="356"/>
      <c r="HIY87" s="356"/>
      <c r="HIZ87" s="356"/>
      <c r="HJA87" s="356"/>
      <c r="HJB87" s="356"/>
      <c r="HJC87" s="356"/>
      <c r="HJD87" s="356"/>
      <c r="HJE87" s="356"/>
      <c r="HJF87" s="356"/>
      <c r="HJG87" s="356"/>
      <c r="HJH87" s="356"/>
      <c r="HJI87" s="356"/>
      <c r="HJJ87" s="356"/>
      <c r="HJK87" s="356"/>
      <c r="HJL87" s="356"/>
      <c r="HJM87" s="356"/>
      <c r="HJN87" s="356"/>
      <c r="HJO87" s="356"/>
      <c r="HJP87" s="356"/>
      <c r="HJQ87" s="356"/>
      <c r="HJR87" s="356"/>
      <c r="HJS87" s="356"/>
      <c r="HJT87" s="356"/>
      <c r="HJU87" s="356"/>
      <c r="HJV87" s="356"/>
      <c r="HJW87" s="356"/>
      <c r="HJX87" s="356"/>
      <c r="HJY87" s="356"/>
      <c r="HJZ87" s="356"/>
      <c r="HKA87" s="356"/>
      <c r="HKB87" s="356"/>
      <c r="HKC87" s="356"/>
      <c r="HKD87" s="356"/>
      <c r="HKE87" s="356"/>
      <c r="HKF87" s="356"/>
      <c r="HKG87" s="356"/>
      <c r="HKH87" s="356"/>
      <c r="HKI87" s="356"/>
      <c r="HKJ87" s="356"/>
      <c r="HKK87" s="356"/>
      <c r="HKL87" s="356"/>
      <c r="HKM87" s="356"/>
      <c r="HKN87" s="356"/>
      <c r="HKO87" s="356"/>
      <c r="HKP87" s="356"/>
      <c r="HKQ87" s="356"/>
      <c r="HKR87" s="356"/>
      <c r="HKS87" s="356"/>
      <c r="HKT87" s="356"/>
      <c r="HKU87" s="356"/>
      <c r="HKV87" s="356"/>
      <c r="HKW87" s="356"/>
      <c r="HKX87" s="356"/>
      <c r="HKY87" s="356"/>
      <c r="HKZ87" s="356"/>
      <c r="HLA87" s="356"/>
      <c r="HLB87" s="356"/>
      <c r="HLC87" s="356"/>
      <c r="HLD87" s="356"/>
      <c r="HLE87" s="356"/>
      <c r="HLF87" s="356"/>
      <c r="HLG87" s="356"/>
      <c r="HLH87" s="356"/>
      <c r="HLI87" s="356"/>
      <c r="HLJ87" s="356"/>
      <c r="HLK87" s="356"/>
      <c r="HLL87" s="356"/>
      <c r="HLM87" s="356"/>
      <c r="HLN87" s="356"/>
      <c r="HLO87" s="356"/>
      <c r="HLP87" s="356"/>
      <c r="HLQ87" s="356"/>
      <c r="HLR87" s="356"/>
      <c r="HLS87" s="356"/>
      <c r="HLT87" s="356"/>
      <c r="HLU87" s="356"/>
      <c r="HLV87" s="356"/>
      <c r="HLW87" s="356"/>
      <c r="HLX87" s="356"/>
      <c r="HLY87" s="356"/>
      <c r="HLZ87" s="356"/>
      <c r="HMA87" s="356"/>
      <c r="HMB87" s="356"/>
      <c r="HMC87" s="356"/>
      <c r="HMD87" s="356"/>
      <c r="HME87" s="356"/>
      <c r="HMF87" s="356"/>
      <c r="HMG87" s="356"/>
      <c r="HMH87" s="356"/>
      <c r="HMI87" s="356"/>
      <c r="HMJ87" s="356"/>
      <c r="HMK87" s="356"/>
      <c r="HML87" s="356"/>
      <c r="HMM87" s="356"/>
      <c r="HMN87" s="356"/>
      <c r="HMO87" s="356"/>
      <c r="HMP87" s="356"/>
      <c r="HMQ87" s="356"/>
      <c r="HMR87" s="356"/>
      <c r="HMS87" s="356"/>
      <c r="HMT87" s="356"/>
      <c r="HMU87" s="356"/>
      <c r="HMV87" s="356"/>
      <c r="HMW87" s="356"/>
      <c r="HMX87" s="356"/>
      <c r="HMY87" s="356"/>
      <c r="HMZ87" s="356"/>
      <c r="HNA87" s="356"/>
      <c r="HNB87" s="356"/>
      <c r="HNC87" s="356"/>
      <c r="HND87" s="356"/>
      <c r="HNE87" s="356"/>
      <c r="HNF87" s="356"/>
      <c r="HNG87" s="356"/>
      <c r="HNH87" s="356"/>
      <c r="HNI87" s="356"/>
      <c r="HNJ87" s="356"/>
      <c r="HNK87" s="356"/>
      <c r="HNL87" s="356"/>
      <c r="HNM87" s="356"/>
      <c r="HNN87" s="356"/>
      <c r="HNO87" s="356"/>
      <c r="HNP87" s="356"/>
      <c r="HNQ87" s="356"/>
      <c r="HNR87" s="356"/>
      <c r="HNS87" s="356"/>
      <c r="HNT87" s="356"/>
      <c r="HNU87" s="356"/>
      <c r="HNV87" s="356"/>
      <c r="HNW87" s="356"/>
      <c r="HNX87" s="356"/>
      <c r="HNY87" s="356"/>
      <c r="HNZ87" s="356"/>
      <c r="HOA87" s="356"/>
      <c r="HOB87" s="356"/>
      <c r="HOC87" s="356"/>
      <c r="HOD87" s="356"/>
      <c r="HOE87" s="356"/>
      <c r="HOF87" s="356"/>
      <c r="HOG87" s="356"/>
      <c r="HOH87" s="356"/>
      <c r="HOI87" s="356"/>
      <c r="HOJ87" s="356"/>
      <c r="HOK87" s="356"/>
      <c r="HOL87" s="356"/>
      <c r="HOM87" s="356"/>
      <c r="HON87" s="356"/>
      <c r="HOO87" s="356"/>
      <c r="HOP87" s="356"/>
      <c r="HOQ87" s="356"/>
      <c r="HOR87" s="356"/>
      <c r="HOS87" s="356"/>
      <c r="HOT87" s="356"/>
      <c r="HOU87" s="356"/>
      <c r="HOV87" s="356"/>
      <c r="HOW87" s="356"/>
      <c r="HOX87" s="356"/>
      <c r="HOY87" s="356"/>
      <c r="HOZ87" s="356"/>
      <c r="HPA87" s="356"/>
      <c r="HPB87" s="356"/>
      <c r="HPC87" s="356"/>
      <c r="HPD87" s="356"/>
      <c r="HPE87" s="356"/>
      <c r="HPF87" s="356"/>
      <c r="HPG87" s="356"/>
      <c r="HPH87" s="356"/>
      <c r="HPI87" s="356"/>
      <c r="HPJ87" s="356"/>
      <c r="HPK87" s="356"/>
      <c r="HPL87" s="356"/>
      <c r="HPM87" s="356"/>
      <c r="HPN87" s="356"/>
      <c r="HPO87" s="356"/>
      <c r="HPP87" s="356"/>
      <c r="HPQ87" s="356"/>
      <c r="HPR87" s="356"/>
      <c r="HPS87" s="356"/>
      <c r="HPT87" s="356"/>
      <c r="HPU87" s="356"/>
      <c r="HPV87" s="356"/>
      <c r="HPW87" s="356"/>
      <c r="HPX87" s="356"/>
      <c r="HPY87" s="356"/>
      <c r="HPZ87" s="356"/>
      <c r="HQA87" s="356"/>
      <c r="HQB87" s="356"/>
      <c r="HQC87" s="356"/>
      <c r="HQD87" s="356"/>
      <c r="HQE87" s="356"/>
      <c r="HQF87" s="356"/>
      <c r="HQG87" s="356"/>
      <c r="HQH87" s="356"/>
      <c r="HQI87" s="356"/>
      <c r="HQJ87" s="356"/>
      <c r="HQK87" s="356"/>
      <c r="HQL87" s="356"/>
      <c r="HQM87" s="356"/>
      <c r="HQN87" s="356"/>
      <c r="HQO87" s="356"/>
      <c r="HQP87" s="356"/>
      <c r="HQQ87" s="356"/>
      <c r="HQR87" s="356"/>
      <c r="HQS87" s="356"/>
      <c r="HQT87" s="356"/>
      <c r="HQU87" s="356"/>
      <c r="HQV87" s="356"/>
      <c r="HQW87" s="356"/>
      <c r="HQX87" s="356"/>
      <c r="HQY87" s="356"/>
      <c r="HQZ87" s="356"/>
      <c r="HRA87" s="356"/>
      <c r="HRB87" s="356"/>
      <c r="HRC87" s="356"/>
      <c r="HRD87" s="356"/>
      <c r="HRE87" s="356"/>
      <c r="HRF87" s="356"/>
      <c r="HRG87" s="356"/>
      <c r="HRH87" s="356"/>
      <c r="HRI87" s="356"/>
      <c r="HRJ87" s="356"/>
      <c r="HRK87" s="356"/>
      <c r="HRL87" s="356"/>
      <c r="HRM87" s="356"/>
      <c r="HRN87" s="356"/>
      <c r="HRO87" s="356"/>
      <c r="HRP87" s="356"/>
      <c r="HRQ87" s="356"/>
      <c r="HRR87" s="356"/>
      <c r="HRS87" s="356"/>
      <c r="HRT87" s="356"/>
      <c r="HRU87" s="356"/>
      <c r="HRV87" s="356"/>
      <c r="HRW87" s="356"/>
      <c r="HRX87" s="356"/>
      <c r="HRY87" s="356"/>
      <c r="HRZ87" s="356"/>
      <c r="HSA87" s="356"/>
      <c r="HSB87" s="356"/>
      <c r="HSC87" s="356"/>
      <c r="HSD87" s="356"/>
      <c r="HSE87" s="356"/>
      <c r="HSF87" s="356"/>
      <c r="HSG87" s="356"/>
      <c r="HSH87" s="356"/>
      <c r="HSI87" s="356"/>
      <c r="HSJ87" s="356"/>
      <c r="HSK87" s="356"/>
      <c r="HSL87" s="356"/>
      <c r="HSM87" s="356"/>
      <c r="HSN87" s="356"/>
      <c r="HSO87" s="356"/>
      <c r="HSP87" s="356"/>
      <c r="HSQ87" s="356"/>
      <c r="HSR87" s="356"/>
      <c r="HSS87" s="356"/>
      <c r="HST87" s="356"/>
      <c r="HSU87" s="356"/>
      <c r="HSV87" s="356"/>
      <c r="HSW87" s="356"/>
      <c r="HSX87" s="356"/>
      <c r="HSY87" s="356"/>
      <c r="HSZ87" s="356"/>
      <c r="HTA87" s="356"/>
      <c r="HTB87" s="356"/>
      <c r="HTC87" s="356"/>
      <c r="HTD87" s="356"/>
      <c r="HTE87" s="356"/>
      <c r="HTF87" s="356"/>
      <c r="HTG87" s="356"/>
      <c r="HTH87" s="356"/>
      <c r="HTI87" s="356"/>
      <c r="HTJ87" s="356"/>
      <c r="HTK87" s="356"/>
      <c r="HTL87" s="356"/>
      <c r="HTM87" s="356"/>
      <c r="HTN87" s="356"/>
      <c r="HTO87" s="356"/>
      <c r="HTP87" s="356"/>
      <c r="HTQ87" s="356"/>
      <c r="HTR87" s="356"/>
      <c r="HTS87" s="356"/>
      <c r="HTT87" s="356"/>
      <c r="HTU87" s="356"/>
      <c r="HTV87" s="356"/>
      <c r="HTW87" s="356"/>
      <c r="HTX87" s="356"/>
      <c r="HTY87" s="356"/>
      <c r="HTZ87" s="356"/>
      <c r="HUA87" s="356"/>
      <c r="HUB87" s="356"/>
      <c r="HUC87" s="356"/>
      <c r="HUD87" s="356"/>
      <c r="HUE87" s="356"/>
      <c r="HUF87" s="356"/>
      <c r="HUG87" s="356"/>
      <c r="HUH87" s="356"/>
      <c r="HUI87" s="356"/>
      <c r="HUJ87" s="356"/>
      <c r="HUK87" s="356"/>
      <c r="HUL87" s="356"/>
      <c r="HUM87" s="356"/>
      <c r="HUN87" s="356"/>
      <c r="HUO87" s="356"/>
      <c r="HUP87" s="356"/>
      <c r="HUQ87" s="356"/>
      <c r="HUR87" s="356"/>
      <c r="HUS87" s="356"/>
      <c r="HUT87" s="356"/>
      <c r="HUU87" s="356"/>
      <c r="HUV87" s="356"/>
      <c r="HUW87" s="356"/>
      <c r="HUX87" s="356"/>
      <c r="HUY87" s="356"/>
      <c r="HUZ87" s="356"/>
      <c r="HVA87" s="356"/>
      <c r="HVB87" s="356"/>
      <c r="HVC87" s="356"/>
      <c r="HVD87" s="356"/>
      <c r="HVE87" s="356"/>
      <c r="HVF87" s="356"/>
      <c r="HVG87" s="356"/>
      <c r="HVH87" s="356"/>
      <c r="HVI87" s="356"/>
      <c r="HVJ87" s="356"/>
      <c r="HVK87" s="356"/>
      <c r="HVL87" s="356"/>
      <c r="HVM87" s="356"/>
      <c r="HVN87" s="356"/>
      <c r="HVO87" s="356"/>
      <c r="HVP87" s="356"/>
      <c r="HVQ87" s="356"/>
      <c r="HVR87" s="356"/>
      <c r="HVS87" s="356"/>
      <c r="HVT87" s="356"/>
      <c r="HVU87" s="356"/>
      <c r="HVV87" s="356"/>
      <c r="HVW87" s="356"/>
      <c r="HVX87" s="356"/>
      <c r="HVY87" s="356"/>
      <c r="HVZ87" s="356"/>
      <c r="HWA87" s="356"/>
      <c r="HWB87" s="356"/>
      <c r="HWC87" s="356"/>
      <c r="HWD87" s="356"/>
      <c r="HWE87" s="356"/>
      <c r="HWF87" s="356"/>
      <c r="HWG87" s="356"/>
      <c r="HWH87" s="356"/>
      <c r="HWI87" s="356"/>
      <c r="HWJ87" s="356"/>
      <c r="HWK87" s="356"/>
      <c r="HWL87" s="356"/>
      <c r="HWM87" s="356"/>
      <c r="HWN87" s="356"/>
      <c r="HWO87" s="356"/>
      <c r="HWP87" s="356"/>
      <c r="HWQ87" s="356"/>
      <c r="HWR87" s="356"/>
      <c r="HWS87" s="356"/>
      <c r="HWT87" s="356"/>
      <c r="HWU87" s="356"/>
      <c r="HWV87" s="356"/>
      <c r="HWW87" s="356"/>
      <c r="HWX87" s="356"/>
      <c r="HWY87" s="356"/>
      <c r="HWZ87" s="356"/>
      <c r="HXA87" s="356"/>
      <c r="HXB87" s="356"/>
      <c r="HXC87" s="356"/>
      <c r="HXD87" s="356"/>
      <c r="HXE87" s="356"/>
      <c r="HXF87" s="356"/>
      <c r="HXG87" s="356"/>
      <c r="HXH87" s="356"/>
      <c r="HXI87" s="356"/>
      <c r="HXJ87" s="356"/>
      <c r="HXK87" s="356"/>
      <c r="HXL87" s="356"/>
      <c r="HXM87" s="356"/>
      <c r="HXN87" s="356"/>
      <c r="HXO87" s="356"/>
      <c r="HXP87" s="356"/>
      <c r="HXQ87" s="356"/>
      <c r="HXR87" s="356"/>
      <c r="HXS87" s="356"/>
      <c r="HXT87" s="356"/>
      <c r="HXU87" s="356"/>
      <c r="HXV87" s="356"/>
      <c r="HXW87" s="356"/>
      <c r="HXX87" s="356"/>
      <c r="HXY87" s="356"/>
      <c r="HXZ87" s="356"/>
      <c r="HYA87" s="356"/>
      <c r="HYB87" s="356"/>
      <c r="HYC87" s="356"/>
      <c r="HYD87" s="356"/>
      <c r="HYE87" s="356"/>
      <c r="HYF87" s="356"/>
      <c r="HYG87" s="356"/>
      <c r="HYH87" s="356"/>
      <c r="HYI87" s="356"/>
      <c r="HYJ87" s="356"/>
      <c r="HYK87" s="356"/>
      <c r="HYL87" s="356"/>
      <c r="HYM87" s="356"/>
      <c r="HYN87" s="356"/>
      <c r="HYO87" s="356"/>
      <c r="HYP87" s="356"/>
      <c r="HYQ87" s="356"/>
      <c r="HYR87" s="356"/>
      <c r="HYS87" s="356"/>
      <c r="HYT87" s="356"/>
      <c r="HYU87" s="356"/>
      <c r="HYV87" s="356"/>
      <c r="HYW87" s="356"/>
      <c r="HYX87" s="356"/>
      <c r="HYY87" s="356"/>
      <c r="HYZ87" s="356"/>
      <c r="HZA87" s="356"/>
      <c r="HZB87" s="356"/>
      <c r="HZC87" s="356"/>
      <c r="HZD87" s="356"/>
      <c r="HZE87" s="356"/>
      <c r="HZF87" s="356"/>
      <c r="HZG87" s="356"/>
      <c r="HZH87" s="356"/>
      <c r="HZI87" s="356"/>
      <c r="HZJ87" s="356"/>
      <c r="HZK87" s="356"/>
      <c r="HZL87" s="356"/>
      <c r="HZM87" s="356"/>
      <c r="HZN87" s="356"/>
      <c r="HZO87" s="356"/>
      <c r="HZP87" s="356"/>
      <c r="HZQ87" s="356"/>
      <c r="HZR87" s="356"/>
      <c r="HZS87" s="356"/>
      <c r="HZT87" s="356"/>
      <c r="HZU87" s="356"/>
      <c r="HZV87" s="356"/>
      <c r="HZW87" s="356"/>
      <c r="HZX87" s="356"/>
      <c r="HZY87" s="356"/>
      <c r="HZZ87" s="356"/>
      <c r="IAA87" s="356"/>
      <c r="IAB87" s="356"/>
      <c r="IAC87" s="356"/>
      <c r="IAD87" s="356"/>
      <c r="IAE87" s="356"/>
      <c r="IAF87" s="356"/>
      <c r="IAG87" s="356"/>
      <c r="IAH87" s="356"/>
      <c r="IAI87" s="356"/>
      <c r="IAJ87" s="356"/>
      <c r="IAK87" s="356"/>
      <c r="IAL87" s="356"/>
      <c r="IAM87" s="356"/>
      <c r="IAN87" s="356"/>
      <c r="IAO87" s="356"/>
      <c r="IAP87" s="356"/>
      <c r="IAQ87" s="356"/>
      <c r="IAR87" s="356"/>
      <c r="IAS87" s="356"/>
      <c r="IAT87" s="356"/>
      <c r="IAU87" s="356"/>
      <c r="IAV87" s="356"/>
      <c r="IAW87" s="356"/>
      <c r="IAX87" s="356"/>
      <c r="IAY87" s="356"/>
      <c r="IAZ87" s="356"/>
      <c r="IBA87" s="356"/>
      <c r="IBB87" s="356"/>
      <c r="IBC87" s="356"/>
      <c r="IBD87" s="356"/>
      <c r="IBE87" s="356"/>
      <c r="IBF87" s="356"/>
      <c r="IBG87" s="356"/>
      <c r="IBH87" s="356"/>
      <c r="IBI87" s="356"/>
      <c r="IBJ87" s="356"/>
      <c r="IBK87" s="356"/>
      <c r="IBL87" s="356"/>
      <c r="IBM87" s="356"/>
      <c r="IBN87" s="356"/>
      <c r="IBO87" s="356"/>
      <c r="IBP87" s="356"/>
      <c r="IBQ87" s="356"/>
      <c r="IBR87" s="356"/>
      <c r="IBS87" s="356"/>
      <c r="IBT87" s="356"/>
      <c r="IBU87" s="356"/>
      <c r="IBV87" s="356"/>
      <c r="IBW87" s="356"/>
      <c r="IBX87" s="356"/>
      <c r="IBY87" s="356"/>
      <c r="IBZ87" s="356"/>
      <c r="ICA87" s="356"/>
      <c r="ICB87" s="356"/>
      <c r="ICC87" s="356"/>
      <c r="ICD87" s="356"/>
      <c r="ICE87" s="356"/>
      <c r="ICF87" s="356"/>
      <c r="ICG87" s="356"/>
      <c r="ICH87" s="356"/>
      <c r="ICI87" s="356"/>
      <c r="ICJ87" s="356"/>
      <c r="ICK87" s="356"/>
      <c r="ICL87" s="356"/>
      <c r="ICM87" s="356"/>
      <c r="ICN87" s="356"/>
      <c r="ICO87" s="356"/>
      <c r="ICP87" s="356"/>
      <c r="ICQ87" s="356"/>
      <c r="ICR87" s="356"/>
      <c r="ICS87" s="356"/>
      <c r="ICT87" s="356"/>
      <c r="ICU87" s="356"/>
      <c r="ICV87" s="356"/>
      <c r="ICW87" s="356"/>
      <c r="ICX87" s="356"/>
      <c r="ICY87" s="356"/>
      <c r="ICZ87" s="356"/>
      <c r="IDA87" s="356"/>
      <c r="IDB87" s="356"/>
      <c r="IDC87" s="356"/>
      <c r="IDD87" s="356"/>
      <c r="IDE87" s="356"/>
      <c r="IDF87" s="356"/>
      <c r="IDG87" s="356"/>
      <c r="IDH87" s="356"/>
      <c r="IDI87" s="356"/>
      <c r="IDJ87" s="356"/>
      <c r="IDK87" s="356"/>
      <c r="IDL87" s="356"/>
      <c r="IDM87" s="356"/>
      <c r="IDN87" s="356"/>
      <c r="IDO87" s="356"/>
      <c r="IDP87" s="356"/>
      <c r="IDQ87" s="356"/>
      <c r="IDR87" s="356"/>
      <c r="IDS87" s="356"/>
      <c r="IDT87" s="356"/>
      <c r="IDU87" s="356"/>
      <c r="IDV87" s="356"/>
      <c r="IDW87" s="356"/>
      <c r="IDX87" s="356"/>
      <c r="IDY87" s="356"/>
      <c r="IDZ87" s="356"/>
      <c r="IEA87" s="356"/>
      <c r="IEB87" s="356"/>
      <c r="IEC87" s="356"/>
      <c r="IED87" s="356"/>
      <c r="IEE87" s="356"/>
      <c r="IEF87" s="356"/>
      <c r="IEG87" s="356"/>
      <c r="IEH87" s="356"/>
      <c r="IEI87" s="356"/>
      <c r="IEJ87" s="356"/>
      <c r="IEK87" s="356"/>
      <c r="IEL87" s="356"/>
      <c r="IEM87" s="356"/>
      <c r="IEN87" s="356"/>
      <c r="IEO87" s="356"/>
      <c r="IEP87" s="356"/>
      <c r="IEQ87" s="356"/>
      <c r="IER87" s="356"/>
      <c r="IES87" s="356"/>
      <c r="IET87" s="356"/>
      <c r="IEU87" s="356"/>
      <c r="IEV87" s="356"/>
      <c r="IEW87" s="356"/>
      <c r="IEX87" s="356"/>
      <c r="IEY87" s="356"/>
      <c r="IEZ87" s="356"/>
      <c r="IFA87" s="356"/>
      <c r="IFB87" s="356"/>
      <c r="IFC87" s="356"/>
      <c r="IFD87" s="356"/>
      <c r="IFE87" s="356"/>
      <c r="IFF87" s="356"/>
      <c r="IFG87" s="356"/>
      <c r="IFH87" s="356"/>
      <c r="IFI87" s="356"/>
      <c r="IFJ87" s="356"/>
      <c r="IFK87" s="356"/>
      <c r="IFL87" s="356"/>
      <c r="IFM87" s="356"/>
      <c r="IFN87" s="356"/>
      <c r="IFO87" s="356"/>
      <c r="IFP87" s="356"/>
      <c r="IFQ87" s="356"/>
      <c r="IFR87" s="356"/>
      <c r="IFS87" s="356"/>
      <c r="IFT87" s="356"/>
      <c r="IFU87" s="356"/>
      <c r="IFV87" s="356"/>
      <c r="IFW87" s="356"/>
      <c r="IFX87" s="356"/>
      <c r="IFY87" s="356"/>
      <c r="IFZ87" s="356"/>
      <c r="IGA87" s="356"/>
      <c r="IGB87" s="356"/>
      <c r="IGC87" s="356"/>
      <c r="IGD87" s="356"/>
      <c r="IGE87" s="356"/>
      <c r="IGF87" s="356"/>
      <c r="IGG87" s="356"/>
      <c r="IGH87" s="356"/>
      <c r="IGI87" s="356"/>
      <c r="IGJ87" s="356"/>
      <c r="IGK87" s="356"/>
      <c r="IGL87" s="356"/>
      <c r="IGM87" s="356"/>
      <c r="IGN87" s="356"/>
      <c r="IGO87" s="356"/>
      <c r="IGP87" s="356"/>
      <c r="IGQ87" s="356"/>
      <c r="IGR87" s="356"/>
      <c r="IGS87" s="356"/>
      <c r="IGT87" s="356"/>
      <c r="IGU87" s="356"/>
      <c r="IGV87" s="356"/>
      <c r="IGW87" s="356"/>
      <c r="IGX87" s="356"/>
      <c r="IGY87" s="356"/>
      <c r="IGZ87" s="356"/>
      <c r="IHA87" s="356"/>
      <c r="IHB87" s="356"/>
      <c r="IHC87" s="356"/>
      <c r="IHD87" s="356"/>
      <c r="IHE87" s="356"/>
      <c r="IHF87" s="356"/>
      <c r="IHG87" s="356"/>
      <c r="IHH87" s="356"/>
      <c r="IHI87" s="356"/>
      <c r="IHJ87" s="356"/>
      <c r="IHK87" s="356"/>
      <c r="IHL87" s="356"/>
      <c r="IHM87" s="356"/>
      <c r="IHN87" s="356"/>
      <c r="IHO87" s="356"/>
      <c r="IHP87" s="356"/>
      <c r="IHQ87" s="356"/>
      <c r="IHR87" s="356"/>
      <c r="IHS87" s="356"/>
      <c r="IHT87" s="356"/>
      <c r="IHU87" s="356"/>
      <c r="IHV87" s="356"/>
      <c r="IHW87" s="356"/>
      <c r="IHX87" s="356"/>
      <c r="IHY87" s="356"/>
      <c r="IHZ87" s="356"/>
      <c r="IIA87" s="356"/>
      <c r="IIB87" s="356"/>
      <c r="IIC87" s="356"/>
      <c r="IID87" s="356"/>
      <c r="IIE87" s="356"/>
      <c r="IIF87" s="356"/>
      <c r="IIG87" s="356"/>
      <c r="IIH87" s="356"/>
      <c r="III87" s="356"/>
      <c r="IIJ87" s="356"/>
      <c r="IIK87" s="356"/>
      <c r="IIL87" s="356"/>
      <c r="IIM87" s="356"/>
      <c r="IIN87" s="356"/>
      <c r="IIO87" s="356"/>
      <c r="IIP87" s="356"/>
      <c r="IIQ87" s="356"/>
      <c r="IIR87" s="356"/>
      <c r="IIS87" s="356"/>
      <c r="IIT87" s="356"/>
      <c r="IIU87" s="356"/>
      <c r="IIV87" s="356"/>
      <c r="IIW87" s="356"/>
      <c r="IIX87" s="356"/>
      <c r="IIY87" s="356"/>
      <c r="IIZ87" s="356"/>
      <c r="IJA87" s="356"/>
      <c r="IJB87" s="356"/>
      <c r="IJC87" s="356"/>
      <c r="IJD87" s="356"/>
      <c r="IJE87" s="356"/>
      <c r="IJF87" s="356"/>
      <c r="IJG87" s="356"/>
      <c r="IJH87" s="356"/>
      <c r="IJI87" s="356"/>
      <c r="IJJ87" s="356"/>
      <c r="IJK87" s="356"/>
      <c r="IJL87" s="356"/>
      <c r="IJM87" s="356"/>
      <c r="IJN87" s="356"/>
      <c r="IJO87" s="356"/>
      <c r="IJP87" s="356"/>
      <c r="IJQ87" s="356"/>
      <c r="IJR87" s="356"/>
      <c r="IJS87" s="356"/>
      <c r="IJT87" s="356"/>
      <c r="IJU87" s="356"/>
      <c r="IJV87" s="356"/>
      <c r="IJW87" s="356"/>
      <c r="IJX87" s="356"/>
      <c r="IJY87" s="356"/>
      <c r="IJZ87" s="356"/>
      <c r="IKA87" s="356"/>
      <c r="IKB87" s="356"/>
      <c r="IKC87" s="356"/>
      <c r="IKD87" s="356"/>
      <c r="IKE87" s="356"/>
      <c r="IKF87" s="356"/>
      <c r="IKG87" s="356"/>
      <c r="IKH87" s="356"/>
      <c r="IKI87" s="356"/>
      <c r="IKJ87" s="356"/>
      <c r="IKK87" s="356"/>
      <c r="IKL87" s="356"/>
      <c r="IKM87" s="356"/>
      <c r="IKN87" s="356"/>
      <c r="IKO87" s="356"/>
      <c r="IKP87" s="356"/>
      <c r="IKQ87" s="356"/>
      <c r="IKR87" s="356"/>
      <c r="IKS87" s="356"/>
      <c r="IKT87" s="356"/>
      <c r="IKU87" s="356"/>
      <c r="IKV87" s="356"/>
      <c r="IKW87" s="356"/>
      <c r="IKX87" s="356"/>
      <c r="IKY87" s="356"/>
      <c r="IKZ87" s="356"/>
      <c r="ILA87" s="356"/>
      <c r="ILB87" s="356"/>
      <c r="ILC87" s="356"/>
      <c r="ILD87" s="356"/>
      <c r="ILE87" s="356"/>
      <c r="ILF87" s="356"/>
      <c r="ILG87" s="356"/>
      <c r="ILH87" s="356"/>
      <c r="ILI87" s="356"/>
      <c r="ILJ87" s="356"/>
      <c r="ILK87" s="356"/>
      <c r="ILL87" s="356"/>
      <c r="ILM87" s="356"/>
      <c r="ILN87" s="356"/>
      <c r="ILO87" s="356"/>
      <c r="ILP87" s="356"/>
      <c r="ILQ87" s="356"/>
      <c r="ILR87" s="356"/>
      <c r="ILS87" s="356"/>
      <c r="ILT87" s="356"/>
      <c r="ILU87" s="356"/>
      <c r="ILV87" s="356"/>
      <c r="ILW87" s="356"/>
      <c r="ILX87" s="356"/>
      <c r="ILY87" s="356"/>
      <c r="ILZ87" s="356"/>
      <c r="IMA87" s="356"/>
      <c r="IMB87" s="356"/>
      <c r="IMC87" s="356"/>
      <c r="IMD87" s="356"/>
      <c r="IME87" s="356"/>
      <c r="IMF87" s="356"/>
      <c r="IMG87" s="356"/>
      <c r="IMH87" s="356"/>
      <c r="IMI87" s="356"/>
      <c r="IMJ87" s="356"/>
      <c r="IMK87" s="356"/>
      <c r="IML87" s="356"/>
      <c r="IMM87" s="356"/>
      <c r="IMN87" s="356"/>
      <c r="IMO87" s="356"/>
      <c r="IMP87" s="356"/>
      <c r="IMQ87" s="356"/>
      <c r="IMR87" s="356"/>
      <c r="IMS87" s="356"/>
      <c r="IMT87" s="356"/>
      <c r="IMU87" s="356"/>
      <c r="IMV87" s="356"/>
      <c r="IMW87" s="356"/>
      <c r="IMX87" s="356"/>
      <c r="IMY87" s="356"/>
      <c r="IMZ87" s="356"/>
      <c r="INA87" s="356"/>
      <c r="INB87" s="356"/>
      <c r="INC87" s="356"/>
      <c r="IND87" s="356"/>
      <c r="INE87" s="356"/>
      <c r="INF87" s="356"/>
      <c r="ING87" s="356"/>
      <c r="INH87" s="356"/>
      <c r="INI87" s="356"/>
      <c r="INJ87" s="356"/>
      <c r="INK87" s="356"/>
      <c r="INL87" s="356"/>
      <c r="INM87" s="356"/>
      <c r="INN87" s="356"/>
      <c r="INO87" s="356"/>
      <c r="INP87" s="356"/>
      <c r="INQ87" s="356"/>
      <c r="INR87" s="356"/>
      <c r="INS87" s="356"/>
      <c r="INT87" s="356"/>
      <c r="INU87" s="356"/>
      <c r="INV87" s="356"/>
      <c r="INW87" s="356"/>
      <c r="INX87" s="356"/>
      <c r="INY87" s="356"/>
      <c r="INZ87" s="356"/>
      <c r="IOA87" s="356"/>
      <c r="IOB87" s="356"/>
      <c r="IOC87" s="356"/>
      <c r="IOD87" s="356"/>
      <c r="IOE87" s="356"/>
      <c r="IOF87" s="356"/>
      <c r="IOG87" s="356"/>
      <c r="IOH87" s="356"/>
      <c r="IOI87" s="356"/>
      <c r="IOJ87" s="356"/>
      <c r="IOK87" s="356"/>
      <c r="IOL87" s="356"/>
      <c r="IOM87" s="356"/>
      <c r="ION87" s="356"/>
      <c r="IOO87" s="356"/>
      <c r="IOP87" s="356"/>
      <c r="IOQ87" s="356"/>
      <c r="IOR87" s="356"/>
      <c r="IOS87" s="356"/>
      <c r="IOT87" s="356"/>
      <c r="IOU87" s="356"/>
      <c r="IOV87" s="356"/>
      <c r="IOW87" s="356"/>
      <c r="IOX87" s="356"/>
      <c r="IOY87" s="356"/>
      <c r="IOZ87" s="356"/>
      <c r="IPA87" s="356"/>
      <c r="IPB87" s="356"/>
      <c r="IPC87" s="356"/>
      <c r="IPD87" s="356"/>
      <c r="IPE87" s="356"/>
      <c r="IPF87" s="356"/>
      <c r="IPG87" s="356"/>
      <c r="IPH87" s="356"/>
      <c r="IPI87" s="356"/>
      <c r="IPJ87" s="356"/>
      <c r="IPK87" s="356"/>
      <c r="IPL87" s="356"/>
      <c r="IPM87" s="356"/>
      <c r="IPN87" s="356"/>
      <c r="IPO87" s="356"/>
      <c r="IPP87" s="356"/>
      <c r="IPQ87" s="356"/>
      <c r="IPR87" s="356"/>
      <c r="IPS87" s="356"/>
      <c r="IPT87" s="356"/>
      <c r="IPU87" s="356"/>
      <c r="IPV87" s="356"/>
      <c r="IPW87" s="356"/>
      <c r="IPX87" s="356"/>
      <c r="IPY87" s="356"/>
      <c r="IPZ87" s="356"/>
      <c r="IQA87" s="356"/>
      <c r="IQB87" s="356"/>
      <c r="IQC87" s="356"/>
      <c r="IQD87" s="356"/>
      <c r="IQE87" s="356"/>
      <c r="IQF87" s="356"/>
      <c r="IQG87" s="356"/>
      <c r="IQH87" s="356"/>
      <c r="IQI87" s="356"/>
      <c r="IQJ87" s="356"/>
      <c r="IQK87" s="356"/>
      <c r="IQL87" s="356"/>
      <c r="IQM87" s="356"/>
      <c r="IQN87" s="356"/>
      <c r="IQO87" s="356"/>
      <c r="IQP87" s="356"/>
      <c r="IQQ87" s="356"/>
      <c r="IQR87" s="356"/>
      <c r="IQS87" s="356"/>
      <c r="IQT87" s="356"/>
      <c r="IQU87" s="356"/>
      <c r="IQV87" s="356"/>
      <c r="IQW87" s="356"/>
      <c r="IQX87" s="356"/>
      <c r="IQY87" s="356"/>
      <c r="IQZ87" s="356"/>
      <c r="IRA87" s="356"/>
      <c r="IRB87" s="356"/>
      <c r="IRC87" s="356"/>
      <c r="IRD87" s="356"/>
      <c r="IRE87" s="356"/>
      <c r="IRF87" s="356"/>
      <c r="IRG87" s="356"/>
      <c r="IRH87" s="356"/>
      <c r="IRI87" s="356"/>
      <c r="IRJ87" s="356"/>
      <c r="IRK87" s="356"/>
      <c r="IRL87" s="356"/>
      <c r="IRM87" s="356"/>
      <c r="IRN87" s="356"/>
      <c r="IRO87" s="356"/>
      <c r="IRP87" s="356"/>
      <c r="IRQ87" s="356"/>
      <c r="IRR87" s="356"/>
      <c r="IRS87" s="356"/>
      <c r="IRT87" s="356"/>
      <c r="IRU87" s="356"/>
      <c r="IRV87" s="356"/>
      <c r="IRW87" s="356"/>
      <c r="IRX87" s="356"/>
      <c r="IRY87" s="356"/>
      <c r="IRZ87" s="356"/>
      <c r="ISA87" s="356"/>
      <c r="ISB87" s="356"/>
      <c r="ISC87" s="356"/>
      <c r="ISD87" s="356"/>
      <c r="ISE87" s="356"/>
      <c r="ISF87" s="356"/>
      <c r="ISG87" s="356"/>
      <c r="ISH87" s="356"/>
      <c r="ISI87" s="356"/>
      <c r="ISJ87" s="356"/>
      <c r="ISK87" s="356"/>
      <c r="ISL87" s="356"/>
      <c r="ISM87" s="356"/>
      <c r="ISN87" s="356"/>
      <c r="ISO87" s="356"/>
      <c r="ISP87" s="356"/>
      <c r="ISQ87" s="356"/>
      <c r="ISR87" s="356"/>
      <c r="ISS87" s="356"/>
      <c r="IST87" s="356"/>
      <c r="ISU87" s="356"/>
      <c r="ISV87" s="356"/>
      <c r="ISW87" s="356"/>
      <c r="ISX87" s="356"/>
      <c r="ISY87" s="356"/>
      <c r="ISZ87" s="356"/>
      <c r="ITA87" s="356"/>
      <c r="ITB87" s="356"/>
      <c r="ITC87" s="356"/>
      <c r="ITD87" s="356"/>
      <c r="ITE87" s="356"/>
      <c r="ITF87" s="356"/>
      <c r="ITG87" s="356"/>
      <c r="ITH87" s="356"/>
      <c r="ITI87" s="356"/>
      <c r="ITJ87" s="356"/>
      <c r="ITK87" s="356"/>
      <c r="ITL87" s="356"/>
      <c r="ITM87" s="356"/>
      <c r="ITN87" s="356"/>
      <c r="ITO87" s="356"/>
      <c r="ITP87" s="356"/>
      <c r="ITQ87" s="356"/>
      <c r="ITR87" s="356"/>
      <c r="ITS87" s="356"/>
      <c r="ITT87" s="356"/>
      <c r="ITU87" s="356"/>
      <c r="ITV87" s="356"/>
      <c r="ITW87" s="356"/>
      <c r="ITX87" s="356"/>
      <c r="ITY87" s="356"/>
      <c r="ITZ87" s="356"/>
      <c r="IUA87" s="356"/>
      <c r="IUB87" s="356"/>
      <c r="IUC87" s="356"/>
      <c r="IUD87" s="356"/>
      <c r="IUE87" s="356"/>
      <c r="IUF87" s="356"/>
      <c r="IUG87" s="356"/>
      <c r="IUH87" s="356"/>
      <c r="IUI87" s="356"/>
      <c r="IUJ87" s="356"/>
      <c r="IUK87" s="356"/>
      <c r="IUL87" s="356"/>
      <c r="IUM87" s="356"/>
      <c r="IUN87" s="356"/>
      <c r="IUO87" s="356"/>
      <c r="IUP87" s="356"/>
      <c r="IUQ87" s="356"/>
      <c r="IUR87" s="356"/>
      <c r="IUS87" s="356"/>
      <c r="IUT87" s="356"/>
      <c r="IUU87" s="356"/>
      <c r="IUV87" s="356"/>
      <c r="IUW87" s="356"/>
      <c r="IUX87" s="356"/>
      <c r="IUY87" s="356"/>
      <c r="IUZ87" s="356"/>
      <c r="IVA87" s="356"/>
      <c r="IVB87" s="356"/>
      <c r="IVC87" s="356"/>
      <c r="IVD87" s="356"/>
      <c r="IVE87" s="356"/>
      <c r="IVF87" s="356"/>
      <c r="IVG87" s="356"/>
      <c r="IVH87" s="356"/>
      <c r="IVI87" s="356"/>
      <c r="IVJ87" s="356"/>
      <c r="IVK87" s="356"/>
      <c r="IVL87" s="356"/>
      <c r="IVM87" s="356"/>
      <c r="IVN87" s="356"/>
      <c r="IVO87" s="356"/>
      <c r="IVP87" s="356"/>
      <c r="IVQ87" s="356"/>
      <c r="IVR87" s="356"/>
      <c r="IVS87" s="356"/>
      <c r="IVT87" s="356"/>
      <c r="IVU87" s="356"/>
      <c r="IVV87" s="356"/>
      <c r="IVW87" s="356"/>
      <c r="IVX87" s="356"/>
      <c r="IVY87" s="356"/>
      <c r="IVZ87" s="356"/>
      <c r="IWA87" s="356"/>
      <c r="IWB87" s="356"/>
      <c r="IWC87" s="356"/>
      <c r="IWD87" s="356"/>
      <c r="IWE87" s="356"/>
      <c r="IWF87" s="356"/>
      <c r="IWG87" s="356"/>
      <c r="IWH87" s="356"/>
      <c r="IWI87" s="356"/>
      <c r="IWJ87" s="356"/>
      <c r="IWK87" s="356"/>
      <c r="IWL87" s="356"/>
      <c r="IWM87" s="356"/>
      <c r="IWN87" s="356"/>
      <c r="IWO87" s="356"/>
      <c r="IWP87" s="356"/>
      <c r="IWQ87" s="356"/>
      <c r="IWR87" s="356"/>
      <c r="IWS87" s="356"/>
      <c r="IWT87" s="356"/>
      <c r="IWU87" s="356"/>
      <c r="IWV87" s="356"/>
      <c r="IWW87" s="356"/>
      <c r="IWX87" s="356"/>
      <c r="IWY87" s="356"/>
      <c r="IWZ87" s="356"/>
      <c r="IXA87" s="356"/>
      <c r="IXB87" s="356"/>
      <c r="IXC87" s="356"/>
      <c r="IXD87" s="356"/>
      <c r="IXE87" s="356"/>
      <c r="IXF87" s="356"/>
      <c r="IXG87" s="356"/>
      <c r="IXH87" s="356"/>
      <c r="IXI87" s="356"/>
      <c r="IXJ87" s="356"/>
      <c r="IXK87" s="356"/>
      <c r="IXL87" s="356"/>
      <c r="IXM87" s="356"/>
      <c r="IXN87" s="356"/>
      <c r="IXO87" s="356"/>
      <c r="IXP87" s="356"/>
      <c r="IXQ87" s="356"/>
      <c r="IXR87" s="356"/>
      <c r="IXS87" s="356"/>
      <c r="IXT87" s="356"/>
      <c r="IXU87" s="356"/>
      <c r="IXV87" s="356"/>
      <c r="IXW87" s="356"/>
      <c r="IXX87" s="356"/>
      <c r="IXY87" s="356"/>
      <c r="IXZ87" s="356"/>
      <c r="IYA87" s="356"/>
      <c r="IYB87" s="356"/>
      <c r="IYC87" s="356"/>
      <c r="IYD87" s="356"/>
      <c r="IYE87" s="356"/>
      <c r="IYF87" s="356"/>
      <c r="IYG87" s="356"/>
      <c r="IYH87" s="356"/>
      <c r="IYI87" s="356"/>
      <c r="IYJ87" s="356"/>
      <c r="IYK87" s="356"/>
      <c r="IYL87" s="356"/>
      <c r="IYM87" s="356"/>
      <c r="IYN87" s="356"/>
      <c r="IYO87" s="356"/>
      <c r="IYP87" s="356"/>
      <c r="IYQ87" s="356"/>
      <c r="IYR87" s="356"/>
      <c r="IYS87" s="356"/>
      <c r="IYT87" s="356"/>
      <c r="IYU87" s="356"/>
      <c r="IYV87" s="356"/>
      <c r="IYW87" s="356"/>
      <c r="IYX87" s="356"/>
      <c r="IYY87" s="356"/>
      <c r="IYZ87" s="356"/>
      <c r="IZA87" s="356"/>
      <c r="IZB87" s="356"/>
      <c r="IZC87" s="356"/>
      <c r="IZD87" s="356"/>
      <c r="IZE87" s="356"/>
      <c r="IZF87" s="356"/>
      <c r="IZG87" s="356"/>
      <c r="IZH87" s="356"/>
      <c r="IZI87" s="356"/>
      <c r="IZJ87" s="356"/>
      <c r="IZK87" s="356"/>
      <c r="IZL87" s="356"/>
      <c r="IZM87" s="356"/>
      <c r="IZN87" s="356"/>
      <c r="IZO87" s="356"/>
      <c r="IZP87" s="356"/>
      <c r="IZQ87" s="356"/>
      <c r="IZR87" s="356"/>
      <c r="IZS87" s="356"/>
      <c r="IZT87" s="356"/>
      <c r="IZU87" s="356"/>
      <c r="IZV87" s="356"/>
      <c r="IZW87" s="356"/>
      <c r="IZX87" s="356"/>
      <c r="IZY87" s="356"/>
      <c r="IZZ87" s="356"/>
      <c r="JAA87" s="356"/>
      <c r="JAB87" s="356"/>
      <c r="JAC87" s="356"/>
      <c r="JAD87" s="356"/>
      <c r="JAE87" s="356"/>
      <c r="JAF87" s="356"/>
      <c r="JAG87" s="356"/>
      <c r="JAH87" s="356"/>
      <c r="JAI87" s="356"/>
      <c r="JAJ87" s="356"/>
      <c r="JAK87" s="356"/>
      <c r="JAL87" s="356"/>
      <c r="JAM87" s="356"/>
      <c r="JAN87" s="356"/>
      <c r="JAO87" s="356"/>
      <c r="JAP87" s="356"/>
      <c r="JAQ87" s="356"/>
      <c r="JAR87" s="356"/>
      <c r="JAS87" s="356"/>
      <c r="JAT87" s="356"/>
      <c r="JAU87" s="356"/>
      <c r="JAV87" s="356"/>
      <c r="JAW87" s="356"/>
      <c r="JAX87" s="356"/>
      <c r="JAY87" s="356"/>
      <c r="JAZ87" s="356"/>
      <c r="JBA87" s="356"/>
      <c r="JBB87" s="356"/>
      <c r="JBC87" s="356"/>
      <c r="JBD87" s="356"/>
      <c r="JBE87" s="356"/>
      <c r="JBF87" s="356"/>
      <c r="JBG87" s="356"/>
      <c r="JBH87" s="356"/>
      <c r="JBI87" s="356"/>
      <c r="JBJ87" s="356"/>
      <c r="JBK87" s="356"/>
      <c r="JBL87" s="356"/>
      <c r="JBM87" s="356"/>
      <c r="JBN87" s="356"/>
      <c r="JBO87" s="356"/>
      <c r="JBP87" s="356"/>
      <c r="JBQ87" s="356"/>
      <c r="JBR87" s="356"/>
      <c r="JBS87" s="356"/>
      <c r="JBT87" s="356"/>
      <c r="JBU87" s="356"/>
      <c r="JBV87" s="356"/>
      <c r="JBW87" s="356"/>
      <c r="JBX87" s="356"/>
      <c r="JBY87" s="356"/>
      <c r="JBZ87" s="356"/>
      <c r="JCA87" s="356"/>
      <c r="JCB87" s="356"/>
      <c r="JCC87" s="356"/>
      <c r="JCD87" s="356"/>
      <c r="JCE87" s="356"/>
      <c r="JCF87" s="356"/>
      <c r="JCG87" s="356"/>
      <c r="JCH87" s="356"/>
      <c r="JCI87" s="356"/>
      <c r="JCJ87" s="356"/>
      <c r="JCK87" s="356"/>
      <c r="JCL87" s="356"/>
      <c r="JCM87" s="356"/>
      <c r="JCN87" s="356"/>
      <c r="JCO87" s="356"/>
      <c r="JCP87" s="356"/>
      <c r="JCQ87" s="356"/>
      <c r="JCR87" s="356"/>
      <c r="JCS87" s="356"/>
      <c r="JCT87" s="356"/>
      <c r="JCU87" s="356"/>
      <c r="JCV87" s="356"/>
      <c r="JCW87" s="356"/>
      <c r="JCX87" s="356"/>
      <c r="JCY87" s="356"/>
      <c r="JCZ87" s="356"/>
      <c r="JDA87" s="356"/>
      <c r="JDB87" s="356"/>
      <c r="JDC87" s="356"/>
      <c r="JDD87" s="356"/>
      <c r="JDE87" s="356"/>
      <c r="JDF87" s="356"/>
      <c r="JDG87" s="356"/>
      <c r="JDH87" s="356"/>
      <c r="JDI87" s="356"/>
      <c r="JDJ87" s="356"/>
      <c r="JDK87" s="356"/>
      <c r="JDL87" s="356"/>
      <c r="JDM87" s="356"/>
      <c r="JDN87" s="356"/>
      <c r="JDO87" s="356"/>
      <c r="JDP87" s="356"/>
      <c r="JDQ87" s="356"/>
      <c r="JDR87" s="356"/>
      <c r="JDS87" s="356"/>
      <c r="JDT87" s="356"/>
      <c r="JDU87" s="356"/>
      <c r="JDV87" s="356"/>
      <c r="JDW87" s="356"/>
      <c r="JDX87" s="356"/>
      <c r="JDY87" s="356"/>
      <c r="JDZ87" s="356"/>
      <c r="JEA87" s="356"/>
      <c r="JEB87" s="356"/>
      <c r="JEC87" s="356"/>
      <c r="JED87" s="356"/>
      <c r="JEE87" s="356"/>
      <c r="JEF87" s="356"/>
      <c r="JEG87" s="356"/>
      <c r="JEH87" s="356"/>
      <c r="JEI87" s="356"/>
      <c r="JEJ87" s="356"/>
      <c r="JEK87" s="356"/>
      <c r="JEL87" s="356"/>
      <c r="JEM87" s="356"/>
      <c r="JEN87" s="356"/>
      <c r="JEO87" s="356"/>
      <c r="JEP87" s="356"/>
      <c r="JEQ87" s="356"/>
      <c r="JER87" s="356"/>
      <c r="JES87" s="356"/>
      <c r="JET87" s="356"/>
      <c r="JEU87" s="356"/>
      <c r="JEV87" s="356"/>
      <c r="JEW87" s="356"/>
      <c r="JEX87" s="356"/>
      <c r="JEY87" s="356"/>
      <c r="JEZ87" s="356"/>
      <c r="JFA87" s="356"/>
      <c r="JFB87" s="356"/>
      <c r="JFC87" s="356"/>
      <c r="JFD87" s="356"/>
      <c r="JFE87" s="356"/>
      <c r="JFF87" s="356"/>
      <c r="JFG87" s="356"/>
      <c r="JFH87" s="356"/>
      <c r="JFI87" s="356"/>
      <c r="JFJ87" s="356"/>
      <c r="JFK87" s="356"/>
      <c r="JFL87" s="356"/>
      <c r="JFM87" s="356"/>
      <c r="JFN87" s="356"/>
      <c r="JFO87" s="356"/>
      <c r="JFP87" s="356"/>
      <c r="JFQ87" s="356"/>
      <c r="JFR87" s="356"/>
      <c r="JFS87" s="356"/>
      <c r="JFT87" s="356"/>
      <c r="JFU87" s="356"/>
      <c r="JFV87" s="356"/>
      <c r="JFW87" s="356"/>
      <c r="JFX87" s="356"/>
      <c r="JFY87" s="356"/>
      <c r="JFZ87" s="356"/>
      <c r="JGA87" s="356"/>
      <c r="JGB87" s="356"/>
      <c r="JGC87" s="356"/>
      <c r="JGD87" s="356"/>
      <c r="JGE87" s="356"/>
      <c r="JGF87" s="356"/>
      <c r="JGG87" s="356"/>
      <c r="JGH87" s="356"/>
      <c r="JGI87" s="356"/>
      <c r="JGJ87" s="356"/>
      <c r="JGK87" s="356"/>
      <c r="JGL87" s="356"/>
      <c r="JGM87" s="356"/>
      <c r="JGN87" s="356"/>
      <c r="JGO87" s="356"/>
      <c r="JGP87" s="356"/>
      <c r="JGQ87" s="356"/>
      <c r="JGR87" s="356"/>
      <c r="JGS87" s="356"/>
      <c r="JGT87" s="356"/>
      <c r="JGU87" s="356"/>
      <c r="JGV87" s="356"/>
      <c r="JGW87" s="356"/>
      <c r="JGX87" s="356"/>
      <c r="JGY87" s="356"/>
      <c r="JGZ87" s="356"/>
      <c r="JHA87" s="356"/>
      <c r="JHB87" s="356"/>
      <c r="JHC87" s="356"/>
      <c r="JHD87" s="356"/>
      <c r="JHE87" s="356"/>
      <c r="JHF87" s="356"/>
      <c r="JHG87" s="356"/>
      <c r="JHH87" s="356"/>
      <c r="JHI87" s="356"/>
      <c r="JHJ87" s="356"/>
      <c r="JHK87" s="356"/>
      <c r="JHL87" s="356"/>
      <c r="JHM87" s="356"/>
      <c r="JHN87" s="356"/>
      <c r="JHO87" s="356"/>
      <c r="JHP87" s="356"/>
      <c r="JHQ87" s="356"/>
      <c r="JHR87" s="356"/>
      <c r="JHS87" s="356"/>
      <c r="JHT87" s="356"/>
      <c r="JHU87" s="356"/>
      <c r="JHV87" s="356"/>
      <c r="JHW87" s="356"/>
      <c r="JHX87" s="356"/>
      <c r="JHY87" s="356"/>
      <c r="JHZ87" s="356"/>
      <c r="JIA87" s="356"/>
      <c r="JIB87" s="356"/>
      <c r="JIC87" s="356"/>
      <c r="JID87" s="356"/>
      <c r="JIE87" s="356"/>
      <c r="JIF87" s="356"/>
      <c r="JIG87" s="356"/>
      <c r="JIH87" s="356"/>
      <c r="JII87" s="356"/>
      <c r="JIJ87" s="356"/>
      <c r="JIK87" s="356"/>
      <c r="JIL87" s="356"/>
      <c r="JIM87" s="356"/>
      <c r="JIN87" s="356"/>
      <c r="JIO87" s="356"/>
      <c r="JIP87" s="356"/>
      <c r="JIQ87" s="356"/>
      <c r="JIR87" s="356"/>
      <c r="JIS87" s="356"/>
      <c r="JIT87" s="356"/>
      <c r="JIU87" s="356"/>
      <c r="JIV87" s="356"/>
      <c r="JIW87" s="356"/>
      <c r="JIX87" s="356"/>
      <c r="JIY87" s="356"/>
      <c r="JIZ87" s="356"/>
      <c r="JJA87" s="356"/>
      <c r="JJB87" s="356"/>
      <c r="JJC87" s="356"/>
      <c r="JJD87" s="356"/>
      <c r="JJE87" s="356"/>
      <c r="JJF87" s="356"/>
      <c r="JJG87" s="356"/>
      <c r="JJH87" s="356"/>
      <c r="JJI87" s="356"/>
      <c r="JJJ87" s="356"/>
      <c r="JJK87" s="356"/>
      <c r="JJL87" s="356"/>
      <c r="JJM87" s="356"/>
      <c r="JJN87" s="356"/>
      <c r="JJO87" s="356"/>
      <c r="JJP87" s="356"/>
      <c r="JJQ87" s="356"/>
      <c r="JJR87" s="356"/>
      <c r="JJS87" s="356"/>
      <c r="JJT87" s="356"/>
      <c r="JJU87" s="356"/>
      <c r="JJV87" s="356"/>
      <c r="JJW87" s="356"/>
      <c r="JJX87" s="356"/>
      <c r="JJY87" s="356"/>
      <c r="JJZ87" s="356"/>
      <c r="JKA87" s="356"/>
      <c r="JKB87" s="356"/>
      <c r="JKC87" s="356"/>
      <c r="JKD87" s="356"/>
      <c r="JKE87" s="356"/>
      <c r="JKF87" s="356"/>
      <c r="JKG87" s="356"/>
      <c r="JKH87" s="356"/>
      <c r="JKI87" s="356"/>
      <c r="JKJ87" s="356"/>
      <c r="JKK87" s="356"/>
      <c r="JKL87" s="356"/>
      <c r="JKM87" s="356"/>
      <c r="JKN87" s="356"/>
      <c r="JKO87" s="356"/>
      <c r="JKP87" s="356"/>
      <c r="JKQ87" s="356"/>
      <c r="JKR87" s="356"/>
      <c r="JKS87" s="356"/>
      <c r="JKT87" s="356"/>
      <c r="JKU87" s="356"/>
      <c r="JKV87" s="356"/>
      <c r="JKW87" s="356"/>
      <c r="JKX87" s="356"/>
      <c r="JKY87" s="356"/>
      <c r="JKZ87" s="356"/>
      <c r="JLA87" s="356"/>
      <c r="JLB87" s="356"/>
      <c r="JLC87" s="356"/>
      <c r="JLD87" s="356"/>
      <c r="JLE87" s="356"/>
      <c r="JLF87" s="356"/>
      <c r="JLG87" s="356"/>
      <c r="JLH87" s="356"/>
      <c r="JLI87" s="356"/>
      <c r="JLJ87" s="356"/>
      <c r="JLK87" s="356"/>
      <c r="JLL87" s="356"/>
      <c r="JLM87" s="356"/>
      <c r="JLN87" s="356"/>
      <c r="JLO87" s="356"/>
      <c r="JLP87" s="356"/>
      <c r="JLQ87" s="356"/>
      <c r="JLR87" s="356"/>
      <c r="JLS87" s="356"/>
      <c r="JLT87" s="356"/>
      <c r="JLU87" s="356"/>
      <c r="JLV87" s="356"/>
      <c r="JLW87" s="356"/>
      <c r="JLX87" s="356"/>
      <c r="JLY87" s="356"/>
      <c r="JLZ87" s="356"/>
      <c r="JMA87" s="356"/>
      <c r="JMB87" s="356"/>
      <c r="JMC87" s="356"/>
      <c r="JMD87" s="356"/>
      <c r="JME87" s="356"/>
      <c r="JMF87" s="356"/>
      <c r="JMG87" s="356"/>
      <c r="JMH87" s="356"/>
      <c r="JMI87" s="356"/>
      <c r="JMJ87" s="356"/>
      <c r="JMK87" s="356"/>
      <c r="JML87" s="356"/>
      <c r="JMM87" s="356"/>
      <c r="JMN87" s="356"/>
      <c r="JMO87" s="356"/>
      <c r="JMP87" s="356"/>
      <c r="JMQ87" s="356"/>
      <c r="JMR87" s="356"/>
      <c r="JMS87" s="356"/>
      <c r="JMT87" s="356"/>
      <c r="JMU87" s="356"/>
      <c r="JMV87" s="356"/>
      <c r="JMW87" s="356"/>
      <c r="JMX87" s="356"/>
      <c r="JMY87" s="356"/>
      <c r="JMZ87" s="356"/>
      <c r="JNA87" s="356"/>
      <c r="JNB87" s="356"/>
      <c r="JNC87" s="356"/>
      <c r="JND87" s="356"/>
      <c r="JNE87" s="356"/>
      <c r="JNF87" s="356"/>
      <c r="JNG87" s="356"/>
      <c r="JNH87" s="356"/>
      <c r="JNI87" s="356"/>
      <c r="JNJ87" s="356"/>
      <c r="JNK87" s="356"/>
      <c r="JNL87" s="356"/>
      <c r="JNM87" s="356"/>
      <c r="JNN87" s="356"/>
      <c r="JNO87" s="356"/>
      <c r="JNP87" s="356"/>
      <c r="JNQ87" s="356"/>
      <c r="JNR87" s="356"/>
      <c r="JNS87" s="356"/>
      <c r="JNT87" s="356"/>
      <c r="JNU87" s="356"/>
      <c r="JNV87" s="356"/>
      <c r="JNW87" s="356"/>
      <c r="JNX87" s="356"/>
      <c r="JNY87" s="356"/>
      <c r="JNZ87" s="356"/>
      <c r="JOA87" s="356"/>
      <c r="JOB87" s="356"/>
      <c r="JOC87" s="356"/>
      <c r="JOD87" s="356"/>
      <c r="JOE87" s="356"/>
      <c r="JOF87" s="356"/>
      <c r="JOG87" s="356"/>
      <c r="JOH87" s="356"/>
      <c r="JOI87" s="356"/>
      <c r="JOJ87" s="356"/>
      <c r="JOK87" s="356"/>
      <c r="JOL87" s="356"/>
      <c r="JOM87" s="356"/>
      <c r="JON87" s="356"/>
      <c r="JOO87" s="356"/>
      <c r="JOP87" s="356"/>
      <c r="JOQ87" s="356"/>
      <c r="JOR87" s="356"/>
      <c r="JOS87" s="356"/>
      <c r="JOT87" s="356"/>
      <c r="JOU87" s="356"/>
      <c r="JOV87" s="356"/>
      <c r="JOW87" s="356"/>
      <c r="JOX87" s="356"/>
      <c r="JOY87" s="356"/>
      <c r="JOZ87" s="356"/>
      <c r="JPA87" s="356"/>
      <c r="JPB87" s="356"/>
      <c r="JPC87" s="356"/>
      <c r="JPD87" s="356"/>
      <c r="JPE87" s="356"/>
      <c r="JPF87" s="356"/>
      <c r="JPG87" s="356"/>
      <c r="JPH87" s="356"/>
      <c r="JPI87" s="356"/>
      <c r="JPJ87" s="356"/>
      <c r="JPK87" s="356"/>
      <c r="JPL87" s="356"/>
      <c r="JPM87" s="356"/>
      <c r="JPN87" s="356"/>
      <c r="JPO87" s="356"/>
      <c r="JPP87" s="356"/>
      <c r="JPQ87" s="356"/>
      <c r="JPR87" s="356"/>
      <c r="JPS87" s="356"/>
      <c r="JPT87" s="356"/>
      <c r="JPU87" s="356"/>
      <c r="JPV87" s="356"/>
      <c r="JPW87" s="356"/>
      <c r="JPX87" s="356"/>
      <c r="JPY87" s="356"/>
      <c r="JPZ87" s="356"/>
      <c r="JQA87" s="356"/>
      <c r="JQB87" s="356"/>
      <c r="JQC87" s="356"/>
      <c r="JQD87" s="356"/>
      <c r="JQE87" s="356"/>
      <c r="JQF87" s="356"/>
      <c r="JQG87" s="356"/>
      <c r="JQH87" s="356"/>
      <c r="JQI87" s="356"/>
      <c r="JQJ87" s="356"/>
      <c r="JQK87" s="356"/>
      <c r="JQL87" s="356"/>
      <c r="JQM87" s="356"/>
      <c r="JQN87" s="356"/>
      <c r="JQO87" s="356"/>
      <c r="JQP87" s="356"/>
      <c r="JQQ87" s="356"/>
      <c r="JQR87" s="356"/>
      <c r="JQS87" s="356"/>
      <c r="JQT87" s="356"/>
      <c r="JQU87" s="356"/>
      <c r="JQV87" s="356"/>
      <c r="JQW87" s="356"/>
      <c r="JQX87" s="356"/>
      <c r="JQY87" s="356"/>
      <c r="JQZ87" s="356"/>
      <c r="JRA87" s="356"/>
      <c r="JRB87" s="356"/>
      <c r="JRC87" s="356"/>
      <c r="JRD87" s="356"/>
      <c r="JRE87" s="356"/>
      <c r="JRF87" s="356"/>
      <c r="JRG87" s="356"/>
      <c r="JRH87" s="356"/>
      <c r="JRI87" s="356"/>
      <c r="JRJ87" s="356"/>
      <c r="JRK87" s="356"/>
      <c r="JRL87" s="356"/>
      <c r="JRM87" s="356"/>
      <c r="JRN87" s="356"/>
      <c r="JRO87" s="356"/>
      <c r="JRP87" s="356"/>
      <c r="JRQ87" s="356"/>
      <c r="JRR87" s="356"/>
      <c r="JRS87" s="356"/>
      <c r="JRT87" s="356"/>
      <c r="JRU87" s="356"/>
      <c r="JRV87" s="356"/>
      <c r="JRW87" s="356"/>
      <c r="JRX87" s="356"/>
      <c r="JRY87" s="356"/>
      <c r="JRZ87" s="356"/>
      <c r="JSA87" s="356"/>
      <c r="JSB87" s="356"/>
      <c r="JSC87" s="356"/>
      <c r="JSD87" s="356"/>
      <c r="JSE87" s="356"/>
      <c r="JSF87" s="356"/>
      <c r="JSG87" s="356"/>
      <c r="JSH87" s="356"/>
      <c r="JSI87" s="356"/>
      <c r="JSJ87" s="356"/>
      <c r="JSK87" s="356"/>
      <c r="JSL87" s="356"/>
      <c r="JSM87" s="356"/>
      <c r="JSN87" s="356"/>
      <c r="JSO87" s="356"/>
      <c r="JSP87" s="356"/>
      <c r="JSQ87" s="356"/>
      <c r="JSR87" s="356"/>
      <c r="JSS87" s="356"/>
      <c r="JST87" s="356"/>
      <c r="JSU87" s="356"/>
      <c r="JSV87" s="356"/>
      <c r="JSW87" s="356"/>
      <c r="JSX87" s="356"/>
      <c r="JSY87" s="356"/>
      <c r="JSZ87" s="356"/>
      <c r="JTA87" s="356"/>
      <c r="JTB87" s="356"/>
      <c r="JTC87" s="356"/>
      <c r="JTD87" s="356"/>
      <c r="JTE87" s="356"/>
      <c r="JTF87" s="356"/>
      <c r="JTG87" s="356"/>
      <c r="JTH87" s="356"/>
      <c r="JTI87" s="356"/>
      <c r="JTJ87" s="356"/>
      <c r="JTK87" s="356"/>
      <c r="JTL87" s="356"/>
      <c r="JTM87" s="356"/>
      <c r="JTN87" s="356"/>
      <c r="JTO87" s="356"/>
      <c r="JTP87" s="356"/>
      <c r="JTQ87" s="356"/>
      <c r="JTR87" s="356"/>
      <c r="JTS87" s="356"/>
      <c r="JTT87" s="356"/>
      <c r="JTU87" s="356"/>
      <c r="JTV87" s="356"/>
      <c r="JTW87" s="356"/>
      <c r="JTX87" s="356"/>
      <c r="JTY87" s="356"/>
      <c r="JTZ87" s="356"/>
      <c r="JUA87" s="356"/>
      <c r="JUB87" s="356"/>
      <c r="JUC87" s="356"/>
      <c r="JUD87" s="356"/>
      <c r="JUE87" s="356"/>
      <c r="JUF87" s="356"/>
      <c r="JUG87" s="356"/>
      <c r="JUH87" s="356"/>
      <c r="JUI87" s="356"/>
      <c r="JUJ87" s="356"/>
      <c r="JUK87" s="356"/>
      <c r="JUL87" s="356"/>
      <c r="JUM87" s="356"/>
      <c r="JUN87" s="356"/>
      <c r="JUO87" s="356"/>
      <c r="JUP87" s="356"/>
      <c r="JUQ87" s="356"/>
      <c r="JUR87" s="356"/>
      <c r="JUS87" s="356"/>
      <c r="JUT87" s="356"/>
      <c r="JUU87" s="356"/>
      <c r="JUV87" s="356"/>
      <c r="JUW87" s="356"/>
      <c r="JUX87" s="356"/>
      <c r="JUY87" s="356"/>
      <c r="JUZ87" s="356"/>
      <c r="JVA87" s="356"/>
      <c r="JVB87" s="356"/>
      <c r="JVC87" s="356"/>
      <c r="JVD87" s="356"/>
      <c r="JVE87" s="356"/>
      <c r="JVF87" s="356"/>
      <c r="JVG87" s="356"/>
      <c r="JVH87" s="356"/>
      <c r="JVI87" s="356"/>
      <c r="JVJ87" s="356"/>
      <c r="JVK87" s="356"/>
      <c r="JVL87" s="356"/>
      <c r="JVM87" s="356"/>
      <c r="JVN87" s="356"/>
      <c r="JVO87" s="356"/>
      <c r="JVP87" s="356"/>
      <c r="JVQ87" s="356"/>
      <c r="JVR87" s="356"/>
      <c r="JVS87" s="356"/>
      <c r="JVT87" s="356"/>
      <c r="JVU87" s="356"/>
      <c r="JVV87" s="356"/>
      <c r="JVW87" s="356"/>
      <c r="JVX87" s="356"/>
      <c r="JVY87" s="356"/>
      <c r="JVZ87" s="356"/>
      <c r="JWA87" s="356"/>
      <c r="JWB87" s="356"/>
      <c r="JWC87" s="356"/>
      <c r="JWD87" s="356"/>
      <c r="JWE87" s="356"/>
      <c r="JWF87" s="356"/>
      <c r="JWG87" s="356"/>
      <c r="JWH87" s="356"/>
      <c r="JWI87" s="356"/>
      <c r="JWJ87" s="356"/>
      <c r="JWK87" s="356"/>
      <c r="JWL87" s="356"/>
      <c r="JWM87" s="356"/>
      <c r="JWN87" s="356"/>
      <c r="JWO87" s="356"/>
      <c r="JWP87" s="356"/>
      <c r="JWQ87" s="356"/>
      <c r="JWR87" s="356"/>
      <c r="JWS87" s="356"/>
      <c r="JWT87" s="356"/>
      <c r="JWU87" s="356"/>
      <c r="JWV87" s="356"/>
      <c r="JWW87" s="356"/>
      <c r="JWX87" s="356"/>
      <c r="JWY87" s="356"/>
      <c r="JWZ87" s="356"/>
      <c r="JXA87" s="356"/>
      <c r="JXB87" s="356"/>
      <c r="JXC87" s="356"/>
      <c r="JXD87" s="356"/>
      <c r="JXE87" s="356"/>
      <c r="JXF87" s="356"/>
      <c r="JXG87" s="356"/>
      <c r="JXH87" s="356"/>
      <c r="JXI87" s="356"/>
      <c r="JXJ87" s="356"/>
      <c r="JXK87" s="356"/>
      <c r="JXL87" s="356"/>
      <c r="JXM87" s="356"/>
      <c r="JXN87" s="356"/>
      <c r="JXO87" s="356"/>
      <c r="JXP87" s="356"/>
      <c r="JXQ87" s="356"/>
      <c r="JXR87" s="356"/>
      <c r="JXS87" s="356"/>
      <c r="JXT87" s="356"/>
      <c r="JXU87" s="356"/>
      <c r="JXV87" s="356"/>
      <c r="JXW87" s="356"/>
      <c r="JXX87" s="356"/>
      <c r="JXY87" s="356"/>
      <c r="JXZ87" s="356"/>
      <c r="JYA87" s="356"/>
      <c r="JYB87" s="356"/>
      <c r="JYC87" s="356"/>
      <c r="JYD87" s="356"/>
      <c r="JYE87" s="356"/>
      <c r="JYF87" s="356"/>
      <c r="JYG87" s="356"/>
      <c r="JYH87" s="356"/>
      <c r="JYI87" s="356"/>
      <c r="JYJ87" s="356"/>
      <c r="JYK87" s="356"/>
      <c r="JYL87" s="356"/>
      <c r="JYM87" s="356"/>
      <c r="JYN87" s="356"/>
      <c r="JYO87" s="356"/>
      <c r="JYP87" s="356"/>
      <c r="JYQ87" s="356"/>
      <c r="JYR87" s="356"/>
      <c r="JYS87" s="356"/>
      <c r="JYT87" s="356"/>
      <c r="JYU87" s="356"/>
      <c r="JYV87" s="356"/>
      <c r="JYW87" s="356"/>
      <c r="JYX87" s="356"/>
      <c r="JYY87" s="356"/>
      <c r="JYZ87" s="356"/>
      <c r="JZA87" s="356"/>
      <c r="JZB87" s="356"/>
      <c r="JZC87" s="356"/>
      <c r="JZD87" s="356"/>
      <c r="JZE87" s="356"/>
      <c r="JZF87" s="356"/>
      <c r="JZG87" s="356"/>
      <c r="JZH87" s="356"/>
      <c r="JZI87" s="356"/>
      <c r="JZJ87" s="356"/>
      <c r="JZK87" s="356"/>
      <c r="JZL87" s="356"/>
      <c r="JZM87" s="356"/>
      <c r="JZN87" s="356"/>
      <c r="JZO87" s="356"/>
      <c r="JZP87" s="356"/>
      <c r="JZQ87" s="356"/>
      <c r="JZR87" s="356"/>
      <c r="JZS87" s="356"/>
      <c r="JZT87" s="356"/>
      <c r="JZU87" s="356"/>
      <c r="JZV87" s="356"/>
      <c r="JZW87" s="356"/>
      <c r="JZX87" s="356"/>
      <c r="JZY87" s="356"/>
      <c r="JZZ87" s="356"/>
      <c r="KAA87" s="356"/>
      <c r="KAB87" s="356"/>
      <c r="KAC87" s="356"/>
      <c r="KAD87" s="356"/>
      <c r="KAE87" s="356"/>
      <c r="KAF87" s="356"/>
      <c r="KAG87" s="356"/>
      <c r="KAH87" s="356"/>
      <c r="KAI87" s="356"/>
      <c r="KAJ87" s="356"/>
      <c r="KAK87" s="356"/>
      <c r="KAL87" s="356"/>
      <c r="KAM87" s="356"/>
      <c r="KAN87" s="356"/>
      <c r="KAO87" s="356"/>
      <c r="KAP87" s="356"/>
      <c r="KAQ87" s="356"/>
      <c r="KAR87" s="356"/>
      <c r="KAS87" s="356"/>
      <c r="KAT87" s="356"/>
      <c r="KAU87" s="356"/>
      <c r="KAV87" s="356"/>
      <c r="KAW87" s="356"/>
      <c r="KAX87" s="356"/>
      <c r="KAY87" s="356"/>
      <c r="KAZ87" s="356"/>
      <c r="KBA87" s="356"/>
      <c r="KBB87" s="356"/>
      <c r="KBC87" s="356"/>
      <c r="KBD87" s="356"/>
      <c r="KBE87" s="356"/>
      <c r="KBF87" s="356"/>
      <c r="KBG87" s="356"/>
      <c r="KBH87" s="356"/>
      <c r="KBI87" s="356"/>
      <c r="KBJ87" s="356"/>
      <c r="KBK87" s="356"/>
      <c r="KBL87" s="356"/>
      <c r="KBM87" s="356"/>
      <c r="KBN87" s="356"/>
      <c r="KBO87" s="356"/>
      <c r="KBP87" s="356"/>
      <c r="KBQ87" s="356"/>
      <c r="KBR87" s="356"/>
      <c r="KBS87" s="356"/>
      <c r="KBT87" s="356"/>
      <c r="KBU87" s="356"/>
      <c r="KBV87" s="356"/>
      <c r="KBW87" s="356"/>
      <c r="KBX87" s="356"/>
      <c r="KBY87" s="356"/>
      <c r="KBZ87" s="356"/>
      <c r="KCA87" s="356"/>
      <c r="KCB87" s="356"/>
      <c r="KCC87" s="356"/>
      <c r="KCD87" s="356"/>
      <c r="KCE87" s="356"/>
      <c r="KCF87" s="356"/>
      <c r="KCG87" s="356"/>
      <c r="KCH87" s="356"/>
      <c r="KCI87" s="356"/>
      <c r="KCJ87" s="356"/>
      <c r="KCK87" s="356"/>
      <c r="KCL87" s="356"/>
      <c r="KCM87" s="356"/>
      <c r="KCN87" s="356"/>
      <c r="KCO87" s="356"/>
      <c r="KCP87" s="356"/>
      <c r="KCQ87" s="356"/>
      <c r="KCR87" s="356"/>
      <c r="KCS87" s="356"/>
      <c r="KCT87" s="356"/>
      <c r="KCU87" s="356"/>
      <c r="KCV87" s="356"/>
      <c r="KCW87" s="356"/>
      <c r="KCX87" s="356"/>
      <c r="KCY87" s="356"/>
      <c r="KCZ87" s="356"/>
      <c r="KDA87" s="356"/>
      <c r="KDB87" s="356"/>
      <c r="KDC87" s="356"/>
      <c r="KDD87" s="356"/>
      <c r="KDE87" s="356"/>
      <c r="KDF87" s="356"/>
      <c r="KDG87" s="356"/>
      <c r="KDH87" s="356"/>
      <c r="KDI87" s="356"/>
      <c r="KDJ87" s="356"/>
      <c r="KDK87" s="356"/>
      <c r="KDL87" s="356"/>
      <c r="KDM87" s="356"/>
      <c r="KDN87" s="356"/>
      <c r="KDO87" s="356"/>
      <c r="KDP87" s="356"/>
      <c r="KDQ87" s="356"/>
      <c r="KDR87" s="356"/>
      <c r="KDS87" s="356"/>
      <c r="KDT87" s="356"/>
      <c r="KDU87" s="356"/>
      <c r="KDV87" s="356"/>
      <c r="KDW87" s="356"/>
      <c r="KDX87" s="356"/>
      <c r="KDY87" s="356"/>
      <c r="KDZ87" s="356"/>
      <c r="KEA87" s="356"/>
      <c r="KEB87" s="356"/>
      <c r="KEC87" s="356"/>
      <c r="KED87" s="356"/>
      <c r="KEE87" s="356"/>
      <c r="KEF87" s="356"/>
      <c r="KEG87" s="356"/>
      <c r="KEH87" s="356"/>
      <c r="KEI87" s="356"/>
      <c r="KEJ87" s="356"/>
      <c r="KEK87" s="356"/>
      <c r="KEL87" s="356"/>
      <c r="KEM87" s="356"/>
      <c r="KEN87" s="356"/>
      <c r="KEO87" s="356"/>
      <c r="KEP87" s="356"/>
      <c r="KEQ87" s="356"/>
      <c r="KER87" s="356"/>
      <c r="KES87" s="356"/>
      <c r="KET87" s="356"/>
      <c r="KEU87" s="356"/>
      <c r="KEV87" s="356"/>
      <c r="KEW87" s="356"/>
      <c r="KEX87" s="356"/>
      <c r="KEY87" s="356"/>
      <c r="KEZ87" s="356"/>
      <c r="KFA87" s="356"/>
      <c r="KFB87" s="356"/>
      <c r="KFC87" s="356"/>
      <c r="KFD87" s="356"/>
      <c r="KFE87" s="356"/>
      <c r="KFF87" s="356"/>
      <c r="KFG87" s="356"/>
      <c r="KFH87" s="356"/>
      <c r="KFI87" s="356"/>
      <c r="KFJ87" s="356"/>
      <c r="KFK87" s="356"/>
      <c r="KFL87" s="356"/>
      <c r="KFM87" s="356"/>
      <c r="KFN87" s="356"/>
      <c r="KFO87" s="356"/>
      <c r="KFP87" s="356"/>
      <c r="KFQ87" s="356"/>
      <c r="KFR87" s="356"/>
      <c r="KFS87" s="356"/>
      <c r="KFT87" s="356"/>
      <c r="KFU87" s="356"/>
      <c r="KFV87" s="356"/>
      <c r="KFW87" s="356"/>
      <c r="KFX87" s="356"/>
      <c r="KFY87" s="356"/>
      <c r="KFZ87" s="356"/>
      <c r="KGA87" s="356"/>
      <c r="KGB87" s="356"/>
      <c r="KGC87" s="356"/>
      <c r="KGD87" s="356"/>
      <c r="KGE87" s="356"/>
      <c r="KGF87" s="356"/>
      <c r="KGG87" s="356"/>
      <c r="KGH87" s="356"/>
      <c r="KGI87" s="356"/>
      <c r="KGJ87" s="356"/>
      <c r="KGK87" s="356"/>
      <c r="KGL87" s="356"/>
      <c r="KGM87" s="356"/>
      <c r="KGN87" s="356"/>
      <c r="KGO87" s="356"/>
      <c r="KGP87" s="356"/>
      <c r="KGQ87" s="356"/>
      <c r="KGR87" s="356"/>
      <c r="KGS87" s="356"/>
      <c r="KGT87" s="356"/>
      <c r="KGU87" s="356"/>
      <c r="KGV87" s="356"/>
      <c r="KGW87" s="356"/>
      <c r="KGX87" s="356"/>
      <c r="KGY87" s="356"/>
      <c r="KGZ87" s="356"/>
      <c r="KHA87" s="356"/>
      <c r="KHB87" s="356"/>
      <c r="KHC87" s="356"/>
      <c r="KHD87" s="356"/>
      <c r="KHE87" s="356"/>
      <c r="KHF87" s="356"/>
      <c r="KHG87" s="356"/>
      <c r="KHH87" s="356"/>
      <c r="KHI87" s="356"/>
      <c r="KHJ87" s="356"/>
      <c r="KHK87" s="356"/>
      <c r="KHL87" s="356"/>
      <c r="KHM87" s="356"/>
      <c r="KHN87" s="356"/>
      <c r="KHO87" s="356"/>
      <c r="KHP87" s="356"/>
      <c r="KHQ87" s="356"/>
      <c r="KHR87" s="356"/>
      <c r="KHS87" s="356"/>
      <c r="KHT87" s="356"/>
      <c r="KHU87" s="356"/>
      <c r="KHV87" s="356"/>
      <c r="KHW87" s="356"/>
      <c r="KHX87" s="356"/>
      <c r="KHY87" s="356"/>
      <c r="KHZ87" s="356"/>
      <c r="KIA87" s="356"/>
      <c r="KIB87" s="356"/>
      <c r="KIC87" s="356"/>
      <c r="KID87" s="356"/>
      <c r="KIE87" s="356"/>
      <c r="KIF87" s="356"/>
      <c r="KIG87" s="356"/>
      <c r="KIH87" s="356"/>
      <c r="KII87" s="356"/>
      <c r="KIJ87" s="356"/>
      <c r="KIK87" s="356"/>
      <c r="KIL87" s="356"/>
      <c r="KIM87" s="356"/>
      <c r="KIN87" s="356"/>
      <c r="KIO87" s="356"/>
      <c r="KIP87" s="356"/>
      <c r="KIQ87" s="356"/>
      <c r="KIR87" s="356"/>
      <c r="KIS87" s="356"/>
      <c r="KIT87" s="356"/>
      <c r="KIU87" s="356"/>
      <c r="KIV87" s="356"/>
      <c r="KIW87" s="356"/>
      <c r="KIX87" s="356"/>
      <c r="KIY87" s="356"/>
      <c r="KIZ87" s="356"/>
      <c r="KJA87" s="356"/>
      <c r="KJB87" s="356"/>
      <c r="KJC87" s="356"/>
      <c r="KJD87" s="356"/>
      <c r="KJE87" s="356"/>
      <c r="KJF87" s="356"/>
      <c r="KJG87" s="356"/>
      <c r="KJH87" s="356"/>
      <c r="KJI87" s="356"/>
      <c r="KJJ87" s="356"/>
      <c r="KJK87" s="356"/>
      <c r="KJL87" s="356"/>
      <c r="KJM87" s="356"/>
      <c r="KJN87" s="356"/>
      <c r="KJO87" s="356"/>
      <c r="KJP87" s="356"/>
      <c r="KJQ87" s="356"/>
      <c r="KJR87" s="356"/>
      <c r="KJS87" s="356"/>
      <c r="KJT87" s="356"/>
      <c r="KJU87" s="356"/>
      <c r="KJV87" s="356"/>
      <c r="KJW87" s="356"/>
      <c r="KJX87" s="356"/>
      <c r="KJY87" s="356"/>
      <c r="KJZ87" s="356"/>
      <c r="KKA87" s="356"/>
      <c r="KKB87" s="356"/>
      <c r="KKC87" s="356"/>
      <c r="KKD87" s="356"/>
      <c r="KKE87" s="356"/>
      <c r="KKF87" s="356"/>
      <c r="KKG87" s="356"/>
      <c r="KKH87" s="356"/>
      <c r="KKI87" s="356"/>
      <c r="KKJ87" s="356"/>
      <c r="KKK87" s="356"/>
      <c r="KKL87" s="356"/>
      <c r="KKM87" s="356"/>
      <c r="KKN87" s="356"/>
      <c r="KKO87" s="356"/>
      <c r="KKP87" s="356"/>
      <c r="KKQ87" s="356"/>
      <c r="KKR87" s="356"/>
      <c r="KKS87" s="356"/>
      <c r="KKT87" s="356"/>
      <c r="KKU87" s="356"/>
      <c r="KKV87" s="356"/>
      <c r="KKW87" s="356"/>
      <c r="KKX87" s="356"/>
      <c r="KKY87" s="356"/>
      <c r="KKZ87" s="356"/>
      <c r="KLA87" s="356"/>
      <c r="KLB87" s="356"/>
      <c r="KLC87" s="356"/>
      <c r="KLD87" s="356"/>
      <c r="KLE87" s="356"/>
      <c r="KLF87" s="356"/>
      <c r="KLG87" s="356"/>
      <c r="KLH87" s="356"/>
      <c r="KLI87" s="356"/>
      <c r="KLJ87" s="356"/>
      <c r="KLK87" s="356"/>
      <c r="KLL87" s="356"/>
      <c r="KLM87" s="356"/>
      <c r="KLN87" s="356"/>
      <c r="KLO87" s="356"/>
      <c r="KLP87" s="356"/>
      <c r="KLQ87" s="356"/>
      <c r="KLR87" s="356"/>
      <c r="KLS87" s="356"/>
      <c r="KLT87" s="356"/>
      <c r="KLU87" s="356"/>
      <c r="KLV87" s="356"/>
      <c r="KLW87" s="356"/>
      <c r="KLX87" s="356"/>
      <c r="KLY87" s="356"/>
      <c r="KLZ87" s="356"/>
      <c r="KMA87" s="356"/>
      <c r="KMB87" s="356"/>
      <c r="KMC87" s="356"/>
      <c r="KMD87" s="356"/>
      <c r="KME87" s="356"/>
      <c r="KMF87" s="356"/>
      <c r="KMG87" s="356"/>
      <c r="KMH87" s="356"/>
      <c r="KMI87" s="356"/>
      <c r="KMJ87" s="356"/>
      <c r="KMK87" s="356"/>
      <c r="KML87" s="356"/>
      <c r="KMM87" s="356"/>
      <c r="KMN87" s="356"/>
      <c r="KMO87" s="356"/>
      <c r="KMP87" s="356"/>
      <c r="KMQ87" s="356"/>
      <c r="KMR87" s="356"/>
      <c r="KMS87" s="356"/>
      <c r="KMT87" s="356"/>
      <c r="KMU87" s="356"/>
      <c r="KMV87" s="356"/>
      <c r="KMW87" s="356"/>
      <c r="KMX87" s="356"/>
      <c r="KMY87" s="356"/>
      <c r="KMZ87" s="356"/>
      <c r="KNA87" s="356"/>
      <c r="KNB87" s="356"/>
      <c r="KNC87" s="356"/>
      <c r="KND87" s="356"/>
      <c r="KNE87" s="356"/>
      <c r="KNF87" s="356"/>
      <c r="KNG87" s="356"/>
      <c r="KNH87" s="356"/>
      <c r="KNI87" s="356"/>
      <c r="KNJ87" s="356"/>
      <c r="KNK87" s="356"/>
      <c r="KNL87" s="356"/>
      <c r="KNM87" s="356"/>
      <c r="KNN87" s="356"/>
      <c r="KNO87" s="356"/>
      <c r="KNP87" s="356"/>
      <c r="KNQ87" s="356"/>
      <c r="KNR87" s="356"/>
      <c r="KNS87" s="356"/>
      <c r="KNT87" s="356"/>
      <c r="KNU87" s="356"/>
      <c r="KNV87" s="356"/>
      <c r="KNW87" s="356"/>
      <c r="KNX87" s="356"/>
      <c r="KNY87" s="356"/>
      <c r="KNZ87" s="356"/>
      <c r="KOA87" s="356"/>
      <c r="KOB87" s="356"/>
      <c r="KOC87" s="356"/>
      <c r="KOD87" s="356"/>
      <c r="KOE87" s="356"/>
      <c r="KOF87" s="356"/>
      <c r="KOG87" s="356"/>
      <c r="KOH87" s="356"/>
      <c r="KOI87" s="356"/>
      <c r="KOJ87" s="356"/>
      <c r="KOK87" s="356"/>
      <c r="KOL87" s="356"/>
      <c r="KOM87" s="356"/>
      <c r="KON87" s="356"/>
      <c r="KOO87" s="356"/>
      <c r="KOP87" s="356"/>
      <c r="KOQ87" s="356"/>
      <c r="KOR87" s="356"/>
      <c r="KOS87" s="356"/>
      <c r="KOT87" s="356"/>
      <c r="KOU87" s="356"/>
      <c r="KOV87" s="356"/>
      <c r="KOW87" s="356"/>
      <c r="KOX87" s="356"/>
      <c r="KOY87" s="356"/>
      <c r="KOZ87" s="356"/>
      <c r="KPA87" s="356"/>
      <c r="KPB87" s="356"/>
      <c r="KPC87" s="356"/>
      <c r="KPD87" s="356"/>
      <c r="KPE87" s="356"/>
      <c r="KPF87" s="356"/>
      <c r="KPG87" s="356"/>
      <c r="KPH87" s="356"/>
      <c r="KPI87" s="356"/>
      <c r="KPJ87" s="356"/>
      <c r="KPK87" s="356"/>
      <c r="KPL87" s="356"/>
      <c r="KPM87" s="356"/>
      <c r="KPN87" s="356"/>
      <c r="KPO87" s="356"/>
      <c r="KPP87" s="356"/>
      <c r="KPQ87" s="356"/>
      <c r="KPR87" s="356"/>
      <c r="KPS87" s="356"/>
      <c r="KPT87" s="356"/>
      <c r="KPU87" s="356"/>
      <c r="KPV87" s="356"/>
      <c r="KPW87" s="356"/>
      <c r="KPX87" s="356"/>
      <c r="KPY87" s="356"/>
      <c r="KPZ87" s="356"/>
      <c r="KQA87" s="356"/>
      <c r="KQB87" s="356"/>
      <c r="KQC87" s="356"/>
      <c r="KQD87" s="356"/>
      <c r="KQE87" s="356"/>
      <c r="KQF87" s="356"/>
      <c r="KQG87" s="356"/>
      <c r="KQH87" s="356"/>
      <c r="KQI87" s="356"/>
      <c r="KQJ87" s="356"/>
      <c r="KQK87" s="356"/>
      <c r="KQL87" s="356"/>
      <c r="KQM87" s="356"/>
      <c r="KQN87" s="356"/>
      <c r="KQO87" s="356"/>
      <c r="KQP87" s="356"/>
      <c r="KQQ87" s="356"/>
      <c r="KQR87" s="356"/>
      <c r="KQS87" s="356"/>
      <c r="KQT87" s="356"/>
      <c r="KQU87" s="356"/>
      <c r="KQV87" s="356"/>
      <c r="KQW87" s="356"/>
      <c r="KQX87" s="356"/>
      <c r="KQY87" s="356"/>
      <c r="KQZ87" s="356"/>
      <c r="KRA87" s="356"/>
      <c r="KRB87" s="356"/>
      <c r="KRC87" s="356"/>
      <c r="KRD87" s="356"/>
      <c r="KRE87" s="356"/>
      <c r="KRF87" s="356"/>
      <c r="KRG87" s="356"/>
      <c r="KRH87" s="356"/>
      <c r="KRI87" s="356"/>
      <c r="KRJ87" s="356"/>
      <c r="KRK87" s="356"/>
      <c r="KRL87" s="356"/>
      <c r="KRM87" s="356"/>
      <c r="KRN87" s="356"/>
      <c r="KRO87" s="356"/>
      <c r="KRP87" s="356"/>
      <c r="KRQ87" s="356"/>
      <c r="KRR87" s="356"/>
      <c r="KRS87" s="356"/>
      <c r="KRT87" s="356"/>
      <c r="KRU87" s="356"/>
      <c r="KRV87" s="356"/>
      <c r="KRW87" s="356"/>
      <c r="KRX87" s="356"/>
      <c r="KRY87" s="356"/>
      <c r="KRZ87" s="356"/>
      <c r="KSA87" s="356"/>
      <c r="KSB87" s="356"/>
      <c r="KSC87" s="356"/>
      <c r="KSD87" s="356"/>
      <c r="KSE87" s="356"/>
      <c r="KSF87" s="356"/>
      <c r="KSG87" s="356"/>
      <c r="KSH87" s="356"/>
      <c r="KSI87" s="356"/>
      <c r="KSJ87" s="356"/>
      <c r="KSK87" s="356"/>
      <c r="KSL87" s="356"/>
      <c r="KSM87" s="356"/>
      <c r="KSN87" s="356"/>
      <c r="KSO87" s="356"/>
      <c r="KSP87" s="356"/>
      <c r="KSQ87" s="356"/>
      <c r="KSR87" s="356"/>
      <c r="KSS87" s="356"/>
      <c r="KST87" s="356"/>
      <c r="KSU87" s="356"/>
      <c r="KSV87" s="356"/>
      <c r="KSW87" s="356"/>
      <c r="KSX87" s="356"/>
      <c r="KSY87" s="356"/>
      <c r="KSZ87" s="356"/>
      <c r="KTA87" s="356"/>
      <c r="KTB87" s="356"/>
      <c r="KTC87" s="356"/>
      <c r="KTD87" s="356"/>
      <c r="KTE87" s="356"/>
      <c r="KTF87" s="356"/>
      <c r="KTG87" s="356"/>
      <c r="KTH87" s="356"/>
      <c r="KTI87" s="356"/>
      <c r="KTJ87" s="356"/>
      <c r="KTK87" s="356"/>
      <c r="KTL87" s="356"/>
      <c r="KTM87" s="356"/>
      <c r="KTN87" s="356"/>
      <c r="KTO87" s="356"/>
      <c r="KTP87" s="356"/>
      <c r="KTQ87" s="356"/>
      <c r="KTR87" s="356"/>
      <c r="KTS87" s="356"/>
      <c r="KTT87" s="356"/>
      <c r="KTU87" s="356"/>
      <c r="KTV87" s="356"/>
      <c r="KTW87" s="356"/>
      <c r="KTX87" s="356"/>
      <c r="KTY87" s="356"/>
      <c r="KTZ87" s="356"/>
      <c r="KUA87" s="356"/>
      <c r="KUB87" s="356"/>
      <c r="KUC87" s="356"/>
      <c r="KUD87" s="356"/>
      <c r="KUE87" s="356"/>
      <c r="KUF87" s="356"/>
      <c r="KUG87" s="356"/>
      <c r="KUH87" s="356"/>
      <c r="KUI87" s="356"/>
      <c r="KUJ87" s="356"/>
      <c r="KUK87" s="356"/>
      <c r="KUL87" s="356"/>
      <c r="KUM87" s="356"/>
      <c r="KUN87" s="356"/>
      <c r="KUO87" s="356"/>
      <c r="KUP87" s="356"/>
      <c r="KUQ87" s="356"/>
      <c r="KUR87" s="356"/>
      <c r="KUS87" s="356"/>
      <c r="KUT87" s="356"/>
      <c r="KUU87" s="356"/>
      <c r="KUV87" s="356"/>
      <c r="KUW87" s="356"/>
      <c r="KUX87" s="356"/>
      <c r="KUY87" s="356"/>
      <c r="KUZ87" s="356"/>
      <c r="KVA87" s="356"/>
      <c r="KVB87" s="356"/>
      <c r="KVC87" s="356"/>
      <c r="KVD87" s="356"/>
      <c r="KVE87" s="356"/>
      <c r="KVF87" s="356"/>
      <c r="KVG87" s="356"/>
      <c r="KVH87" s="356"/>
      <c r="KVI87" s="356"/>
      <c r="KVJ87" s="356"/>
      <c r="KVK87" s="356"/>
      <c r="KVL87" s="356"/>
      <c r="KVM87" s="356"/>
      <c r="KVN87" s="356"/>
      <c r="KVO87" s="356"/>
      <c r="KVP87" s="356"/>
      <c r="KVQ87" s="356"/>
      <c r="KVR87" s="356"/>
      <c r="KVS87" s="356"/>
      <c r="KVT87" s="356"/>
      <c r="KVU87" s="356"/>
      <c r="KVV87" s="356"/>
      <c r="KVW87" s="356"/>
      <c r="KVX87" s="356"/>
      <c r="KVY87" s="356"/>
      <c r="KVZ87" s="356"/>
      <c r="KWA87" s="356"/>
      <c r="KWB87" s="356"/>
      <c r="KWC87" s="356"/>
      <c r="KWD87" s="356"/>
      <c r="KWE87" s="356"/>
      <c r="KWF87" s="356"/>
      <c r="KWG87" s="356"/>
      <c r="KWH87" s="356"/>
      <c r="KWI87" s="356"/>
      <c r="KWJ87" s="356"/>
      <c r="KWK87" s="356"/>
      <c r="KWL87" s="356"/>
      <c r="KWM87" s="356"/>
      <c r="KWN87" s="356"/>
      <c r="KWO87" s="356"/>
      <c r="KWP87" s="356"/>
      <c r="KWQ87" s="356"/>
      <c r="KWR87" s="356"/>
      <c r="KWS87" s="356"/>
      <c r="KWT87" s="356"/>
      <c r="KWU87" s="356"/>
      <c r="KWV87" s="356"/>
      <c r="KWW87" s="356"/>
      <c r="KWX87" s="356"/>
      <c r="KWY87" s="356"/>
      <c r="KWZ87" s="356"/>
      <c r="KXA87" s="356"/>
      <c r="KXB87" s="356"/>
      <c r="KXC87" s="356"/>
      <c r="KXD87" s="356"/>
      <c r="KXE87" s="356"/>
      <c r="KXF87" s="356"/>
      <c r="KXG87" s="356"/>
      <c r="KXH87" s="356"/>
      <c r="KXI87" s="356"/>
      <c r="KXJ87" s="356"/>
      <c r="KXK87" s="356"/>
      <c r="KXL87" s="356"/>
      <c r="KXM87" s="356"/>
      <c r="KXN87" s="356"/>
      <c r="KXO87" s="356"/>
      <c r="KXP87" s="356"/>
      <c r="KXQ87" s="356"/>
      <c r="KXR87" s="356"/>
      <c r="KXS87" s="356"/>
      <c r="KXT87" s="356"/>
      <c r="KXU87" s="356"/>
      <c r="KXV87" s="356"/>
      <c r="KXW87" s="356"/>
      <c r="KXX87" s="356"/>
      <c r="KXY87" s="356"/>
      <c r="KXZ87" s="356"/>
      <c r="KYA87" s="356"/>
      <c r="KYB87" s="356"/>
      <c r="KYC87" s="356"/>
      <c r="KYD87" s="356"/>
      <c r="KYE87" s="356"/>
      <c r="KYF87" s="356"/>
      <c r="KYG87" s="356"/>
      <c r="KYH87" s="356"/>
      <c r="KYI87" s="356"/>
      <c r="KYJ87" s="356"/>
      <c r="KYK87" s="356"/>
      <c r="KYL87" s="356"/>
      <c r="KYM87" s="356"/>
      <c r="KYN87" s="356"/>
      <c r="KYO87" s="356"/>
      <c r="KYP87" s="356"/>
      <c r="KYQ87" s="356"/>
      <c r="KYR87" s="356"/>
      <c r="KYS87" s="356"/>
      <c r="KYT87" s="356"/>
      <c r="KYU87" s="356"/>
      <c r="KYV87" s="356"/>
      <c r="KYW87" s="356"/>
      <c r="KYX87" s="356"/>
      <c r="KYY87" s="356"/>
      <c r="KYZ87" s="356"/>
      <c r="KZA87" s="356"/>
      <c r="KZB87" s="356"/>
      <c r="KZC87" s="356"/>
      <c r="KZD87" s="356"/>
      <c r="KZE87" s="356"/>
      <c r="KZF87" s="356"/>
      <c r="KZG87" s="356"/>
      <c r="KZH87" s="356"/>
      <c r="KZI87" s="356"/>
      <c r="KZJ87" s="356"/>
      <c r="KZK87" s="356"/>
      <c r="KZL87" s="356"/>
      <c r="KZM87" s="356"/>
      <c r="KZN87" s="356"/>
      <c r="KZO87" s="356"/>
      <c r="KZP87" s="356"/>
      <c r="KZQ87" s="356"/>
      <c r="KZR87" s="356"/>
      <c r="KZS87" s="356"/>
      <c r="KZT87" s="356"/>
      <c r="KZU87" s="356"/>
      <c r="KZV87" s="356"/>
      <c r="KZW87" s="356"/>
      <c r="KZX87" s="356"/>
      <c r="KZY87" s="356"/>
      <c r="KZZ87" s="356"/>
      <c r="LAA87" s="356"/>
      <c r="LAB87" s="356"/>
      <c r="LAC87" s="356"/>
      <c r="LAD87" s="356"/>
      <c r="LAE87" s="356"/>
      <c r="LAF87" s="356"/>
      <c r="LAG87" s="356"/>
      <c r="LAH87" s="356"/>
      <c r="LAI87" s="356"/>
      <c r="LAJ87" s="356"/>
      <c r="LAK87" s="356"/>
      <c r="LAL87" s="356"/>
      <c r="LAM87" s="356"/>
      <c r="LAN87" s="356"/>
      <c r="LAO87" s="356"/>
      <c r="LAP87" s="356"/>
      <c r="LAQ87" s="356"/>
      <c r="LAR87" s="356"/>
      <c r="LAS87" s="356"/>
      <c r="LAT87" s="356"/>
      <c r="LAU87" s="356"/>
      <c r="LAV87" s="356"/>
      <c r="LAW87" s="356"/>
      <c r="LAX87" s="356"/>
      <c r="LAY87" s="356"/>
      <c r="LAZ87" s="356"/>
      <c r="LBA87" s="356"/>
      <c r="LBB87" s="356"/>
      <c r="LBC87" s="356"/>
      <c r="LBD87" s="356"/>
      <c r="LBE87" s="356"/>
      <c r="LBF87" s="356"/>
      <c r="LBG87" s="356"/>
      <c r="LBH87" s="356"/>
      <c r="LBI87" s="356"/>
      <c r="LBJ87" s="356"/>
      <c r="LBK87" s="356"/>
      <c r="LBL87" s="356"/>
      <c r="LBM87" s="356"/>
      <c r="LBN87" s="356"/>
      <c r="LBO87" s="356"/>
      <c r="LBP87" s="356"/>
      <c r="LBQ87" s="356"/>
      <c r="LBR87" s="356"/>
      <c r="LBS87" s="356"/>
      <c r="LBT87" s="356"/>
      <c r="LBU87" s="356"/>
      <c r="LBV87" s="356"/>
      <c r="LBW87" s="356"/>
      <c r="LBX87" s="356"/>
      <c r="LBY87" s="356"/>
      <c r="LBZ87" s="356"/>
      <c r="LCA87" s="356"/>
      <c r="LCB87" s="356"/>
      <c r="LCC87" s="356"/>
      <c r="LCD87" s="356"/>
      <c r="LCE87" s="356"/>
      <c r="LCF87" s="356"/>
      <c r="LCG87" s="356"/>
      <c r="LCH87" s="356"/>
      <c r="LCI87" s="356"/>
      <c r="LCJ87" s="356"/>
      <c r="LCK87" s="356"/>
      <c r="LCL87" s="356"/>
      <c r="LCM87" s="356"/>
      <c r="LCN87" s="356"/>
      <c r="LCO87" s="356"/>
      <c r="LCP87" s="356"/>
      <c r="LCQ87" s="356"/>
      <c r="LCR87" s="356"/>
      <c r="LCS87" s="356"/>
      <c r="LCT87" s="356"/>
      <c r="LCU87" s="356"/>
      <c r="LCV87" s="356"/>
      <c r="LCW87" s="356"/>
      <c r="LCX87" s="356"/>
      <c r="LCY87" s="356"/>
      <c r="LCZ87" s="356"/>
      <c r="LDA87" s="356"/>
      <c r="LDB87" s="356"/>
      <c r="LDC87" s="356"/>
      <c r="LDD87" s="356"/>
      <c r="LDE87" s="356"/>
      <c r="LDF87" s="356"/>
      <c r="LDG87" s="356"/>
      <c r="LDH87" s="356"/>
      <c r="LDI87" s="356"/>
      <c r="LDJ87" s="356"/>
      <c r="LDK87" s="356"/>
      <c r="LDL87" s="356"/>
      <c r="LDM87" s="356"/>
      <c r="LDN87" s="356"/>
      <c r="LDO87" s="356"/>
      <c r="LDP87" s="356"/>
      <c r="LDQ87" s="356"/>
      <c r="LDR87" s="356"/>
      <c r="LDS87" s="356"/>
      <c r="LDT87" s="356"/>
      <c r="LDU87" s="356"/>
      <c r="LDV87" s="356"/>
      <c r="LDW87" s="356"/>
      <c r="LDX87" s="356"/>
      <c r="LDY87" s="356"/>
      <c r="LDZ87" s="356"/>
      <c r="LEA87" s="356"/>
      <c r="LEB87" s="356"/>
      <c r="LEC87" s="356"/>
      <c r="LED87" s="356"/>
      <c r="LEE87" s="356"/>
      <c r="LEF87" s="356"/>
      <c r="LEG87" s="356"/>
      <c r="LEH87" s="356"/>
      <c r="LEI87" s="356"/>
      <c r="LEJ87" s="356"/>
      <c r="LEK87" s="356"/>
      <c r="LEL87" s="356"/>
      <c r="LEM87" s="356"/>
      <c r="LEN87" s="356"/>
      <c r="LEO87" s="356"/>
      <c r="LEP87" s="356"/>
      <c r="LEQ87" s="356"/>
      <c r="LER87" s="356"/>
      <c r="LES87" s="356"/>
      <c r="LET87" s="356"/>
      <c r="LEU87" s="356"/>
      <c r="LEV87" s="356"/>
      <c r="LEW87" s="356"/>
      <c r="LEX87" s="356"/>
      <c r="LEY87" s="356"/>
      <c r="LEZ87" s="356"/>
      <c r="LFA87" s="356"/>
      <c r="LFB87" s="356"/>
      <c r="LFC87" s="356"/>
      <c r="LFD87" s="356"/>
      <c r="LFE87" s="356"/>
      <c r="LFF87" s="356"/>
      <c r="LFG87" s="356"/>
      <c r="LFH87" s="356"/>
      <c r="LFI87" s="356"/>
      <c r="LFJ87" s="356"/>
      <c r="LFK87" s="356"/>
      <c r="LFL87" s="356"/>
      <c r="LFM87" s="356"/>
      <c r="LFN87" s="356"/>
      <c r="LFO87" s="356"/>
      <c r="LFP87" s="356"/>
      <c r="LFQ87" s="356"/>
      <c r="LFR87" s="356"/>
      <c r="LFS87" s="356"/>
      <c r="LFT87" s="356"/>
      <c r="LFU87" s="356"/>
      <c r="LFV87" s="356"/>
      <c r="LFW87" s="356"/>
      <c r="LFX87" s="356"/>
      <c r="LFY87" s="356"/>
      <c r="LFZ87" s="356"/>
      <c r="LGA87" s="356"/>
      <c r="LGB87" s="356"/>
      <c r="LGC87" s="356"/>
      <c r="LGD87" s="356"/>
      <c r="LGE87" s="356"/>
      <c r="LGF87" s="356"/>
      <c r="LGG87" s="356"/>
      <c r="LGH87" s="356"/>
      <c r="LGI87" s="356"/>
      <c r="LGJ87" s="356"/>
      <c r="LGK87" s="356"/>
      <c r="LGL87" s="356"/>
      <c r="LGM87" s="356"/>
      <c r="LGN87" s="356"/>
      <c r="LGO87" s="356"/>
      <c r="LGP87" s="356"/>
      <c r="LGQ87" s="356"/>
      <c r="LGR87" s="356"/>
      <c r="LGS87" s="356"/>
      <c r="LGT87" s="356"/>
      <c r="LGU87" s="356"/>
      <c r="LGV87" s="356"/>
      <c r="LGW87" s="356"/>
      <c r="LGX87" s="356"/>
      <c r="LGY87" s="356"/>
      <c r="LGZ87" s="356"/>
      <c r="LHA87" s="356"/>
      <c r="LHB87" s="356"/>
      <c r="LHC87" s="356"/>
      <c r="LHD87" s="356"/>
      <c r="LHE87" s="356"/>
      <c r="LHF87" s="356"/>
      <c r="LHG87" s="356"/>
      <c r="LHH87" s="356"/>
      <c r="LHI87" s="356"/>
      <c r="LHJ87" s="356"/>
      <c r="LHK87" s="356"/>
      <c r="LHL87" s="356"/>
      <c r="LHM87" s="356"/>
      <c r="LHN87" s="356"/>
      <c r="LHO87" s="356"/>
      <c r="LHP87" s="356"/>
      <c r="LHQ87" s="356"/>
      <c r="LHR87" s="356"/>
      <c r="LHS87" s="356"/>
      <c r="LHT87" s="356"/>
      <c r="LHU87" s="356"/>
      <c r="LHV87" s="356"/>
      <c r="LHW87" s="356"/>
      <c r="LHX87" s="356"/>
      <c r="LHY87" s="356"/>
      <c r="LHZ87" s="356"/>
      <c r="LIA87" s="356"/>
      <c r="LIB87" s="356"/>
      <c r="LIC87" s="356"/>
      <c r="LID87" s="356"/>
      <c r="LIE87" s="356"/>
      <c r="LIF87" s="356"/>
      <c r="LIG87" s="356"/>
      <c r="LIH87" s="356"/>
      <c r="LII87" s="356"/>
      <c r="LIJ87" s="356"/>
      <c r="LIK87" s="356"/>
      <c r="LIL87" s="356"/>
      <c r="LIM87" s="356"/>
      <c r="LIN87" s="356"/>
      <c r="LIO87" s="356"/>
      <c r="LIP87" s="356"/>
      <c r="LIQ87" s="356"/>
      <c r="LIR87" s="356"/>
      <c r="LIS87" s="356"/>
      <c r="LIT87" s="356"/>
      <c r="LIU87" s="356"/>
      <c r="LIV87" s="356"/>
      <c r="LIW87" s="356"/>
      <c r="LIX87" s="356"/>
      <c r="LIY87" s="356"/>
      <c r="LIZ87" s="356"/>
      <c r="LJA87" s="356"/>
      <c r="LJB87" s="356"/>
      <c r="LJC87" s="356"/>
      <c r="LJD87" s="356"/>
      <c r="LJE87" s="356"/>
      <c r="LJF87" s="356"/>
      <c r="LJG87" s="356"/>
      <c r="LJH87" s="356"/>
      <c r="LJI87" s="356"/>
      <c r="LJJ87" s="356"/>
      <c r="LJK87" s="356"/>
      <c r="LJL87" s="356"/>
      <c r="LJM87" s="356"/>
      <c r="LJN87" s="356"/>
      <c r="LJO87" s="356"/>
      <c r="LJP87" s="356"/>
      <c r="LJQ87" s="356"/>
      <c r="LJR87" s="356"/>
      <c r="LJS87" s="356"/>
      <c r="LJT87" s="356"/>
      <c r="LJU87" s="356"/>
      <c r="LJV87" s="356"/>
      <c r="LJW87" s="356"/>
      <c r="LJX87" s="356"/>
      <c r="LJY87" s="356"/>
      <c r="LJZ87" s="356"/>
      <c r="LKA87" s="356"/>
      <c r="LKB87" s="356"/>
      <c r="LKC87" s="356"/>
      <c r="LKD87" s="356"/>
      <c r="LKE87" s="356"/>
      <c r="LKF87" s="356"/>
      <c r="LKG87" s="356"/>
      <c r="LKH87" s="356"/>
      <c r="LKI87" s="356"/>
      <c r="LKJ87" s="356"/>
      <c r="LKK87" s="356"/>
      <c r="LKL87" s="356"/>
      <c r="LKM87" s="356"/>
      <c r="LKN87" s="356"/>
      <c r="LKO87" s="356"/>
      <c r="LKP87" s="356"/>
      <c r="LKQ87" s="356"/>
      <c r="LKR87" s="356"/>
      <c r="LKS87" s="356"/>
      <c r="LKT87" s="356"/>
      <c r="LKU87" s="356"/>
      <c r="LKV87" s="356"/>
      <c r="LKW87" s="356"/>
      <c r="LKX87" s="356"/>
      <c r="LKY87" s="356"/>
      <c r="LKZ87" s="356"/>
      <c r="LLA87" s="356"/>
      <c r="LLB87" s="356"/>
      <c r="LLC87" s="356"/>
      <c r="LLD87" s="356"/>
      <c r="LLE87" s="356"/>
      <c r="LLF87" s="356"/>
      <c r="LLG87" s="356"/>
      <c r="LLH87" s="356"/>
      <c r="LLI87" s="356"/>
      <c r="LLJ87" s="356"/>
      <c r="LLK87" s="356"/>
      <c r="LLL87" s="356"/>
      <c r="LLM87" s="356"/>
      <c r="LLN87" s="356"/>
      <c r="LLO87" s="356"/>
      <c r="LLP87" s="356"/>
      <c r="LLQ87" s="356"/>
      <c r="LLR87" s="356"/>
      <c r="LLS87" s="356"/>
      <c r="LLT87" s="356"/>
      <c r="LLU87" s="356"/>
      <c r="LLV87" s="356"/>
      <c r="LLW87" s="356"/>
      <c r="LLX87" s="356"/>
      <c r="LLY87" s="356"/>
      <c r="LLZ87" s="356"/>
      <c r="LMA87" s="356"/>
      <c r="LMB87" s="356"/>
      <c r="LMC87" s="356"/>
      <c r="LMD87" s="356"/>
      <c r="LME87" s="356"/>
      <c r="LMF87" s="356"/>
      <c r="LMG87" s="356"/>
      <c r="LMH87" s="356"/>
      <c r="LMI87" s="356"/>
      <c r="LMJ87" s="356"/>
      <c r="LMK87" s="356"/>
      <c r="LML87" s="356"/>
      <c r="LMM87" s="356"/>
      <c r="LMN87" s="356"/>
      <c r="LMO87" s="356"/>
      <c r="LMP87" s="356"/>
      <c r="LMQ87" s="356"/>
      <c r="LMR87" s="356"/>
      <c r="LMS87" s="356"/>
      <c r="LMT87" s="356"/>
      <c r="LMU87" s="356"/>
      <c r="LMV87" s="356"/>
      <c r="LMW87" s="356"/>
      <c r="LMX87" s="356"/>
      <c r="LMY87" s="356"/>
      <c r="LMZ87" s="356"/>
      <c r="LNA87" s="356"/>
      <c r="LNB87" s="356"/>
      <c r="LNC87" s="356"/>
      <c r="LND87" s="356"/>
      <c r="LNE87" s="356"/>
      <c r="LNF87" s="356"/>
      <c r="LNG87" s="356"/>
      <c r="LNH87" s="356"/>
      <c r="LNI87" s="356"/>
      <c r="LNJ87" s="356"/>
      <c r="LNK87" s="356"/>
      <c r="LNL87" s="356"/>
      <c r="LNM87" s="356"/>
      <c r="LNN87" s="356"/>
      <c r="LNO87" s="356"/>
      <c r="LNP87" s="356"/>
      <c r="LNQ87" s="356"/>
      <c r="LNR87" s="356"/>
      <c r="LNS87" s="356"/>
      <c r="LNT87" s="356"/>
      <c r="LNU87" s="356"/>
      <c r="LNV87" s="356"/>
      <c r="LNW87" s="356"/>
      <c r="LNX87" s="356"/>
      <c r="LNY87" s="356"/>
      <c r="LNZ87" s="356"/>
      <c r="LOA87" s="356"/>
      <c r="LOB87" s="356"/>
      <c r="LOC87" s="356"/>
      <c r="LOD87" s="356"/>
      <c r="LOE87" s="356"/>
      <c r="LOF87" s="356"/>
      <c r="LOG87" s="356"/>
      <c r="LOH87" s="356"/>
      <c r="LOI87" s="356"/>
      <c r="LOJ87" s="356"/>
      <c r="LOK87" s="356"/>
      <c r="LOL87" s="356"/>
      <c r="LOM87" s="356"/>
      <c r="LON87" s="356"/>
      <c r="LOO87" s="356"/>
      <c r="LOP87" s="356"/>
      <c r="LOQ87" s="356"/>
      <c r="LOR87" s="356"/>
      <c r="LOS87" s="356"/>
      <c r="LOT87" s="356"/>
      <c r="LOU87" s="356"/>
      <c r="LOV87" s="356"/>
      <c r="LOW87" s="356"/>
      <c r="LOX87" s="356"/>
      <c r="LOY87" s="356"/>
      <c r="LOZ87" s="356"/>
      <c r="LPA87" s="356"/>
      <c r="LPB87" s="356"/>
      <c r="LPC87" s="356"/>
      <c r="LPD87" s="356"/>
      <c r="LPE87" s="356"/>
      <c r="LPF87" s="356"/>
      <c r="LPG87" s="356"/>
      <c r="LPH87" s="356"/>
      <c r="LPI87" s="356"/>
      <c r="LPJ87" s="356"/>
      <c r="LPK87" s="356"/>
      <c r="LPL87" s="356"/>
      <c r="LPM87" s="356"/>
      <c r="LPN87" s="356"/>
      <c r="LPO87" s="356"/>
      <c r="LPP87" s="356"/>
      <c r="LPQ87" s="356"/>
      <c r="LPR87" s="356"/>
      <c r="LPS87" s="356"/>
      <c r="LPT87" s="356"/>
      <c r="LPU87" s="356"/>
      <c r="LPV87" s="356"/>
      <c r="LPW87" s="356"/>
      <c r="LPX87" s="356"/>
      <c r="LPY87" s="356"/>
      <c r="LPZ87" s="356"/>
      <c r="LQA87" s="356"/>
      <c r="LQB87" s="356"/>
      <c r="LQC87" s="356"/>
      <c r="LQD87" s="356"/>
      <c r="LQE87" s="356"/>
      <c r="LQF87" s="356"/>
      <c r="LQG87" s="356"/>
      <c r="LQH87" s="356"/>
      <c r="LQI87" s="356"/>
      <c r="LQJ87" s="356"/>
      <c r="LQK87" s="356"/>
      <c r="LQL87" s="356"/>
      <c r="LQM87" s="356"/>
      <c r="LQN87" s="356"/>
      <c r="LQO87" s="356"/>
      <c r="LQP87" s="356"/>
      <c r="LQQ87" s="356"/>
      <c r="LQR87" s="356"/>
      <c r="LQS87" s="356"/>
      <c r="LQT87" s="356"/>
      <c r="LQU87" s="356"/>
      <c r="LQV87" s="356"/>
      <c r="LQW87" s="356"/>
      <c r="LQX87" s="356"/>
      <c r="LQY87" s="356"/>
      <c r="LQZ87" s="356"/>
      <c r="LRA87" s="356"/>
      <c r="LRB87" s="356"/>
      <c r="LRC87" s="356"/>
      <c r="LRD87" s="356"/>
      <c r="LRE87" s="356"/>
      <c r="LRF87" s="356"/>
      <c r="LRG87" s="356"/>
      <c r="LRH87" s="356"/>
      <c r="LRI87" s="356"/>
      <c r="LRJ87" s="356"/>
      <c r="LRK87" s="356"/>
      <c r="LRL87" s="356"/>
      <c r="LRM87" s="356"/>
      <c r="LRN87" s="356"/>
      <c r="LRO87" s="356"/>
      <c r="LRP87" s="356"/>
      <c r="LRQ87" s="356"/>
      <c r="LRR87" s="356"/>
      <c r="LRS87" s="356"/>
      <c r="LRT87" s="356"/>
      <c r="LRU87" s="356"/>
      <c r="LRV87" s="356"/>
      <c r="LRW87" s="356"/>
      <c r="LRX87" s="356"/>
      <c r="LRY87" s="356"/>
      <c r="LRZ87" s="356"/>
      <c r="LSA87" s="356"/>
      <c r="LSB87" s="356"/>
      <c r="LSC87" s="356"/>
      <c r="LSD87" s="356"/>
      <c r="LSE87" s="356"/>
      <c r="LSF87" s="356"/>
      <c r="LSG87" s="356"/>
      <c r="LSH87" s="356"/>
      <c r="LSI87" s="356"/>
      <c r="LSJ87" s="356"/>
      <c r="LSK87" s="356"/>
      <c r="LSL87" s="356"/>
      <c r="LSM87" s="356"/>
      <c r="LSN87" s="356"/>
      <c r="LSO87" s="356"/>
      <c r="LSP87" s="356"/>
      <c r="LSQ87" s="356"/>
      <c r="LSR87" s="356"/>
      <c r="LSS87" s="356"/>
      <c r="LST87" s="356"/>
      <c r="LSU87" s="356"/>
      <c r="LSV87" s="356"/>
      <c r="LSW87" s="356"/>
      <c r="LSX87" s="356"/>
      <c r="LSY87" s="356"/>
      <c r="LSZ87" s="356"/>
      <c r="LTA87" s="356"/>
      <c r="LTB87" s="356"/>
      <c r="LTC87" s="356"/>
      <c r="LTD87" s="356"/>
      <c r="LTE87" s="356"/>
      <c r="LTF87" s="356"/>
      <c r="LTG87" s="356"/>
      <c r="LTH87" s="356"/>
      <c r="LTI87" s="356"/>
      <c r="LTJ87" s="356"/>
      <c r="LTK87" s="356"/>
      <c r="LTL87" s="356"/>
      <c r="LTM87" s="356"/>
      <c r="LTN87" s="356"/>
      <c r="LTO87" s="356"/>
      <c r="LTP87" s="356"/>
      <c r="LTQ87" s="356"/>
      <c r="LTR87" s="356"/>
      <c r="LTS87" s="356"/>
      <c r="LTT87" s="356"/>
      <c r="LTU87" s="356"/>
      <c r="LTV87" s="356"/>
      <c r="LTW87" s="356"/>
      <c r="LTX87" s="356"/>
      <c r="LTY87" s="356"/>
      <c r="LTZ87" s="356"/>
      <c r="LUA87" s="356"/>
      <c r="LUB87" s="356"/>
      <c r="LUC87" s="356"/>
      <c r="LUD87" s="356"/>
      <c r="LUE87" s="356"/>
      <c r="LUF87" s="356"/>
      <c r="LUG87" s="356"/>
      <c r="LUH87" s="356"/>
      <c r="LUI87" s="356"/>
      <c r="LUJ87" s="356"/>
      <c r="LUK87" s="356"/>
      <c r="LUL87" s="356"/>
      <c r="LUM87" s="356"/>
      <c r="LUN87" s="356"/>
      <c r="LUO87" s="356"/>
      <c r="LUP87" s="356"/>
      <c r="LUQ87" s="356"/>
      <c r="LUR87" s="356"/>
      <c r="LUS87" s="356"/>
      <c r="LUT87" s="356"/>
      <c r="LUU87" s="356"/>
      <c r="LUV87" s="356"/>
      <c r="LUW87" s="356"/>
      <c r="LUX87" s="356"/>
      <c r="LUY87" s="356"/>
      <c r="LUZ87" s="356"/>
      <c r="LVA87" s="356"/>
      <c r="LVB87" s="356"/>
      <c r="LVC87" s="356"/>
      <c r="LVD87" s="356"/>
      <c r="LVE87" s="356"/>
      <c r="LVF87" s="356"/>
      <c r="LVG87" s="356"/>
      <c r="LVH87" s="356"/>
      <c r="LVI87" s="356"/>
      <c r="LVJ87" s="356"/>
      <c r="LVK87" s="356"/>
      <c r="LVL87" s="356"/>
      <c r="LVM87" s="356"/>
      <c r="LVN87" s="356"/>
      <c r="LVO87" s="356"/>
      <c r="LVP87" s="356"/>
      <c r="LVQ87" s="356"/>
      <c r="LVR87" s="356"/>
      <c r="LVS87" s="356"/>
      <c r="LVT87" s="356"/>
      <c r="LVU87" s="356"/>
      <c r="LVV87" s="356"/>
      <c r="LVW87" s="356"/>
      <c r="LVX87" s="356"/>
      <c r="LVY87" s="356"/>
      <c r="LVZ87" s="356"/>
      <c r="LWA87" s="356"/>
      <c r="LWB87" s="356"/>
      <c r="LWC87" s="356"/>
      <c r="LWD87" s="356"/>
      <c r="LWE87" s="356"/>
      <c r="LWF87" s="356"/>
      <c r="LWG87" s="356"/>
      <c r="LWH87" s="356"/>
      <c r="LWI87" s="356"/>
      <c r="LWJ87" s="356"/>
      <c r="LWK87" s="356"/>
      <c r="LWL87" s="356"/>
      <c r="LWM87" s="356"/>
      <c r="LWN87" s="356"/>
      <c r="LWO87" s="356"/>
      <c r="LWP87" s="356"/>
      <c r="LWQ87" s="356"/>
      <c r="LWR87" s="356"/>
      <c r="LWS87" s="356"/>
      <c r="LWT87" s="356"/>
      <c r="LWU87" s="356"/>
      <c r="LWV87" s="356"/>
      <c r="LWW87" s="356"/>
      <c r="LWX87" s="356"/>
      <c r="LWY87" s="356"/>
      <c r="LWZ87" s="356"/>
      <c r="LXA87" s="356"/>
      <c r="LXB87" s="356"/>
      <c r="LXC87" s="356"/>
      <c r="LXD87" s="356"/>
      <c r="LXE87" s="356"/>
      <c r="LXF87" s="356"/>
      <c r="LXG87" s="356"/>
      <c r="LXH87" s="356"/>
      <c r="LXI87" s="356"/>
      <c r="LXJ87" s="356"/>
      <c r="LXK87" s="356"/>
      <c r="LXL87" s="356"/>
      <c r="LXM87" s="356"/>
      <c r="LXN87" s="356"/>
      <c r="LXO87" s="356"/>
      <c r="LXP87" s="356"/>
      <c r="LXQ87" s="356"/>
      <c r="LXR87" s="356"/>
      <c r="LXS87" s="356"/>
      <c r="LXT87" s="356"/>
      <c r="LXU87" s="356"/>
      <c r="LXV87" s="356"/>
      <c r="LXW87" s="356"/>
      <c r="LXX87" s="356"/>
      <c r="LXY87" s="356"/>
      <c r="LXZ87" s="356"/>
      <c r="LYA87" s="356"/>
      <c r="LYB87" s="356"/>
      <c r="LYC87" s="356"/>
      <c r="LYD87" s="356"/>
      <c r="LYE87" s="356"/>
      <c r="LYF87" s="356"/>
      <c r="LYG87" s="356"/>
      <c r="LYH87" s="356"/>
      <c r="LYI87" s="356"/>
      <c r="LYJ87" s="356"/>
      <c r="LYK87" s="356"/>
      <c r="LYL87" s="356"/>
      <c r="LYM87" s="356"/>
      <c r="LYN87" s="356"/>
      <c r="LYO87" s="356"/>
      <c r="LYP87" s="356"/>
      <c r="LYQ87" s="356"/>
      <c r="LYR87" s="356"/>
      <c r="LYS87" s="356"/>
      <c r="LYT87" s="356"/>
      <c r="LYU87" s="356"/>
      <c r="LYV87" s="356"/>
      <c r="LYW87" s="356"/>
      <c r="LYX87" s="356"/>
      <c r="LYY87" s="356"/>
      <c r="LYZ87" s="356"/>
      <c r="LZA87" s="356"/>
      <c r="LZB87" s="356"/>
      <c r="LZC87" s="356"/>
      <c r="LZD87" s="356"/>
      <c r="LZE87" s="356"/>
      <c r="LZF87" s="356"/>
      <c r="LZG87" s="356"/>
      <c r="LZH87" s="356"/>
      <c r="LZI87" s="356"/>
      <c r="LZJ87" s="356"/>
      <c r="LZK87" s="356"/>
      <c r="LZL87" s="356"/>
      <c r="LZM87" s="356"/>
      <c r="LZN87" s="356"/>
      <c r="LZO87" s="356"/>
      <c r="LZP87" s="356"/>
      <c r="LZQ87" s="356"/>
      <c r="LZR87" s="356"/>
      <c r="LZS87" s="356"/>
      <c r="LZT87" s="356"/>
      <c r="LZU87" s="356"/>
      <c r="LZV87" s="356"/>
      <c r="LZW87" s="356"/>
      <c r="LZX87" s="356"/>
      <c r="LZY87" s="356"/>
      <c r="LZZ87" s="356"/>
      <c r="MAA87" s="356"/>
      <c r="MAB87" s="356"/>
      <c r="MAC87" s="356"/>
      <c r="MAD87" s="356"/>
      <c r="MAE87" s="356"/>
      <c r="MAF87" s="356"/>
      <c r="MAG87" s="356"/>
      <c r="MAH87" s="356"/>
      <c r="MAI87" s="356"/>
      <c r="MAJ87" s="356"/>
      <c r="MAK87" s="356"/>
      <c r="MAL87" s="356"/>
      <c r="MAM87" s="356"/>
      <c r="MAN87" s="356"/>
      <c r="MAO87" s="356"/>
      <c r="MAP87" s="356"/>
      <c r="MAQ87" s="356"/>
      <c r="MAR87" s="356"/>
      <c r="MAS87" s="356"/>
      <c r="MAT87" s="356"/>
      <c r="MAU87" s="356"/>
      <c r="MAV87" s="356"/>
      <c r="MAW87" s="356"/>
      <c r="MAX87" s="356"/>
      <c r="MAY87" s="356"/>
      <c r="MAZ87" s="356"/>
      <c r="MBA87" s="356"/>
      <c r="MBB87" s="356"/>
      <c r="MBC87" s="356"/>
      <c r="MBD87" s="356"/>
      <c r="MBE87" s="356"/>
      <c r="MBF87" s="356"/>
      <c r="MBG87" s="356"/>
      <c r="MBH87" s="356"/>
      <c r="MBI87" s="356"/>
      <c r="MBJ87" s="356"/>
      <c r="MBK87" s="356"/>
      <c r="MBL87" s="356"/>
      <c r="MBM87" s="356"/>
      <c r="MBN87" s="356"/>
      <c r="MBO87" s="356"/>
      <c r="MBP87" s="356"/>
      <c r="MBQ87" s="356"/>
      <c r="MBR87" s="356"/>
      <c r="MBS87" s="356"/>
      <c r="MBT87" s="356"/>
      <c r="MBU87" s="356"/>
      <c r="MBV87" s="356"/>
      <c r="MBW87" s="356"/>
      <c r="MBX87" s="356"/>
      <c r="MBY87" s="356"/>
      <c r="MBZ87" s="356"/>
      <c r="MCA87" s="356"/>
      <c r="MCB87" s="356"/>
      <c r="MCC87" s="356"/>
      <c r="MCD87" s="356"/>
      <c r="MCE87" s="356"/>
      <c r="MCF87" s="356"/>
      <c r="MCG87" s="356"/>
      <c r="MCH87" s="356"/>
      <c r="MCI87" s="356"/>
      <c r="MCJ87" s="356"/>
      <c r="MCK87" s="356"/>
      <c r="MCL87" s="356"/>
      <c r="MCM87" s="356"/>
      <c r="MCN87" s="356"/>
      <c r="MCO87" s="356"/>
      <c r="MCP87" s="356"/>
      <c r="MCQ87" s="356"/>
      <c r="MCR87" s="356"/>
      <c r="MCS87" s="356"/>
      <c r="MCT87" s="356"/>
      <c r="MCU87" s="356"/>
      <c r="MCV87" s="356"/>
      <c r="MCW87" s="356"/>
      <c r="MCX87" s="356"/>
      <c r="MCY87" s="356"/>
      <c r="MCZ87" s="356"/>
      <c r="MDA87" s="356"/>
      <c r="MDB87" s="356"/>
      <c r="MDC87" s="356"/>
      <c r="MDD87" s="356"/>
      <c r="MDE87" s="356"/>
      <c r="MDF87" s="356"/>
      <c r="MDG87" s="356"/>
      <c r="MDH87" s="356"/>
      <c r="MDI87" s="356"/>
      <c r="MDJ87" s="356"/>
      <c r="MDK87" s="356"/>
      <c r="MDL87" s="356"/>
      <c r="MDM87" s="356"/>
      <c r="MDN87" s="356"/>
      <c r="MDO87" s="356"/>
      <c r="MDP87" s="356"/>
      <c r="MDQ87" s="356"/>
      <c r="MDR87" s="356"/>
      <c r="MDS87" s="356"/>
      <c r="MDT87" s="356"/>
      <c r="MDU87" s="356"/>
      <c r="MDV87" s="356"/>
      <c r="MDW87" s="356"/>
      <c r="MDX87" s="356"/>
      <c r="MDY87" s="356"/>
      <c r="MDZ87" s="356"/>
      <c r="MEA87" s="356"/>
      <c r="MEB87" s="356"/>
      <c r="MEC87" s="356"/>
      <c r="MED87" s="356"/>
      <c r="MEE87" s="356"/>
      <c r="MEF87" s="356"/>
      <c r="MEG87" s="356"/>
      <c r="MEH87" s="356"/>
      <c r="MEI87" s="356"/>
      <c r="MEJ87" s="356"/>
      <c r="MEK87" s="356"/>
      <c r="MEL87" s="356"/>
      <c r="MEM87" s="356"/>
      <c r="MEN87" s="356"/>
      <c r="MEO87" s="356"/>
      <c r="MEP87" s="356"/>
      <c r="MEQ87" s="356"/>
      <c r="MER87" s="356"/>
      <c r="MES87" s="356"/>
      <c r="MET87" s="356"/>
      <c r="MEU87" s="356"/>
      <c r="MEV87" s="356"/>
      <c r="MEW87" s="356"/>
      <c r="MEX87" s="356"/>
      <c r="MEY87" s="356"/>
      <c r="MEZ87" s="356"/>
      <c r="MFA87" s="356"/>
      <c r="MFB87" s="356"/>
      <c r="MFC87" s="356"/>
      <c r="MFD87" s="356"/>
      <c r="MFE87" s="356"/>
      <c r="MFF87" s="356"/>
      <c r="MFG87" s="356"/>
      <c r="MFH87" s="356"/>
      <c r="MFI87" s="356"/>
      <c r="MFJ87" s="356"/>
      <c r="MFK87" s="356"/>
      <c r="MFL87" s="356"/>
      <c r="MFM87" s="356"/>
      <c r="MFN87" s="356"/>
      <c r="MFO87" s="356"/>
      <c r="MFP87" s="356"/>
      <c r="MFQ87" s="356"/>
      <c r="MFR87" s="356"/>
      <c r="MFS87" s="356"/>
      <c r="MFT87" s="356"/>
      <c r="MFU87" s="356"/>
      <c r="MFV87" s="356"/>
      <c r="MFW87" s="356"/>
      <c r="MFX87" s="356"/>
      <c r="MFY87" s="356"/>
      <c r="MFZ87" s="356"/>
      <c r="MGA87" s="356"/>
      <c r="MGB87" s="356"/>
      <c r="MGC87" s="356"/>
      <c r="MGD87" s="356"/>
      <c r="MGE87" s="356"/>
      <c r="MGF87" s="356"/>
      <c r="MGG87" s="356"/>
      <c r="MGH87" s="356"/>
      <c r="MGI87" s="356"/>
      <c r="MGJ87" s="356"/>
      <c r="MGK87" s="356"/>
      <c r="MGL87" s="356"/>
      <c r="MGM87" s="356"/>
      <c r="MGN87" s="356"/>
      <c r="MGO87" s="356"/>
      <c r="MGP87" s="356"/>
      <c r="MGQ87" s="356"/>
      <c r="MGR87" s="356"/>
      <c r="MGS87" s="356"/>
      <c r="MGT87" s="356"/>
      <c r="MGU87" s="356"/>
      <c r="MGV87" s="356"/>
      <c r="MGW87" s="356"/>
      <c r="MGX87" s="356"/>
      <c r="MGY87" s="356"/>
      <c r="MGZ87" s="356"/>
      <c r="MHA87" s="356"/>
      <c r="MHB87" s="356"/>
      <c r="MHC87" s="356"/>
      <c r="MHD87" s="356"/>
      <c r="MHE87" s="356"/>
      <c r="MHF87" s="356"/>
      <c r="MHG87" s="356"/>
      <c r="MHH87" s="356"/>
      <c r="MHI87" s="356"/>
      <c r="MHJ87" s="356"/>
      <c r="MHK87" s="356"/>
      <c r="MHL87" s="356"/>
      <c r="MHM87" s="356"/>
      <c r="MHN87" s="356"/>
      <c r="MHO87" s="356"/>
      <c r="MHP87" s="356"/>
      <c r="MHQ87" s="356"/>
      <c r="MHR87" s="356"/>
      <c r="MHS87" s="356"/>
      <c r="MHT87" s="356"/>
      <c r="MHU87" s="356"/>
      <c r="MHV87" s="356"/>
      <c r="MHW87" s="356"/>
      <c r="MHX87" s="356"/>
      <c r="MHY87" s="356"/>
      <c r="MHZ87" s="356"/>
      <c r="MIA87" s="356"/>
      <c r="MIB87" s="356"/>
      <c r="MIC87" s="356"/>
      <c r="MID87" s="356"/>
      <c r="MIE87" s="356"/>
      <c r="MIF87" s="356"/>
      <c r="MIG87" s="356"/>
      <c r="MIH87" s="356"/>
      <c r="MII87" s="356"/>
      <c r="MIJ87" s="356"/>
      <c r="MIK87" s="356"/>
      <c r="MIL87" s="356"/>
      <c r="MIM87" s="356"/>
      <c r="MIN87" s="356"/>
      <c r="MIO87" s="356"/>
      <c r="MIP87" s="356"/>
      <c r="MIQ87" s="356"/>
      <c r="MIR87" s="356"/>
      <c r="MIS87" s="356"/>
      <c r="MIT87" s="356"/>
      <c r="MIU87" s="356"/>
      <c r="MIV87" s="356"/>
      <c r="MIW87" s="356"/>
      <c r="MIX87" s="356"/>
      <c r="MIY87" s="356"/>
      <c r="MIZ87" s="356"/>
      <c r="MJA87" s="356"/>
      <c r="MJB87" s="356"/>
      <c r="MJC87" s="356"/>
      <c r="MJD87" s="356"/>
      <c r="MJE87" s="356"/>
      <c r="MJF87" s="356"/>
      <c r="MJG87" s="356"/>
      <c r="MJH87" s="356"/>
      <c r="MJI87" s="356"/>
      <c r="MJJ87" s="356"/>
      <c r="MJK87" s="356"/>
      <c r="MJL87" s="356"/>
      <c r="MJM87" s="356"/>
      <c r="MJN87" s="356"/>
      <c r="MJO87" s="356"/>
      <c r="MJP87" s="356"/>
      <c r="MJQ87" s="356"/>
      <c r="MJR87" s="356"/>
      <c r="MJS87" s="356"/>
      <c r="MJT87" s="356"/>
      <c r="MJU87" s="356"/>
      <c r="MJV87" s="356"/>
      <c r="MJW87" s="356"/>
      <c r="MJX87" s="356"/>
      <c r="MJY87" s="356"/>
      <c r="MJZ87" s="356"/>
      <c r="MKA87" s="356"/>
      <c r="MKB87" s="356"/>
      <c r="MKC87" s="356"/>
      <c r="MKD87" s="356"/>
      <c r="MKE87" s="356"/>
      <c r="MKF87" s="356"/>
      <c r="MKG87" s="356"/>
      <c r="MKH87" s="356"/>
      <c r="MKI87" s="356"/>
      <c r="MKJ87" s="356"/>
      <c r="MKK87" s="356"/>
      <c r="MKL87" s="356"/>
      <c r="MKM87" s="356"/>
      <c r="MKN87" s="356"/>
      <c r="MKO87" s="356"/>
      <c r="MKP87" s="356"/>
      <c r="MKQ87" s="356"/>
      <c r="MKR87" s="356"/>
      <c r="MKS87" s="356"/>
      <c r="MKT87" s="356"/>
      <c r="MKU87" s="356"/>
      <c r="MKV87" s="356"/>
      <c r="MKW87" s="356"/>
      <c r="MKX87" s="356"/>
      <c r="MKY87" s="356"/>
      <c r="MKZ87" s="356"/>
      <c r="MLA87" s="356"/>
      <c r="MLB87" s="356"/>
      <c r="MLC87" s="356"/>
      <c r="MLD87" s="356"/>
      <c r="MLE87" s="356"/>
      <c r="MLF87" s="356"/>
      <c r="MLG87" s="356"/>
      <c r="MLH87" s="356"/>
      <c r="MLI87" s="356"/>
      <c r="MLJ87" s="356"/>
      <c r="MLK87" s="356"/>
      <c r="MLL87" s="356"/>
      <c r="MLM87" s="356"/>
      <c r="MLN87" s="356"/>
      <c r="MLO87" s="356"/>
      <c r="MLP87" s="356"/>
      <c r="MLQ87" s="356"/>
      <c r="MLR87" s="356"/>
      <c r="MLS87" s="356"/>
      <c r="MLT87" s="356"/>
      <c r="MLU87" s="356"/>
      <c r="MLV87" s="356"/>
      <c r="MLW87" s="356"/>
      <c r="MLX87" s="356"/>
      <c r="MLY87" s="356"/>
      <c r="MLZ87" s="356"/>
      <c r="MMA87" s="356"/>
      <c r="MMB87" s="356"/>
      <c r="MMC87" s="356"/>
      <c r="MMD87" s="356"/>
      <c r="MME87" s="356"/>
      <c r="MMF87" s="356"/>
      <c r="MMG87" s="356"/>
      <c r="MMH87" s="356"/>
      <c r="MMI87" s="356"/>
      <c r="MMJ87" s="356"/>
      <c r="MMK87" s="356"/>
      <c r="MML87" s="356"/>
      <c r="MMM87" s="356"/>
      <c r="MMN87" s="356"/>
      <c r="MMO87" s="356"/>
      <c r="MMP87" s="356"/>
      <c r="MMQ87" s="356"/>
      <c r="MMR87" s="356"/>
      <c r="MMS87" s="356"/>
      <c r="MMT87" s="356"/>
      <c r="MMU87" s="356"/>
      <c r="MMV87" s="356"/>
      <c r="MMW87" s="356"/>
      <c r="MMX87" s="356"/>
      <c r="MMY87" s="356"/>
      <c r="MMZ87" s="356"/>
      <c r="MNA87" s="356"/>
      <c r="MNB87" s="356"/>
      <c r="MNC87" s="356"/>
      <c r="MND87" s="356"/>
      <c r="MNE87" s="356"/>
      <c r="MNF87" s="356"/>
      <c r="MNG87" s="356"/>
      <c r="MNH87" s="356"/>
      <c r="MNI87" s="356"/>
      <c r="MNJ87" s="356"/>
      <c r="MNK87" s="356"/>
      <c r="MNL87" s="356"/>
      <c r="MNM87" s="356"/>
      <c r="MNN87" s="356"/>
      <c r="MNO87" s="356"/>
      <c r="MNP87" s="356"/>
      <c r="MNQ87" s="356"/>
      <c r="MNR87" s="356"/>
      <c r="MNS87" s="356"/>
      <c r="MNT87" s="356"/>
      <c r="MNU87" s="356"/>
      <c r="MNV87" s="356"/>
      <c r="MNW87" s="356"/>
      <c r="MNX87" s="356"/>
      <c r="MNY87" s="356"/>
      <c r="MNZ87" s="356"/>
      <c r="MOA87" s="356"/>
      <c r="MOB87" s="356"/>
      <c r="MOC87" s="356"/>
      <c r="MOD87" s="356"/>
      <c r="MOE87" s="356"/>
      <c r="MOF87" s="356"/>
      <c r="MOG87" s="356"/>
      <c r="MOH87" s="356"/>
      <c r="MOI87" s="356"/>
      <c r="MOJ87" s="356"/>
      <c r="MOK87" s="356"/>
      <c r="MOL87" s="356"/>
      <c r="MOM87" s="356"/>
      <c r="MON87" s="356"/>
      <c r="MOO87" s="356"/>
      <c r="MOP87" s="356"/>
      <c r="MOQ87" s="356"/>
      <c r="MOR87" s="356"/>
      <c r="MOS87" s="356"/>
      <c r="MOT87" s="356"/>
      <c r="MOU87" s="356"/>
      <c r="MOV87" s="356"/>
      <c r="MOW87" s="356"/>
      <c r="MOX87" s="356"/>
      <c r="MOY87" s="356"/>
      <c r="MOZ87" s="356"/>
      <c r="MPA87" s="356"/>
      <c r="MPB87" s="356"/>
      <c r="MPC87" s="356"/>
      <c r="MPD87" s="356"/>
      <c r="MPE87" s="356"/>
      <c r="MPF87" s="356"/>
      <c r="MPG87" s="356"/>
      <c r="MPH87" s="356"/>
      <c r="MPI87" s="356"/>
      <c r="MPJ87" s="356"/>
      <c r="MPK87" s="356"/>
      <c r="MPL87" s="356"/>
      <c r="MPM87" s="356"/>
      <c r="MPN87" s="356"/>
      <c r="MPO87" s="356"/>
      <c r="MPP87" s="356"/>
      <c r="MPQ87" s="356"/>
      <c r="MPR87" s="356"/>
      <c r="MPS87" s="356"/>
      <c r="MPT87" s="356"/>
      <c r="MPU87" s="356"/>
      <c r="MPV87" s="356"/>
      <c r="MPW87" s="356"/>
      <c r="MPX87" s="356"/>
      <c r="MPY87" s="356"/>
      <c r="MPZ87" s="356"/>
      <c r="MQA87" s="356"/>
      <c r="MQB87" s="356"/>
      <c r="MQC87" s="356"/>
      <c r="MQD87" s="356"/>
      <c r="MQE87" s="356"/>
      <c r="MQF87" s="356"/>
      <c r="MQG87" s="356"/>
      <c r="MQH87" s="356"/>
      <c r="MQI87" s="356"/>
      <c r="MQJ87" s="356"/>
      <c r="MQK87" s="356"/>
      <c r="MQL87" s="356"/>
      <c r="MQM87" s="356"/>
      <c r="MQN87" s="356"/>
      <c r="MQO87" s="356"/>
      <c r="MQP87" s="356"/>
      <c r="MQQ87" s="356"/>
      <c r="MQR87" s="356"/>
      <c r="MQS87" s="356"/>
      <c r="MQT87" s="356"/>
      <c r="MQU87" s="356"/>
      <c r="MQV87" s="356"/>
      <c r="MQW87" s="356"/>
      <c r="MQX87" s="356"/>
      <c r="MQY87" s="356"/>
      <c r="MQZ87" s="356"/>
      <c r="MRA87" s="356"/>
      <c r="MRB87" s="356"/>
      <c r="MRC87" s="356"/>
      <c r="MRD87" s="356"/>
      <c r="MRE87" s="356"/>
      <c r="MRF87" s="356"/>
      <c r="MRG87" s="356"/>
      <c r="MRH87" s="356"/>
      <c r="MRI87" s="356"/>
      <c r="MRJ87" s="356"/>
      <c r="MRK87" s="356"/>
      <c r="MRL87" s="356"/>
      <c r="MRM87" s="356"/>
      <c r="MRN87" s="356"/>
      <c r="MRO87" s="356"/>
      <c r="MRP87" s="356"/>
      <c r="MRQ87" s="356"/>
      <c r="MRR87" s="356"/>
      <c r="MRS87" s="356"/>
      <c r="MRT87" s="356"/>
      <c r="MRU87" s="356"/>
      <c r="MRV87" s="356"/>
      <c r="MRW87" s="356"/>
      <c r="MRX87" s="356"/>
      <c r="MRY87" s="356"/>
      <c r="MRZ87" s="356"/>
      <c r="MSA87" s="356"/>
      <c r="MSB87" s="356"/>
      <c r="MSC87" s="356"/>
      <c r="MSD87" s="356"/>
      <c r="MSE87" s="356"/>
      <c r="MSF87" s="356"/>
      <c r="MSG87" s="356"/>
      <c r="MSH87" s="356"/>
      <c r="MSI87" s="356"/>
      <c r="MSJ87" s="356"/>
      <c r="MSK87" s="356"/>
      <c r="MSL87" s="356"/>
      <c r="MSM87" s="356"/>
      <c r="MSN87" s="356"/>
      <c r="MSO87" s="356"/>
      <c r="MSP87" s="356"/>
      <c r="MSQ87" s="356"/>
      <c r="MSR87" s="356"/>
      <c r="MSS87" s="356"/>
      <c r="MST87" s="356"/>
      <c r="MSU87" s="356"/>
      <c r="MSV87" s="356"/>
      <c r="MSW87" s="356"/>
      <c r="MSX87" s="356"/>
      <c r="MSY87" s="356"/>
      <c r="MSZ87" s="356"/>
      <c r="MTA87" s="356"/>
      <c r="MTB87" s="356"/>
      <c r="MTC87" s="356"/>
      <c r="MTD87" s="356"/>
      <c r="MTE87" s="356"/>
      <c r="MTF87" s="356"/>
      <c r="MTG87" s="356"/>
      <c r="MTH87" s="356"/>
      <c r="MTI87" s="356"/>
      <c r="MTJ87" s="356"/>
      <c r="MTK87" s="356"/>
      <c r="MTL87" s="356"/>
      <c r="MTM87" s="356"/>
      <c r="MTN87" s="356"/>
      <c r="MTO87" s="356"/>
      <c r="MTP87" s="356"/>
      <c r="MTQ87" s="356"/>
      <c r="MTR87" s="356"/>
      <c r="MTS87" s="356"/>
      <c r="MTT87" s="356"/>
      <c r="MTU87" s="356"/>
      <c r="MTV87" s="356"/>
      <c r="MTW87" s="356"/>
      <c r="MTX87" s="356"/>
      <c r="MTY87" s="356"/>
      <c r="MTZ87" s="356"/>
      <c r="MUA87" s="356"/>
      <c r="MUB87" s="356"/>
      <c r="MUC87" s="356"/>
      <c r="MUD87" s="356"/>
      <c r="MUE87" s="356"/>
      <c r="MUF87" s="356"/>
      <c r="MUG87" s="356"/>
      <c r="MUH87" s="356"/>
      <c r="MUI87" s="356"/>
      <c r="MUJ87" s="356"/>
      <c r="MUK87" s="356"/>
      <c r="MUL87" s="356"/>
      <c r="MUM87" s="356"/>
      <c r="MUN87" s="356"/>
      <c r="MUO87" s="356"/>
      <c r="MUP87" s="356"/>
      <c r="MUQ87" s="356"/>
      <c r="MUR87" s="356"/>
      <c r="MUS87" s="356"/>
      <c r="MUT87" s="356"/>
      <c r="MUU87" s="356"/>
      <c r="MUV87" s="356"/>
      <c r="MUW87" s="356"/>
      <c r="MUX87" s="356"/>
      <c r="MUY87" s="356"/>
      <c r="MUZ87" s="356"/>
      <c r="MVA87" s="356"/>
      <c r="MVB87" s="356"/>
      <c r="MVC87" s="356"/>
      <c r="MVD87" s="356"/>
      <c r="MVE87" s="356"/>
      <c r="MVF87" s="356"/>
      <c r="MVG87" s="356"/>
      <c r="MVH87" s="356"/>
      <c r="MVI87" s="356"/>
      <c r="MVJ87" s="356"/>
      <c r="MVK87" s="356"/>
      <c r="MVL87" s="356"/>
      <c r="MVM87" s="356"/>
      <c r="MVN87" s="356"/>
      <c r="MVO87" s="356"/>
      <c r="MVP87" s="356"/>
      <c r="MVQ87" s="356"/>
      <c r="MVR87" s="356"/>
      <c r="MVS87" s="356"/>
      <c r="MVT87" s="356"/>
      <c r="MVU87" s="356"/>
      <c r="MVV87" s="356"/>
      <c r="MVW87" s="356"/>
      <c r="MVX87" s="356"/>
      <c r="MVY87" s="356"/>
      <c r="MVZ87" s="356"/>
      <c r="MWA87" s="356"/>
      <c r="MWB87" s="356"/>
      <c r="MWC87" s="356"/>
      <c r="MWD87" s="356"/>
      <c r="MWE87" s="356"/>
      <c r="MWF87" s="356"/>
      <c r="MWG87" s="356"/>
      <c r="MWH87" s="356"/>
      <c r="MWI87" s="356"/>
      <c r="MWJ87" s="356"/>
      <c r="MWK87" s="356"/>
      <c r="MWL87" s="356"/>
      <c r="MWM87" s="356"/>
      <c r="MWN87" s="356"/>
      <c r="MWO87" s="356"/>
      <c r="MWP87" s="356"/>
      <c r="MWQ87" s="356"/>
      <c r="MWR87" s="356"/>
      <c r="MWS87" s="356"/>
      <c r="MWT87" s="356"/>
      <c r="MWU87" s="356"/>
      <c r="MWV87" s="356"/>
      <c r="MWW87" s="356"/>
      <c r="MWX87" s="356"/>
      <c r="MWY87" s="356"/>
      <c r="MWZ87" s="356"/>
      <c r="MXA87" s="356"/>
      <c r="MXB87" s="356"/>
      <c r="MXC87" s="356"/>
      <c r="MXD87" s="356"/>
      <c r="MXE87" s="356"/>
      <c r="MXF87" s="356"/>
      <c r="MXG87" s="356"/>
      <c r="MXH87" s="356"/>
      <c r="MXI87" s="356"/>
      <c r="MXJ87" s="356"/>
      <c r="MXK87" s="356"/>
      <c r="MXL87" s="356"/>
      <c r="MXM87" s="356"/>
      <c r="MXN87" s="356"/>
      <c r="MXO87" s="356"/>
      <c r="MXP87" s="356"/>
      <c r="MXQ87" s="356"/>
      <c r="MXR87" s="356"/>
      <c r="MXS87" s="356"/>
      <c r="MXT87" s="356"/>
      <c r="MXU87" s="356"/>
      <c r="MXV87" s="356"/>
      <c r="MXW87" s="356"/>
      <c r="MXX87" s="356"/>
      <c r="MXY87" s="356"/>
      <c r="MXZ87" s="356"/>
      <c r="MYA87" s="356"/>
      <c r="MYB87" s="356"/>
      <c r="MYC87" s="356"/>
      <c r="MYD87" s="356"/>
      <c r="MYE87" s="356"/>
      <c r="MYF87" s="356"/>
      <c r="MYG87" s="356"/>
      <c r="MYH87" s="356"/>
      <c r="MYI87" s="356"/>
      <c r="MYJ87" s="356"/>
      <c r="MYK87" s="356"/>
      <c r="MYL87" s="356"/>
      <c r="MYM87" s="356"/>
      <c r="MYN87" s="356"/>
      <c r="MYO87" s="356"/>
      <c r="MYP87" s="356"/>
      <c r="MYQ87" s="356"/>
      <c r="MYR87" s="356"/>
      <c r="MYS87" s="356"/>
      <c r="MYT87" s="356"/>
      <c r="MYU87" s="356"/>
      <c r="MYV87" s="356"/>
      <c r="MYW87" s="356"/>
      <c r="MYX87" s="356"/>
      <c r="MYY87" s="356"/>
      <c r="MYZ87" s="356"/>
      <c r="MZA87" s="356"/>
      <c r="MZB87" s="356"/>
      <c r="MZC87" s="356"/>
      <c r="MZD87" s="356"/>
      <c r="MZE87" s="356"/>
      <c r="MZF87" s="356"/>
      <c r="MZG87" s="356"/>
      <c r="MZH87" s="356"/>
      <c r="MZI87" s="356"/>
      <c r="MZJ87" s="356"/>
      <c r="MZK87" s="356"/>
      <c r="MZL87" s="356"/>
      <c r="MZM87" s="356"/>
      <c r="MZN87" s="356"/>
      <c r="MZO87" s="356"/>
      <c r="MZP87" s="356"/>
      <c r="MZQ87" s="356"/>
      <c r="MZR87" s="356"/>
      <c r="MZS87" s="356"/>
      <c r="MZT87" s="356"/>
      <c r="MZU87" s="356"/>
      <c r="MZV87" s="356"/>
      <c r="MZW87" s="356"/>
      <c r="MZX87" s="356"/>
      <c r="MZY87" s="356"/>
      <c r="MZZ87" s="356"/>
      <c r="NAA87" s="356"/>
      <c r="NAB87" s="356"/>
      <c r="NAC87" s="356"/>
      <c r="NAD87" s="356"/>
      <c r="NAE87" s="356"/>
      <c r="NAF87" s="356"/>
      <c r="NAG87" s="356"/>
      <c r="NAH87" s="356"/>
      <c r="NAI87" s="356"/>
      <c r="NAJ87" s="356"/>
      <c r="NAK87" s="356"/>
      <c r="NAL87" s="356"/>
      <c r="NAM87" s="356"/>
      <c r="NAN87" s="356"/>
      <c r="NAO87" s="356"/>
      <c r="NAP87" s="356"/>
      <c r="NAQ87" s="356"/>
      <c r="NAR87" s="356"/>
      <c r="NAS87" s="356"/>
      <c r="NAT87" s="356"/>
      <c r="NAU87" s="356"/>
      <c r="NAV87" s="356"/>
      <c r="NAW87" s="356"/>
      <c r="NAX87" s="356"/>
      <c r="NAY87" s="356"/>
      <c r="NAZ87" s="356"/>
      <c r="NBA87" s="356"/>
      <c r="NBB87" s="356"/>
      <c r="NBC87" s="356"/>
      <c r="NBD87" s="356"/>
      <c r="NBE87" s="356"/>
      <c r="NBF87" s="356"/>
      <c r="NBG87" s="356"/>
      <c r="NBH87" s="356"/>
      <c r="NBI87" s="356"/>
      <c r="NBJ87" s="356"/>
      <c r="NBK87" s="356"/>
      <c r="NBL87" s="356"/>
      <c r="NBM87" s="356"/>
      <c r="NBN87" s="356"/>
      <c r="NBO87" s="356"/>
      <c r="NBP87" s="356"/>
      <c r="NBQ87" s="356"/>
      <c r="NBR87" s="356"/>
      <c r="NBS87" s="356"/>
      <c r="NBT87" s="356"/>
      <c r="NBU87" s="356"/>
      <c r="NBV87" s="356"/>
      <c r="NBW87" s="356"/>
      <c r="NBX87" s="356"/>
      <c r="NBY87" s="356"/>
      <c r="NBZ87" s="356"/>
      <c r="NCA87" s="356"/>
      <c r="NCB87" s="356"/>
      <c r="NCC87" s="356"/>
      <c r="NCD87" s="356"/>
      <c r="NCE87" s="356"/>
      <c r="NCF87" s="356"/>
      <c r="NCG87" s="356"/>
      <c r="NCH87" s="356"/>
      <c r="NCI87" s="356"/>
      <c r="NCJ87" s="356"/>
      <c r="NCK87" s="356"/>
      <c r="NCL87" s="356"/>
      <c r="NCM87" s="356"/>
      <c r="NCN87" s="356"/>
      <c r="NCO87" s="356"/>
      <c r="NCP87" s="356"/>
      <c r="NCQ87" s="356"/>
      <c r="NCR87" s="356"/>
      <c r="NCS87" s="356"/>
      <c r="NCT87" s="356"/>
      <c r="NCU87" s="356"/>
      <c r="NCV87" s="356"/>
      <c r="NCW87" s="356"/>
      <c r="NCX87" s="356"/>
      <c r="NCY87" s="356"/>
      <c r="NCZ87" s="356"/>
      <c r="NDA87" s="356"/>
      <c r="NDB87" s="356"/>
      <c r="NDC87" s="356"/>
      <c r="NDD87" s="356"/>
      <c r="NDE87" s="356"/>
      <c r="NDF87" s="356"/>
      <c r="NDG87" s="356"/>
      <c r="NDH87" s="356"/>
      <c r="NDI87" s="356"/>
      <c r="NDJ87" s="356"/>
      <c r="NDK87" s="356"/>
      <c r="NDL87" s="356"/>
      <c r="NDM87" s="356"/>
      <c r="NDN87" s="356"/>
      <c r="NDO87" s="356"/>
      <c r="NDP87" s="356"/>
      <c r="NDQ87" s="356"/>
      <c r="NDR87" s="356"/>
      <c r="NDS87" s="356"/>
      <c r="NDT87" s="356"/>
      <c r="NDU87" s="356"/>
      <c r="NDV87" s="356"/>
      <c r="NDW87" s="356"/>
      <c r="NDX87" s="356"/>
      <c r="NDY87" s="356"/>
      <c r="NDZ87" s="356"/>
      <c r="NEA87" s="356"/>
      <c r="NEB87" s="356"/>
      <c r="NEC87" s="356"/>
      <c r="NED87" s="356"/>
      <c r="NEE87" s="356"/>
      <c r="NEF87" s="356"/>
      <c r="NEG87" s="356"/>
      <c r="NEH87" s="356"/>
      <c r="NEI87" s="356"/>
      <c r="NEJ87" s="356"/>
      <c r="NEK87" s="356"/>
      <c r="NEL87" s="356"/>
      <c r="NEM87" s="356"/>
      <c r="NEN87" s="356"/>
      <c r="NEO87" s="356"/>
      <c r="NEP87" s="356"/>
      <c r="NEQ87" s="356"/>
      <c r="NER87" s="356"/>
      <c r="NES87" s="356"/>
      <c r="NET87" s="356"/>
      <c r="NEU87" s="356"/>
      <c r="NEV87" s="356"/>
      <c r="NEW87" s="356"/>
      <c r="NEX87" s="356"/>
      <c r="NEY87" s="356"/>
      <c r="NEZ87" s="356"/>
      <c r="NFA87" s="356"/>
      <c r="NFB87" s="356"/>
      <c r="NFC87" s="356"/>
      <c r="NFD87" s="356"/>
      <c r="NFE87" s="356"/>
      <c r="NFF87" s="356"/>
      <c r="NFG87" s="356"/>
      <c r="NFH87" s="356"/>
      <c r="NFI87" s="356"/>
      <c r="NFJ87" s="356"/>
      <c r="NFK87" s="356"/>
      <c r="NFL87" s="356"/>
      <c r="NFM87" s="356"/>
      <c r="NFN87" s="356"/>
      <c r="NFO87" s="356"/>
      <c r="NFP87" s="356"/>
      <c r="NFQ87" s="356"/>
      <c r="NFR87" s="356"/>
      <c r="NFS87" s="356"/>
      <c r="NFT87" s="356"/>
      <c r="NFU87" s="356"/>
      <c r="NFV87" s="356"/>
      <c r="NFW87" s="356"/>
      <c r="NFX87" s="356"/>
      <c r="NFY87" s="356"/>
      <c r="NFZ87" s="356"/>
      <c r="NGA87" s="356"/>
      <c r="NGB87" s="356"/>
      <c r="NGC87" s="356"/>
      <c r="NGD87" s="356"/>
      <c r="NGE87" s="356"/>
      <c r="NGF87" s="356"/>
      <c r="NGG87" s="356"/>
      <c r="NGH87" s="356"/>
      <c r="NGI87" s="356"/>
      <c r="NGJ87" s="356"/>
      <c r="NGK87" s="356"/>
      <c r="NGL87" s="356"/>
      <c r="NGM87" s="356"/>
      <c r="NGN87" s="356"/>
      <c r="NGO87" s="356"/>
      <c r="NGP87" s="356"/>
      <c r="NGQ87" s="356"/>
      <c r="NGR87" s="356"/>
      <c r="NGS87" s="356"/>
      <c r="NGT87" s="356"/>
      <c r="NGU87" s="356"/>
      <c r="NGV87" s="356"/>
      <c r="NGW87" s="356"/>
      <c r="NGX87" s="356"/>
      <c r="NGY87" s="356"/>
      <c r="NGZ87" s="356"/>
      <c r="NHA87" s="356"/>
      <c r="NHB87" s="356"/>
      <c r="NHC87" s="356"/>
      <c r="NHD87" s="356"/>
      <c r="NHE87" s="356"/>
      <c r="NHF87" s="356"/>
      <c r="NHG87" s="356"/>
      <c r="NHH87" s="356"/>
      <c r="NHI87" s="356"/>
      <c r="NHJ87" s="356"/>
      <c r="NHK87" s="356"/>
      <c r="NHL87" s="356"/>
      <c r="NHM87" s="356"/>
      <c r="NHN87" s="356"/>
      <c r="NHO87" s="356"/>
      <c r="NHP87" s="356"/>
      <c r="NHQ87" s="356"/>
      <c r="NHR87" s="356"/>
      <c r="NHS87" s="356"/>
      <c r="NHT87" s="356"/>
      <c r="NHU87" s="356"/>
      <c r="NHV87" s="356"/>
      <c r="NHW87" s="356"/>
      <c r="NHX87" s="356"/>
      <c r="NHY87" s="356"/>
      <c r="NHZ87" s="356"/>
      <c r="NIA87" s="356"/>
      <c r="NIB87" s="356"/>
      <c r="NIC87" s="356"/>
      <c r="NID87" s="356"/>
      <c r="NIE87" s="356"/>
      <c r="NIF87" s="356"/>
      <c r="NIG87" s="356"/>
      <c r="NIH87" s="356"/>
      <c r="NII87" s="356"/>
      <c r="NIJ87" s="356"/>
      <c r="NIK87" s="356"/>
      <c r="NIL87" s="356"/>
      <c r="NIM87" s="356"/>
      <c r="NIN87" s="356"/>
      <c r="NIO87" s="356"/>
      <c r="NIP87" s="356"/>
      <c r="NIQ87" s="356"/>
      <c r="NIR87" s="356"/>
      <c r="NIS87" s="356"/>
      <c r="NIT87" s="356"/>
      <c r="NIU87" s="356"/>
      <c r="NIV87" s="356"/>
      <c r="NIW87" s="356"/>
      <c r="NIX87" s="356"/>
      <c r="NIY87" s="356"/>
      <c r="NIZ87" s="356"/>
      <c r="NJA87" s="356"/>
      <c r="NJB87" s="356"/>
      <c r="NJC87" s="356"/>
      <c r="NJD87" s="356"/>
      <c r="NJE87" s="356"/>
      <c r="NJF87" s="356"/>
      <c r="NJG87" s="356"/>
      <c r="NJH87" s="356"/>
      <c r="NJI87" s="356"/>
      <c r="NJJ87" s="356"/>
      <c r="NJK87" s="356"/>
      <c r="NJL87" s="356"/>
      <c r="NJM87" s="356"/>
      <c r="NJN87" s="356"/>
      <c r="NJO87" s="356"/>
      <c r="NJP87" s="356"/>
      <c r="NJQ87" s="356"/>
      <c r="NJR87" s="356"/>
      <c r="NJS87" s="356"/>
      <c r="NJT87" s="356"/>
      <c r="NJU87" s="356"/>
      <c r="NJV87" s="356"/>
      <c r="NJW87" s="356"/>
      <c r="NJX87" s="356"/>
      <c r="NJY87" s="356"/>
      <c r="NJZ87" s="356"/>
      <c r="NKA87" s="356"/>
      <c r="NKB87" s="356"/>
      <c r="NKC87" s="356"/>
      <c r="NKD87" s="356"/>
      <c r="NKE87" s="356"/>
      <c r="NKF87" s="356"/>
      <c r="NKG87" s="356"/>
      <c r="NKH87" s="356"/>
      <c r="NKI87" s="356"/>
      <c r="NKJ87" s="356"/>
      <c r="NKK87" s="356"/>
      <c r="NKL87" s="356"/>
      <c r="NKM87" s="356"/>
      <c r="NKN87" s="356"/>
      <c r="NKO87" s="356"/>
      <c r="NKP87" s="356"/>
      <c r="NKQ87" s="356"/>
      <c r="NKR87" s="356"/>
      <c r="NKS87" s="356"/>
      <c r="NKT87" s="356"/>
      <c r="NKU87" s="356"/>
      <c r="NKV87" s="356"/>
      <c r="NKW87" s="356"/>
      <c r="NKX87" s="356"/>
      <c r="NKY87" s="356"/>
      <c r="NKZ87" s="356"/>
      <c r="NLA87" s="356"/>
      <c r="NLB87" s="356"/>
      <c r="NLC87" s="356"/>
      <c r="NLD87" s="356"/>
      <c r="NLE87" s="356"/>
      <c r="NLF87" s="356"/>
      <c r="NLG87" s="356"/>
      <c r="NLH87" s="356"/>
      <c r="NLI87" s="356"/>
      <c r="NLJ87" s="356"/>
      <c r="NLK87" s="356"/>
      <c r="NLL87" s="356"/>
      <c r="NLM87" s="356"/>
      <c r="NLN87" s="356"/>
      <c r="NLO87" s="356"/>
      <c r="NLP87" s="356"/>
      <c r="NLQ87" s="356"/>
      <c r="NLR87" s="356"/>
      <c r="NLS87" s="356"/>
      <c r="NLT87" s="356"/>
      <c r="NLU87" s="356"/>
      <c r="NLV87" s="356"/>
      <c r="NLW87" s="356"/>
      <c r="NLX87" s="356"/>
      <c r="NLY87" s="356"/>
      <c r="NLZ87" s="356"/>
      <c r="NMA87" s="356"/>
      <c r="NMB87" s="356"/>
      <c r="NMC87" s="356"/>
      <c r="NMD87" s="356"/>
      <c r="NME87" s="356"/>
      <c r="NMF87" s="356"/>
      <c r="NMG87" s="356"/>
      <c r="NMH87" s="356"/>
      <c r="NMI87" s="356"/>
      <c r="NMJ87" s="356"/>
      <c r="NMK87" s="356"/>
      <c r="NML87" s="356"/>
      <c r="NMM87" s="356"/>
      <c r="NMN87" s="356"/>
      <c r="NMO87" s="356"/>
      <c r="NMP87" s="356"/>
      <c r="NMQ87" s="356"/>
      <c r="NMR87" s="356"/>
      <c r="NMS87" s="356"/>
      <c r="NMT87" s="356"/>
      <c r="NMU87" s="356"/>
      <c r="NMV87" s="356"/>
      <c r="NMW87" s="356"/>
      <c r="NMX87" s="356"/>
      <c r="NMY87" s="356"/>
      <c r="NMZ87" s="356"/>
      <c r="NNA87" s="356"/>
      <c r="NNB87" s="356"/>
      <c r="NNC87" s="356"/>
      <c r="NND87" s="356"/>
      <c r="NNE87" s="356"/>
      <c r="NNF87" s="356"/>
      <c r="NNG87" s="356"/>
      <c r="NNH87" s="356"/>
      <c r="NNI87" s="356"/>
      <c r="NNJ87" s="356"/>
      <c r="NNK87" s="356"/>
      <c r="NNL87" s="356"/>
      <c r="NNM87" s="356"/>
      <c r="NNN87" s="356"/>
      <c r="NNO87" s="356"/>
      <c r="NNP87" s="356"/>
      <c r="NNQ87" s="356"/>
      <c r="NNR87" s="356"/>
      <c r="NNS87" s="356"/>
      <c r="NNT87" s="356"/>
      <c r="NNU87" s="356"/>
      <c r="NNV87" s="356"/>
      <c r="NNW87" s="356"/>
      <c r="NNX87" s="356"/>
      <c r="NNY87" s="356"/>
      <c r="NNZ87" s="356"/>
      <c r="NOA87" s="356"/>
      <c r="NOB87" s="356"/>
      <c r="NOC87" s="356"/>
      <c r="NOD87" s="356"/>
      <c r="NOE87" s="356"/>
      <c r="NOF87" s="356"/>
      <c r="NOG87" s="356"/>
      <c r="NOH87" s="356"/>
      <c r="NOI87" s="356"/>
      <c r="NOJ87" s="356"/>
      <c r="NOK87" s="356"/>
      <c r="NOL87" s="356"/>
      <c r="NOM87" s="356"/>
      <c r="NON87" s="356"/>
      <c r="NOO87" s="356"/>
      <c r="NOP87" s="356"/>
      <c r="NOQ87" s="356"/>
      <c r="NOR87" s="356"/>
      <c r="NOS87" s="356"/>
      <c r="NOT87" s="356"/>
      <c r="NOU87" s="356"/>
      <c r="NOV87" s="356"/>
      <c r="NOW87" s="356"/>
      <c r="NOX87" s="356"/>
      <c r="NOY87" s="356"/>
      <c r="NOZ87" s="356"/>
      <c r="NPA87" s="356"/>
      <c r="NPB87" s="356"/>
      <c r="NPC87" s="356"/>
      <c r="NPD87" s="356"/>
      <c r="NPE87" s="356"/>
      <c r="NPF87" s="356"/>
      <c r="NPG87" s="356"/>
      <c r="NPH87" s="356"/>
      <c r="NPI87" s="356"/>
      <c r="NPJ87" s="356"/>
      <c r="NPK87" s="356"/>
      <c r="NPL87" s="356"/>
      <c r="NPM87" s="356"/>
      <c r="NPN87" s="356"/>
      <c r="NPO87" s="356"/>
      <c r="NPP87" s="356"/>
      <c r="NPQ87" s="356"/>
      <c r="NPR87" s="356"/>
      <c r="NPS87" s="356"/>
      <c r="NPT87" s="356"/>
      <c r="NPU87" s="356"/>
      <c r="NPV87" s="356"/>
      <c r="NPW87" s="356"/>
      <c r="NPX87" s="356"/>
      <c r="NPY87" s="356"/>
      <c r="NPZ87" s="356"/>
      <c r="NQA87" s="356"/>
      <c r="NQB87" s="356"/>
      <c r="NQC87" s="356"/>
      <c r="NQD87" s="356"/>
      <c r="NQE87" s="356"/>
      <c r="NQF87" s="356"/>
      <c r="NQG87" s="356"/>
      <c r="NQH87" s="356"/>
      <c r="NQI87" s="356"/>
      <c r="NQJ87" s="356"/>
      <c r="NQK87" s="356"/>
      <c r="NQL87" s="356"/>
      <c r="NQM87" s="356"/>
      <c r="NQN87" s="356"/>
      <c r="NQO87" s="356"/>
      <c r="NQP87" s="356"/>
      <c r="NQQ87" s="356"/>
      <c r="NQR87" s="356"/>
      <c r="NQS87" s="356"/>
      <c r="NQT87" s="356"/>
      <c r="NQU87" s="356"/>
      <c r="NQV87" s="356"/>
      <c r="NQW87" s="356"/>
      <c r="NQX87" s="356"/>
      <c r="NQY87" s="356"/>
      <c r="NQZ87" s="356"/>
      <c r="NRA87" s="356"/>
      <c r="NRB87" s="356"/>
      <c r="NRC87" s="356"/>
      <c r="NRD87" s="356"/>
      <c r="NRE87" s="356"/>
      <c r="NRF87" s="356"/>
      <c r="NRG87" s="356"/>
      <c r="NRH87" s="356"/>
      <c r="NRI87" s="356"/>
      <c r="NRJ87" s="356"/>
      <c r="NRK87" s="356"/>
      <c r="NRL87" s="356"/>
      <c r="NRM87" s="356"/>
      <c r="NRN87" s="356"/>
      <c r="NRO87" s="356"/>
      <c r="NRP87" s="356"/>
      <c r="NRQ87" s="356"/>
      <c r="NRR87" s="356"/>
      <c r="NRS87" s="356"/>
      <c r="NRT87" s="356"/>
      <c r="NRU87" s="356"/>
      <c r="NRV87" s="356"/>
      <c r="NRW87" s="356"/>
      <c r="NRX87" s="356"/>
      <c r="NRY87" s="356"/>
      <c r="NRZ87" s="356"/>
      <c r="NSA87" s="356"/>
      <c r="NSB87" s="356"/>
      <c r="NSC87" s="356"/>
      <c r="NSD87" s="356"/>
      <c r="NSE87" s="356"/>
      <c r="NSF87" s="356"/>
      <c r="NSG87" s="356"/>
      <c r="NSH87" s="356"/>
      <c r="NSI87" s="356"/>
      <c r="NSJ87" s="356"/>
      <c r="NSK87" s="356"/>
      <c r="NSL87" s="356"/>
      <c r="NSM87" s="356"/>
      <c r="NSN87" s="356"/>
      <c r="NSO87" s="356"/>
      <c r="NSP87" s="356"/>
      <c r="NSQ87" s="356"/>
      <c r="NSR87" s="356"/>
      <c r="NSS87" s="356"/>
      <c r="NST87" s="356"/>
      <c r="NSU87" s="356"/>
      <c r="NSV87" s="356"/>
      <c r="NSW87" s="356"/>
      <c r="NSX87" s="356"/>
      <c r="NSY87" s="356"/>
      <c r="NSZ87" s="356"/>
      <c r="NTA87" s="356"/>
      <c r="NTB87" s="356"/>
      <c r="NTC87" s="356"/>
      <c r="NTD87" s="356"/>
      <c r="NTE87" s="356"/>
      <c r="NTF87" s="356"/>
      <c r="NTG87" s="356"/>
      <c r="NTH87" s="356"/>
      <c r="NTI87" s="356"/>
      <c r="NTJ87" s="356"/>
      <c r="NTK87" s="356"/>
      <c r="NTL87" s="356"/>
      <c r="NTM87" s="356"/>
      <c r="NTN87" s="356"/>
      <c r="NTO87" s="356"/>
      <c r="NTP87" s="356"/>
      <c r="NTQ87" s="356"/>
      <c r="NTR87" s="356"/>
      <c r="NTS87" s="356"/>
      <c r="NTT87" s="356"/>
      <c r="NTU87" s="356"/>
      <c r="NTV87" s="356"/>
      <c r="NTW87" s="356"/>
      <c r="NTX87" s="356"/>
      <c r="NTY87" s="356"/>
      <c r="NTZ87" s="356"/>
      <c r="NUA87" s="356"/>
      <c r="NUB87" s="356"/>
      <c r="NUC87" s="356"/>
      <c r="NUD87" s="356"/>
      <c r="NUE87" s="356"/>
      <c r="NUF87" s="356"/>
      <c r="NUG87" s="356"/>
      <c r="NUH87" s="356"/>
      <c r="NUI87" s="356"/>
      <c r="NUJ87" s="356"/>
      <c r="NUK87" s="356"/>
      <c r="NUL87" s="356"/>
      <c r="NUM87" s="356"/>
      <c r="NUN87" s="356"/>
      <c r="NUO87" s="356"/>
      <c r="NUP87" s="356"/>
      <c r="NUQ87" s="356"/>
      <c r="NUR87" s="356"/>
      <c r="NUS87" s="356"/>
      <c r="NUT87" s="356"/>
      <c r="NUU87" s="356"/>
      <c r="NUV87" s="356"/>
      <c r="NUW87" s="356"/>
      <c r="NUX87" s="356"/>
      <c r="NUY87" s="356"/>
      <c r="NUZ87" s="356"/>
      <c r="NVA87" s="356"/>
      <c r="NVB87" s="356"/>
      <c r="NVC87" s="356"/>
      <c r="NVD87" s="356"/>
      <c r="NVE87" s="356"/>
      <c r="NVF87" s="356"/>
      <c r="NVG87" s="356"/>
      <c r="NVH87" s="356"/>
      <c r="NVI87" s="356"/>
      <c r="NVJ87" s="356"/>
      <c r="NVK87" s="356"/>
      <c r="NVL87" s="356"/>
      <c r="NVM87" s="356"/>
      <c r="NVN87" s="356"/>
      <c r="NVO87" s="356"/>
      <c r="NVP87" s="356"/>
      <c r="NVQ87" s="356"/>
      <c r="NVR87" s="356"/>
      <c r="NVS87" s="356"/>
      <c r="NVT87" s="356"/>
      <c r="NVU87" s="356"/>
      <c r="NVV87" s="356"/>
      <c r="NVW87" s="356"/>
      <c r="NVX87" s="356"/>
      <c r="NVY87" s="356"/>
      <c r="NVZ87" s="356"/>
      <c r="NWA87" s="356"/>
      <c r="NWB87" s="356"/>
      <c r="NWC87" s="356"/>
      <c r="NWD87" s="356"/>
      <c r="NWE87" s="356"/>
      <c r="NWF87" s="356"/>
      <c r="NWG87" s="356"/>
      <c r="NWH87" s="356"/>
      <c r="NWI87" s="356"/>
      <c r="NWJ87" s="356"/>
      <c r="NWK87" s="356"/>
      <c r="NWL87" s="356"/>
      <c r="NWM87" s="356"/>
      <c r="NWN87" s="356"/>
      <c r="NWO87" s="356"/>
      <c r="NWP87" s="356"/>
      <c r="NWQ87" s="356"/>
      <c r="NWR87" s="356"/>
      <c r="NWS87" s="356"/>
      <c r="NWT87" s="356"/>
      <c r="NWU87" s="356"/>
      <c r="NWV87" s="356"/>
      <c r="NWW87" s="356"/>
      <c r="NWX87" s="356"/>
      <c r="NWY87" s="356"/>
      <c r="NWZ87" s="356"/>
      <c r="NXA87" s="356"/>
      <c r="NXB87" s="356"/>
      <c r="NXC87" s="356"/>
      <c r="NXD87" s="356"/>
      <c r="NXE87" s="356"/>
      <c r="NXF87" s="356"/>
      <c r="NXG87" s="356"/>
      <c r="NXH87" s="356"/>
      <c r="NXI87" s="356"/>
      <c r="NXJ87" s="356"/>
      <c r="NXK87" s="356"/>
      <c r="NXL87" s="356"/>
      <c r="NXM87" s="356"/>
      <c r="NXN87" s="356"/>
      <c r="NXO87" s="356"/>
      <c r="NXP87" s="356"/>
      <c r="NXQ87" s="356"/>
      <c r="NXR87" s="356"/>
      <c r="NXS87" s="356"/>
      <c r="NXT87" s="356"/>
      <c r="NXU87" s="356"/>
      <c r="NXV87" s="356"/>
      <c r="NXW87" s="356"/>
      <c r="NXX87" s="356"/>
      <c r="NXY87" s="356"/>
      <c r="NXZ87" s="356"/>
      <c r="NYA87" s="356"/>
      <c r="NYB87" s="356"/>
      <c r="NYC87" s="356"/>
      <c r="NYD87" s="356"/>
      <c r="NYE87" s="356"/>
      <c r="NYF87" s="356"/>
      <c r="NYG87" s="356"/>
      <c r="NYH87" s="356"/>
      <c r="NYI87" s="356"/>
      <c r="NYJ87" s="356"/>
      <c r="NYK87" s="356"/>
      <c r="NYL87" s="356"/>
      <c r="NYM87" s="356"/>
      <c r="NYN87" s="356"/>
      <c r="NYO87" s="356"/>
      <c r="NYP87" s="356"/>
      <c r="NYQ87" s="356"/>
      <c r="NYR87" s="356"/>
      <c r="NYS87" s="356"/>
      <c r="NYT87" s="356"/>
      <c r="NYU87" s="356"/>
      <c r="NYV87" s="356"/>
      <c r="NYW87" s="356"/>
      <c r="NYX87" s="356"/>
      <c r="NYY87" s="356"/>
      <c r="NYZ87" s="356"/>
      <c r="NZA87" s="356"/>
      <c r="NZB87" s="356"/>
      <c r="NZC87" s="356"/>
      <c r="NZD87" s="356"/>
      <c r="NZE87" s="356"/>
      <c r="NZF87" s="356"/>
      <c r="NZG87" s="356"/>
      <c r="NZH87" s="356"/>
      <c r="NZI87" s="356"/>
      <c r="NZJ87" s="356"/>
      <c r="NZK87" s="356"/>
      <c r="NZL87" s="356"/>
      <c r="NZM87" s="356"/>
      <c r="NZN87" s="356"/>
      <c r="NZO87" s="356"/>
      <c r="NZP87" s="356"/>
      <c r="NZQ87" s="356"/>
      <c r="NZR87" s="356"/>
      <c r="NZS87" s="356"/>
      <c r="NZT87" s="356"/>
      <c r="NZU87" s="356"/>
      <c r="NZV87" s="356"/>
      <c r="NZW87" s="356"/>
      <c r="NZX87" s="356"/>
      <c r="NZY87" s="356"/>
      <c r="NZZ87" s="356"/>
      <c r="OAA87" s="356"/>
      <c r="OAB87" s="356"/>
      <c r="OAC87" s="356"/>
      <c r="OAD87" s="356"/>
      <c r="OAE87" s="356"/>
      <c r="OAF87" s="356"/>
      <c r="OAG87" s="356"/>
      <c r="OAH87" s="356"/>
      <c r="OAI87" s="356"/>
      <c r="OAJ87" s="356"/>
      <c r="OAK87" s="356"/>
      <c r="OAL87" s="356"/>
      <c r="OAM87" s="356"/>
      <c r="OAN87" s="356"/>
      <c r="OAO87" s="356"/>
      <c r="OAP87" s="356"/>
      <c r="OAQ87" s="356"/>
      <c r="OAR87" s="356"/>
      <c r="OAS87" s="356"/>
      <c r="OAT87" s="356"/>
      <c r="OAU87" s="356"/>
      <c r="OAV87" s="356"/>
      <c r="OAW87" s="356"/>
      <c r="OAX87" s="356"/>
      <c r="OAY87" s="356"/>
      <c r="OAZ87" s="356"/>
      <c r="OBA87" s="356"/>
      <c r="OBB87" s="356"/>
      <c r="OBC87" s="356"/>
      <c r="OBD87" s="356"/>
      <c r="OBE87" s="356"/>
      <c r="OBF87" s="356"/>
      <c r="OBG87" s="356"/>
      <c r="OBH87" s="356"/>
      <c r="OBI87" s="356"/>
      <c r="OBJ87" s="356"/>
      <c r="OBK87" s="356"/>
      <c r="OBL87" s="356"/>
      <c r="OBM87" s="356"/>
      <c r="OBN87" s="356"/>
      <c r="OBO87" s="356"/>
      <c r="OBP87" s="356"/>
      <c r="OBQ87" s="356"/>
      <c r="OBR87" s="356"/>
      <c r="OBS87" s="356"/>
      <c r="OBT87" s="356"/>
      <c r="OBU87" s="356"/>
      <c r="OBV87" s="356"/>
      <c r="OBW87" s="356"/>
      <c r="OBX87" s="356"/>
      <c r="OBY87" s="356"/>
      <c r="OBZ87" s="356"/>
      <c r="OCA87" s="356"/>
      <c r="OCB87" s="356"/>
      <c r="OCC87" s="356"/>
      <c r="OCD87" s="356"/>
      <c r="OCE87" s="356"/>
      <c r="OCF87" s="356"/>
      <c r="OCG87" s="356"/>
      <c r="OCH87" s="356"/>
      <c r="OCI87" s="356"/>
      <c r="OCJ87" s="356"/>
      <c r="OCK87" s="356"/>
      <c r="OCL87" s="356"/>
      <c r="OCM87" s="356"/>
      <c r="OCN87" s="356"/>
      <c r="OCO87" s="356"/>
      <c r="OCP87" s="356"/>
      <c r="OCQ87" s="356"/>
      <c r="OCR87" s="356"/>
      <c r="OCS87" s="356"/>
      <c r="OCT87" s="356"/>
      <c r="OCU87" s="356"/>
      <c r="OCV87" s="356"/>
      <c r="OCW87" s="356"/>
      <c r="OCX87" s="356"/>
      <c r="OCY87" s="356"/>
      <c r="OCZ87" s="356"/>
      <c r="ODA87" s="356"/>
      <c r="ODB87" s="356"/>
      <c r="ODC87" s="356"/>
      <c r="ODD87" s="356"/>
      <c r="ODE87" s="356"/>
      <c r="ODF87" s="356"/>
      <c r="ODG87" s="356"/>
      <c r="ODH87" s="356"/>
      <c r="ODI87" s="356"/>
      <c r="ODJ87" s="356"/>
      <c r="ODK87" s="356"/>
      <c r="ODL87" s="356"/>
      <c r="ODM87" s="356"/>
      <c r="ODN87" s="356"/>
      <c r="ODO87" s="356"/>
      <c r="ODP87" s="356"/>
      <c r="ODQ87" s="356"/>
      <c r="ODR87" s="356"/>
      <c r="ODS87" s="356"/>
      <c r="ODT87" s="356"/>
      <c r="ODU87" s="356"/>
      <c r="ODV87" s="356"/>
      <c r="ODW87" s="356"/>
      <c r="ODX87" s="356"/>
      <c r="ODY87" s="356"/>
      <c r="ODZ87" s="356"/>
      <c r="OEA87" s="356"/>
      <c r="OEB87" s="356"/>
      <c r="OEC87" s="356"/>
      <c r="OED87" s="356"/>
      <c r="OEE87" s="356"/>
      <c r="OEF87" s="356"/>
      <c r="OEG87" s="356"/>
      <c r="OEH87" s="356"/>
      <c r="OEI87" s="356"/>
      <c r="OEJ87" s="356"/>
      <c r="OEK87" s="356"/>
      <c r="OEL87" s="356"/>
      <c r="OEM87" s="356"/>
      <c r="OEN87" s="356"/>
      <c r="OEO87" s="356"/>
      <c r="OEP87" s="356"/>
      <c r="OEQ87" s="356"/>
      <c r="OER87" s="356"/>
      <c r="OES87" s="356"/>
      <c r="OET87" s="356"/>
      <c r="OEU87" s="356"/>
      <c r="OEV87" s="356"/>
      <c r="OEW87" s="356"/>
      <c r="OEX87" s="356"/>
      <c r="OEY87" s="356"/>
      <c r="OEZ87" s="356"/>
      <c r="OFA87" s="356"/>
      <c r="OFB87" s="356"/>
      <c r="OFC87" s="356"/>
      <c r="OFD87" s="356"/>
      <c r="OFE87" s="356"/>
      <c r="OFF87" s="356"/>
      <c r="OFG87" s="356"/>
      <c r="OFH87" s="356"/>
      <c r="OFI87" s="356"/>
      <c r="OFJ87" s="356"/>
      <c r="OFK87" s="356"/>
      <c r="OFL87" s="356"/>
      <c r="OFM87" s="356"/>
      <c r="OFN87" s="356"/>
      <c r="OFO87" s="356"/>
      <c r="OFP87" s="356"/>
      <c r="OFQ87" s="356"/>
      <c r="OFR87" s="356"/>
      <c r="OFS87" s="356"/>
      <c r="OFT87" s="356"/>
      <c r="OFU87" s="356"/>
      <c r="OFV87" s="356"/>
      <c r="OFW87" s="356"/>
      <c r="OFX87" s="356"/>
      <c r="OFY87" s="356"/>
      <c r="OFZ87" s="356"/>
      <c r="OGA87" s="356"/>
      <c r="OGB87" s="356"/>
      <c r="OGC87" s="356"/>
      <c r="OGD87" s="356"/>
      <c r="OGE87" s="356"/>
      <c r="OGF87" s="356"/>
      <c r="OGG87" s="356"/>
      <c r="OGH87" s="356"/>
      <c r="OGI87" s="356"/>
      <c r="OGJ87" s="356"/>
      <c r="OGK87" s="356"/>
      <c r="OGL87" s="356"/>
      <c r="OGM87" s="356"/>
      <c r="OGN87" s="356"/>
      <c r="OGO87" s="356"/>
      <c r="OGP87" s="356"/>
      <c r="OGQ87" s="356"/>
      <c r="OGR87" s="356"/>
      <c r="OGS87" s="356"/>
      <c r="OGT87" s="356"/>
      <c r="OGU87" s="356"/>
      <c r="OGV87" s="356"/>
      <c r="OGW87" s="356"/>
      <c r="OGX87" s="356"/>
      <c r="OGY87" s="356"/>
      <c r="OGZ87" s="356"/>
      <c r="OHA87" s="356"/>
      <c r="OHB87" s="356"/>
      <c r="OHC87" s="356"/>
      <c r="OHD87" s="356"/>
      <c r="OHE87" s="356"/>
      <c r="OHF87" s="356"/>
      <c r="OHG87" s="356"/>
      <c r="OHH87" s="356"/>
      <c r="OHI87" s="356"/>
      <c r="OHJ87" s="356"/>
      <c r="OHK87" s="356"/>
      <c r="OHL87" s="356"/>
      <c r="OHM87" s="356"/>
      <c r="OHN87" s="356"/>
      <c r="OHO87" s="356"/>
      <c r="OHP87" s="356"/>
      <c r="OHQ87" s="356"/>
      <c r="OHR87" s="356"/>
      <c r="OHS87" s="356"/>
      <c r="OHT87" s="356"/>
      <c r="OHU87" s="356"/>
      <c r="OHV87" s="356"/>
      <c r="OHW87" s="356"/>
      <c r="OHX87" s="356"/>
      <c r="OHY87" s="356"/>
      <c r="OHZ87" s="356"/>
      <c r="OIA87" s="356"/>
      <c r="OIB87" s="356"/>
      <c r="OIC87" s="356"/>
      <c r="OID87" s="356"/>
      <c r="OIE87" s="356"/>
      <c r="OIF87" s="356"/>
      <c r="OIG87" s="356"/>
      <c r="OIH87" s="356"/>
      <c r="OII87" s="356"/>
      <c r="OIJ87" s="356"/>
      <c r="OIK87" s="356"/>
      <c r="OIL87" s="356"/>
      <c r="OIM87" s="356"/>
      <c r="OIN87" s="356"/>
      <c r="OIO87" s="356"/>
      <c r="OIP87" s="356"/>
      <c r="OIQ87" s="356"/>
      <c r="OIR87" s="356"/>
      <c r="OIS87" s="356"/>
      <c r="OIT87" s="356"/>
      <c r="OIU87" s="356"/>
      <c r="OIV87" s="356"/>
      <c r="OIW87" s="356"/>
      <c r="OIX87" s="356"/>
      <c r="OIY87" s="356"/>
      <c r="OIZ87" s="356"/>
      <c r="OJA87" s="356"/>
      <c r="OJB87" s="356"/>
      <c r="OJC87" s="356"/>
      <c r="OJD87" s="356"/>
      <c r="OJE87" s="356"/>
      <c r="OJF87" s="356"/>
      <c r="OJG87" s="356"/>
      <c r="OJH87" s="356"/>
      <c r="OJI87" s="356"/>
      <c r="OJJ87" s="356"/>
      <c r="OJK87" s="356"/>
      <c r="OJL87" s="356"/>
      <c r="OJM87" s="356"/>
      <c r="OJN87" s="356"/>
      <c r="OJO87" s="356"/>
      <c r="OJP87" s="356"/>
      <c r="OJQ87" s="356"/>
      <c r="OJR87" s="356"/>
      <c r="OJS87" s="356"/>
      <c r="OJT87" s="356"/>
      <c r="OJU87" s="356"/>
      <c r="OJV87" s="356"/>
      <c r="OJW87" s="356"/>
      <c r="OJX87" s="356"/>
      <c r="OJY87" s="356"/>
      <c r="OJZ87" s="356"/>
      <c r="OKA87" s="356"/>
      <c r="OKB87" s="356"/>
      <c r="OKC87" s="356"/>
      <c r="OKD87" s="356"/>
      <c r="OKE87" s="356"/>
      <c r="OKF87" s="356"/>
      <c r="OKG87" s="356"/>
      <c r="OKH87" s="356"/>
      <c r="OKI87" s="356"/>
      <c r="OKJ87" s="356"/>
      <c r="OKK87" s="356"/>
      <c r="OKL87" s="356"/>
      <c r="OKM87" s="356"/>
      <c r="OKN87" s="356"/>
      <c r="OKO87" s="356"/>
      <c r="OKP87" s="356"/>
      <c r="OKQ87" s="356"/>
      <c r="OKR87" s="356"/>
      <c r="OKS87" s="356"/>
      <c r="OKT87" s="356"/>
      <c r="OKU87" s="356"/>
      <c r="OKV87" s="356"/>
      <c r="OKW87" s="356"/>
      <c r="OKX87" s="356"/>
      <c r="OKY87" s="356"/>
      <c r="OKZ87" s="356"/>
      <c r="OLA87" s="356"/>
      <c r="OLB87" s="356"/>
      <c r="OLC87" s="356"/>
      <c r="OLD87" s="356"/>
      <c r="OLE87" s="356"/>
      <c r="OLF87" s="356"/>
      <c r="OLG87" s="356"/>
      <c r="OLH87" s="356"/>
      <c r="OLI87" s="356"/>
      <c r="OLJ87" s="356"/>
      <c r="OLK87" s="356"/>
      <c r="OLL87" s="356"/>
      <c r="OLM87" s="356"/>
      <c r="OLN87" s="356"/>
      <c r="OLO87" s="356"/>
      <c r="OLP87" s="356"/>
      <c r="OLQ87" s="356"/>
      <c r="OLR87" s="356"/>
      <c r="OLS87" s="356"/>
      <c r="OLT87" s="356"/>
      <c r="OLU87" s="356"/>
      <c r="OLV87" s="356"/>
      <c r="OLW87" s="356"/>
      <c r="OLX87" s="356"/>
      <c r="OLY87" s="356"/>
      <c r="OLZ87" s="356"/>
      <c r="OMA87" s="356"/>
      <c r="OMB87" s="356"/>
      <c r="OMC87" s="356"/>
      <c r="OMD87" s="356"/>
      <c r="OME87" s="356"/>
      <c r="OMF87" s="356"/>
      <c r="OMG87" s="356"/>
      <c r="OMH87" s="356"/>
      <c r="OMI87" s="356"/>
      <c r="OMJ87" s="356"/>
      <c r="OMK87" s="356"/>
      <c r="OML87" s="356"/>
      <c r="OMM87" s="356"/>
      <c r="OMN87" s="356"/>
      <c r="OMO87" s="356"/>
      <c r="OMP87" s="356"/>
      <c r="OMQ87" s="356"/>
      <c r="OMR87" s="356"/>
      <c r="OMS87" s="356"/>
      <c r="OMT87" s="356"/>
      <c r="OMU87" s="356"/>
      <c r="OMV87" s="356"/>
      <c r="OMW87" s="356"/>
      <c r="OMX87" s="356"/>
      <c r="OMY87" s="356"/>
      <c r="OMZ87" s="356"/>
      <c r="ONA87" s="356"/>
      <c r="ONB87" s="356"/>
      <c r="ONC87" s="356"/>
      <c r="OND87" s="356"/>
      <c r="ONE87" s="356"/>
      <c r="ONF87" s="356"/>
      <c r="ONG87" s="356"/>
      <c r="ONH87" s="356"/>
      <c r="ONI87" s="356"/>
      <c r="ONJ87" s="356"/>
      <c r="ONK87" s="356"/>
      <c r="ONL87" s="356"/>
      <c r="ONM87" s="356"/>
      <c r="ONN87" s="356"/>
      <c r="ONO87" s="356"/>
      <c r="ONP87" s="356"/>
      <c r="ONQ87" s="356"/>
      <c r="ONR87" s="356"/>
      <c r="ONS87" s="356"/>
      <c r="ONT87" s="356"/>
      <c r="ONU87" s="356"/>
      <c r="ONV87" s="356"/>
      <c r="ONW87" s="356"/>
      <c r="ONX87" s="356"/>
      <c r="ONY87" s="356"/>
      <c r="ONZ87" s="356"/>
      <c r="OOA87" s="356"/>
      <c r="OOB87" s="356"/>
      <c r="OOC87" s="356"/>
      <c r="OOD87" s="356"/>
      <c r="OOE87" s="356"/>
      <c r="OOF87" s="356"/>
      <c r="OOG87" s="356"/>
      <c r="OOH87" s="356"/>
      <c r="OOI87" s="356"/>
      <c r="OOJ87" s="356"/>
      <c r="OOK87" s="356"/>
      <c r="OOL87" s="356"/>
      <c r="OOM87" s="356"/>
      <c r="OON87" s="356"/>
      <c r="OOO87" s="356"/>
      <c r="OOP87" s="356"/>
      <c r="OOQ87" s="356"/>
      <c r="OOR87" s="356"/>
      <c r="OOS87" s="356"/>
      <c r="OOT87" s="356"/>
      <c r="OOU87" s="356"/>
      <c r="OOV87" s="356"/>
      <c r="OOW87" s="356"/>
      <c r="OOX87" s="356"/>
      <c r="OOY87" s="356"/>
      <c r="OOZ87" s="356"/>
      <c r="OPA87" s="356"/>
      <c r="OPB87" s="356"/>
      <c r="OPC87" s="356"/>
      <c r="OPD87" s="356"/>
      <c r="OPE87" s="356"/>
      <c r="OPF87" s="356"/>
      <c r="OPG87" s="356"/>
      <c r="OPH87" s="356"/>
      <c r="OPI87" s="356"/>
      <c r="OPJ87" s="356"/>
      <c r="OPK87" s="356"/>
      <c r="OPL87" s="356"/>
      <c r="OPM87" s="356"/>
      <c r="OPN87" s="356"/>
      <c r="OPO87" s="356"/>
      <c r="OPP87" s="356"/>
      <c r="OPQ87" s="356"/>
      <c r="OPR87" s="356"/>
      <c r="OPS87" s="356"/>
      <c r="OPT87" s="356"/>
      <c r="OPU87" s="356"/>
      <c r="OPV87" s="356"/>
      <c r="OPW87" s="356"/>
      <c r="OPX87" s="356"/>
      <c r="OPY87" s="356"/>
      <c r="OPZ87" s="356"/>
      <c r="OQA87" s="356"/>
      <c r="OQB87" s="356"/>
      <c r="OQC87" s="356"/>
      <c r="OQD87" s="356"/>
      <c r="OQE87" s="356"/>
      <c r="OQF87" s="356"/>
      <c r="OQG87" s="356"/>
      <c r="OQH87" s="356"/>
      <c r="OQI87" s="356"/>
      <c r="OQJ87" s="356"/>
      <c r="OQK87" s="356"/>
      <c r="OQL87" s="356"/>
      <c r="OQM87" s="356"/>
      <c r="OQN87" s="356"/>
      <c r="OQO87" s="356"/>
      <c r="OQP87" s="356"/>
      <c r="OQQ87" s="356"/>
      <c r="OQR87" s="356"/>
      <c r="OQS87" s="356"/>
      <c r="OQT87" s="356"/>
      <c r="OQU87" s="356"/>
      <c r="OQV87" s="356"/>
      <c r="OQW87" s="356"/>
      <c r="OQX87" s="356"/>
      <c r="OQY87" s="356"/>
      <c r="OQZ87" s="356"/>
      <c r="ORA87" s="356"/>
      <c r="ORB87" s="356"/>
      <c r="ORC87" s="356"/>
      <c r="ORD87" s="356"/>
      <c r="ORE87" s="356"/>
      <c r="ORF87" s="356"/>
      <c r="ORG87" s="356"/>
      <c r="ORH87" s="356"/>
      <c r="ORI87" s="356"/>
      <c r="ORJ87" s="356"/>
      <c r="ORK87" s="356"/>
      <c r="ORL87" s="356"/>
      <c r="ORM87" s="356"/>
      <c r="ORN87" s="356"/>
      <c r="ORO87" s="356"/>
      <c r="ORP87" s="356"/>
      <c r="ORQ87" s="356"/>
      <c r="ORR87" s="356"/>
      <c r="ORS87" s="356"/>
      <c r="ORT87" s="356"/>
      <c r="ORU87" s="356"/>
      <c r="ORV87" s="356"/>
      <c r="ORW87" s="356"/>
      <c r="ORX87" s="356"/>
      <c r="ORY87" s="356"/>
      <c r="ORZ87" s="356"/>
      <c r="OSA87" s="356"/>
      <c r="OSB87" s="356"/>
      <c r="OSC87" s="356"/>
      <c r="OSD87" s="356"/>
      <c r="OSE87" s="356"/>
      <c r="OSF87" s="356"/>
      <c r="OSG87" s="356"/>
      <c r="OSH87" s="356"/>
      <c r="OSI87" s="356"/>
      <c r="OSJ87" s="356"/>
      <c r="OSK87" s="356"/>
      <c r="OSL87" s="356"/>
      <c r="OSM87" s="356"/>
      <c r="OSN87" s="356"/>
      <c r="OSO87" s="356"/>
      <c r="OSP87" s="356"/>
      <c r="OSQ87" s="356"/>
      <c r="OSR87" s="356"/>
      <c r="OSS87" s="356"/>
      <c r="OST87" s="356"/>
      <c r="OSU87" s="356"/>
      <c r="OSV87" s="356"/>
      <c r="OSW87" s="356"/>
      <c r="OSX87" s="356"/>
      <c r="OSY87" s="356"/>
      <c r="OSZ87" s="356"/>
      <c r="OTA87" s="356"/>
      <c r="OTB87" s="356"/>
      <c r="OTC87" s="356"/>
      <c r="OTD87" s="356"/>
      <c r="OTE87" s="356"/>
      <c r="OTF87" s="356"/>
      <c r="OTG87" s="356"/>
      <c r="OTH87" s="356"/>
      <c r="OTI87" s="356"/>
      <c r="OTJ87" s="356"/>
      <c r="OTK87" s="356"/>
      <c r="OTL87" s="356"/>
      <c r="OTM87" s="356"/>
      <c r="OTN87" s="356"/>
      <c r="OTO87" s="356"/>
      <c r="OTP87" s="356"/>
      <c r="OTQ87" s="356"/>
      <c r="OTR87" s="356"/>
      <c r="OTS87" s="356"/>
      <c r="OTT87" s="356"/>
      <c r="OTU87" s="356"/>
      <c r="OTV87" s="356"/>
      <c r="OTW87" s="356"/>
      <c r="OTX87" s="356"/>
      <c r="OTY87" s="356"/>
      <c r="OTZ87" s="356"/>
      <c r="OUA87" s="356"/>
      <c r="OUB87" s="356"/>
      <c r="OUC87" s="356"/>
      <c r="OUD87" s="356"/>
      <c r="OUE87" s="356"/>
      <c r="OUF87" s="356"/>
      <c r="OUG87" s="356"/>
      <c r="OUH87" s="356"/>
      <c r="OUI87" s="356"/>
      <c r="OUJ87" s="356"/>
      <c r="OUK87" s="356"/>
      <c r="OUL87" s="356"/>
      <c r="OUM87" s="356"/>
      <c r="OUN87" s="356"/>
      <c r="OUO87" s="356"/>
      <c r="OUP87" s="356"/>
      <c r="OUQ87" s="356"/>
      <c r="OUR87" s="356"/>
      <c r="OUS87" s="356"/>
      <c r="OUT87" s="356"/>
      <c r="OUU87" s="356"/>
      <c r="OUV87" s="356"/>
      <c r="OUW87" s="356"/>
      <c r="OUX87" s="356"/>
      <c r="OUY87" s="356"/>
      <c r="OUZ87" s="356"/>
      <c r="OVA87" s="356"/>
      <c r="OVB87" s="356"/>
      <c r="OVC87" s="356"/>
      <c r="OVD87" s="356"/>
      <c r="OVE87" s="356"/>
      <c r="OVF87" s="356"/>
      <c r="OVG87" s="356"/>
      <c r="OVH87" s="356"/>
      <c r="OVI87" s="356"/>
      <c r="OVJ87" s="356"/>
      <c r="OVK87" s="356"/>
      <c r="OVL87" s="356"/>
      <c r="OVM87" s="356"/>
      <c r="OVN87" s="356"/>
      <c r="OVO87" s="356"/>
      <c r="OVP87" s="356"/>
      <c r="OVQ87" s="356"/>
      <c r="OVR87" s="356"/>
      <c r="OVS87" s="356"/>
      <c r="OVT87" s="356"/>
      <c r="OVU87" s="356"/>
      <c r="OVV87" s="356"/>
      <c r="OVW87" s="356"/>
      <c r="OVX87" s="356"/>
      <c r="OVY87" s="356"/>
      <c r="OVZ87" s="356"/>
      <c r="OWA87" s="356"/>
      <c r="OWB87" s="356"/>
      <c r="OWC87" s="356"/>
      <c r="OWD87" s="356"/>
      <c r="OWE87" s="356"/>
      <c r="OWF87" s="356"/>
      <c r="OWG87" s="356"/>
      <c r="OWH87" s="356"/>
      <c r="OWI87" s="356"/>
      <c r="OWJ87" s="356"/>
      <c r="OWK87" s="356"/>
      <c r="OWL87" s="356"/>
      <c r="OWM87" s="356"/>
      <c r="OWN87" s="356"/>
      <c r="OWO87" s="356"/>
      <c r="OWP87" s="356"/>
      <c r="OWQ87" s="356"/>
      <c r="OWR87" s="356"/>
      <c r="OWS87" s="356"/>
      <c r="OWT87" s="356"/>
      <c r="OWU87" s="356"/>
      <c r="OWV87" s="356"/>
      <c r="OWW87" s="356"/>
      <c r="OWX87" s="356"/>
      <c r="OWY87" s="356"/>
      <c r="OWZ87" s="356"/>
      <c r="OXA87" s="356"/>
      <c r="OXB87" s="356"/>
      <c r="OXC87" s="356"/>
      <c r="OXD87" s="356"/>
      <c r="OXE87" s="356"/>
      <c r="OXF87" s="356"/>
      <c r="OXG87" s="356"/>
      <c r="OXH87" s="356"/>
      <c r="OXI87" s="356"/>
      <c r="OXJ87" s="356"/>
      <c r="OXK87" s="356"/>
      <c r="OXL87" s="356"/>
      <c r="OXM87" s="356"/>
      <c r="OXN87" s="356"/>
      <c r="OXO87" s="356"/>
      <c r="OXP87" s="356"/>
      <c r="OXQ87" s="356"/>
      <c r="OXR87" s="356"/>
      <c r="OXS87" s="356"/>
      <c r="OXT87" s="356"/>
      <c r="OXU87" s="356"/>
      <c r="OXV87" s="356"/>
      <c r="OXW87" s="356"/>
      <c r="OXX87" s="356"/>
      <c r="OXY87" s="356"/>
      <c r="OXZ87" s="356"/>
      <c r="OYA87" s="356"/>
      <c r="OYB87" s="356"/>
      <c r="OYC87" s="356"/>
      <c r="OYD87" s="356"/>
      <c r="OYE87" s="356"/>
      <c r="OYF87" s="356"/>
      <c r="OYG87" s="356"/>
      <c r="OYH87" s="356"/>
      <c r="OYI87" s="356"/>
      <c r="OYJ87" s="356"/>
      <c r="OYK87" s="356"/>
      <c r="OYL87" s="356"/>
      <c r="OYM87" s="356"/>
      <c r="OYN87" s="356"/>
      <c r="OYO87" s="356"/>
      <c r="OYP87" s="356"/>
      <c r="OYQ87" s="356"/>
      <c r="OYR87" s="356"/>
      <c r="OYS87" s="356"/>
      <c r="OYT87" s="356"/>
      <c r="OYU87" s="356"/>
      <c r="OYV87" s="356"/>
      <c r="OYW87" s="356"/>
      <c r="OYX87" s="356"/>
      <c r="OYY87" s="356"/>
      <c r="OYZ87" s="356"/>
      <c r="OZA87" s="356"/>
      <c r="OZB87" s="356"/>
      <c r="OZC87" s="356"/>
      <c r="OZD87" s="356"/>
      <c r="OZE87" s="356"/>
      <c r="OZF87" s="356"/>
      <c r="OZG87" s="356"/>
      <c r="OZH87" s="356"/>
      <c r="OZI87" s="356"/>
      <c r="OZJ87" s="356"/>
      <c r="OZK87" s="356"/>
      <c r="OZL87" s="356"/>
      <c r="OZM87" s="356"/>
      <c r="OZN87" s="356"/>
      <c r="OZO87" s="356"/>
      <c r="OZP87" s="356"/>
      <c r="OZQ87" s="356"/>
      <c r="OZR87" s="356"/>
      <c r="OZS87" s="356"/>
      <c r="OZT87" s="356"/>
      <c r="OZU87" s="356"/>
      <c r="OZV87" s="356"/>
      <c r="OZW87" s="356"/>
      <c r="OZX87" s="356"/>
      <c r="OZY87" s="356"/>
      <c r="OZZ87" s="356"/>
      <c r="PAA87" s="356"/>
      <c r="PAB87" s="356"/>
      <c r="PAC87" s="356"/>
      <c r="PAD87" s="356"/>
      <c r="PAE87" s="356"/>
      <c r="PAF87" s="356"/>
      <c r="PAG87" s="356"/>
      <c r="PAH87" s="356"/>
      <c r="PAI87" s="356"/>
      <c r="PAJ87" s="356"/>
      <c r="PAK87" s="356"/>
      <c r="PAL87" s="356"/>
      <c r="PAM87" s="356"/>
      <c r="PAN87" s="356"/>
      <c r="PAO87" s="356"/>
      <c r="PAP87" s="356"/>
      <c r="PAQ87" s="356"/>
      <c r="PAR87" s="356"/>
      <c r="PAS87" s="356"/>
      <c r="PAT87" s="356"/>
      <c r="PAU87" s="356"/>
      <c r="PAV87" s="356"/>
      <c r="PAW87" s="356"/>
      <c r="PAX87" s="356"/>
      <c r="PAY87" s="356"/>
      <c r="PAZ87" s="356"/>
      <c r="PBA87" s="356"/>
      <c r="PBB87" s="356"/>
      <c r="PBC87" s="356"/>
      <c r="PBD87" s="356"/>
      <c r="PBE87" s="356"/>
      <c r="PBF87" s="356"/>
      <c r="PBG87" s="356"/>
      <c r="PBH87" s="356"/>
      <c r="PBI87" s="356"/>
      <c r="PBJ87" s="356"/>
      <c r="PBK87" s="356"/>
      <c r="PBL87" s="356"/>
      <c r="PBM87" s="356"/>
      <c r="PBN87" s="356"/>
      <c r="PBO87" s="356"/>
      <c r="PBP87" s="356"/>
      <c r="PBQ87" s="356"/>
      <c r="PBR87" s="356"/>
      <c r="PBS87" s="356"/>
      <c r="PBT87" s="356"/>
      <c r="PBU87" s="356"/>
      <c r="PBV87" s="356"/>
      <c r="PBW87" s="356"/>
      <c r="PBX87" s="356"/>
      <c r="PBY87" s="356"/>
      <c r="PBZ87" s="356"/>
      <c r="PCA87" s="356"/>
      <c r="PCB87" s="356"/>
      <c r="PCC87" s="356"/>
      <c r="PCD87" s="356"/>
      <c r="PCE87" s="356"/>
      <c r="PCF87" s="356"/>
      <c r="PCG87" s="356"/>
      <c r="PCH87" s="356"/>
      <c r="PCI87" s="356"/>
      <c r="PCJ87" s="356"/>
      <c r="PCK87" s="356"/>
      <c r="PCL87" s="356"/>
      <c r="PCM87" s="356"/>
      <c r="PCN87" s="356"/>
      <c r="PCO87" s="356"/>
      <c r="PCP87" s="356"/>
      <c r="PCQ87" s="356"/>
      <c r="PCR87" s="356"/>
      <c r="PCS87" s="356"/>
      <c r="PCT87" s="356"/>
      <c r="PCU87" s="356"/>
      <c r="PCV87" s="356"/>
      <c r="PCW87" s="356"/>
      <c r="PCX87" s="356"/>
      <c r="PCY87" s="356"/>
      <c r="PCZ87" s="356"/>
      <c r="PDA87" s="356"/>
      <c r="PDB87" s="356"/>
      <c r="PDC87" s="356"/>
      <c r="PDD87" s="356"/>
      <c r="PDE87" s="356"/>
      <c r="PDF87" s="356"/>
      <c r="PDG87" s="356"/>
      <c r="PDH87" s="356"/>
      <c r="PDI87" s="356"/>
      <c r="PDJ87" s="356"/>
      <c r="PDK87" s="356"/>
      <c r="PDL87" s="356"/>
      <c r="PDM87" s="356"/>
      <c r="PDN87" s="356"/>
      <c r="PDO87" s="356"/>
      <c r="PDP87" s="356"/>
      <c r="PDQ87" s="356"/>
      <c r="PDR87" s="356"/>
      <c r="PDS87" s="356"/>
      <c r="PDT87" s="356"/>
      <c r="PDU87" s="356"/>
      <c r="PDV87" s="356"/>
      <c r="PDW87" s="356"/>
      <c r="PDX87" s="356"/>
      <c r="PDY87" s="356"/>
      <c r="PDZ87" s="356"/>
      <c r="PEA87" s="356"/>
      <c r="PEB87" s="356"/>
      <c r="PEC87" s="356"/>
      <c r="PED87" s="356"/>
      <c r="PEE87" s="356"/>
      <c r="PEF87" s="356"/>
      <c r="PEG87" s="356"/>
      <c r="PEH87" s="356"/>
      <c r="PEI87" s="356"/>
      <c r="PEJ87" s="356"/>
      <c r="PEK87" s="356"/>
      <c r="PEL87" s="356"/>
      <c r="PEM87" s="356"/>
      <c r="PEN87" s="356"/>
      <c r="PEO87" s="356"/>
      <c r="PEP87" s="356"/>
      <c r="PEQ87" s="356"/>
      <c r="PER87" s="356"/>
      <c r="PES87" s="356"/>
      <c r="PET87" s="356"/>
      <c r="PEU87" s="356"/>
      <c r="PEV87" s="356"/>
      <c r="PEW87" s="356"/>
      <c r="PEX87" s="356"/>
      <c r="PEY87" s="356"/>
      <c r="PEZ87" s="356"/>
      <c r="PFA87" s="356"/>
      <c r="PFB87" s="356"/>
      <c r="PFC87" s="356"/>
      <c r="PFD87" s="356"/>
      <c r="PFE87" s="356"/>
      <c r="PFF87" s="356"/>
      <c r="PFG87" s="356"/>
      <c r="PFH87" s="356"/>
      <c r="PFI87" s="356"/>
      <c r="PFJ87" s="356"/>
      <c r="PFK87" s="356"/>
      <c r="PFL87" s="356"/>
      <c r="PFM87" s="356"/>
      <c r="PFN87" s="356"/>
      <c r="PFO87" s="356"/>
      <c r="PFP87" s="356"/>
      <c r="PFQ87" s="356"/>
      <c r="PFR87" s="356"/>
      <c r="PFS87" s="356"/>
      <c r="PFT87" s="356"/>
      <c r="PFU87" s="356"/>
      <c r="PFV87" s="356"/>
      <c r="PFW87" s="356"/>
      <c r="PFX87" s="356"/>
      <c r="PFY87" s="356"/>
      <c r="PFZ87" s="356"/>
      <c r="PGA87" s="356"/>
      <c r="PGB87" s="356"/>
      <c r="PGC87" s="356"/>
      <c r="PGD87" s="356"/>
      <c r="PGE87" s="356"/>
      <c r="PGF87" s="356"/>
      <c r="PGG87" s="356"/>
      <c r="PGH87" s="356"/>
      <c r="PGI87" s="356"/>
      <c r="PGJ87" s="356"/>
      <c r="PGK87" s="356"/>
      <c r="PGL87" s="356"/>
      <c r="PGM87" s="356"/>
      <c r="PGN87" s="356"/>
      <c r="PGO87" s="356"/>
      <c r="PGP87" s="356"/>
      <c r="PGQ87" s="356"/>
      <c r="PGR87" s="356"/>
      <c r="PGS87" s="356"/>
      <c r="PGT87" s="356"/>
      <c r="PGU87" s="356"/>
      <c r="PGV87" s="356"/>
      <c r="PGW87" s="356"/>
      <c r="PGX87" s="356"/>
      <c r="PGY87" s="356"/>
      <c r="PGZ87" s="356"/>
      <c r="PHA87" s="356"/>
      <c r="PHB87" s="356"/>
      <c r="PHC87" s="356"/>
      <c r="PHD87" s="356"/>
      <c r="PHE87" s="356"/>
      <c r="PHF87" s="356"/>
      <c r="PHG87" s="356"/>
      <c r="PHH87" s="356"/>
      <c r="PHI87" s="356"/>
      <c r="PHJ87" s="356"/>
      <c r="PHK87" s="356"/>
      <c r="PHL87" s="356"/>
      <c r="PHM87" s="356"/>
      <c r="PHN87" s="356"/>
      <c r="PHO87" s="356"/>
      <c r="PHP87" s="356"/>
      <c r="PHQ87" s="356"/>
      <c r="PHR87" s="356"/>
      <c r="PHS87" s="356"/>
      <c r="PHT87" s="356"/>
      <c r="PHU87" s="356"/>
      <c r="PHV87" s="356"/>
      <c r="PHW87" s="356"/>
      <c r="PHX87" s="356"/>
      <c r="PHY87" s="356"/>
      <c r="PHZ87" s="356"/>
      <c r="PIA87" s="356"/>
      <c r="PIB87" s="356"/>
      <c r="PIC87" s="356"/>
      <c r="PID87" s="356"/>
      <c r="PIE87" s="356"/>
      <c r="PIF87" s="356"/>
      <c r="PIG87" s="356"/>
      <c r="PIH87" s="356"/>
      <c r="PII87" s="356"/>
      <c r="PIJ87" s="356"/>
      <c r="PIK87" s="356"/>
      <c r="PIL87" s="356"/>
      <c r="PIM87" s="356"/>
      <c r="PIN87" s="356"/>
      <c r="PIO87" s="356"/>
      <c r="PIP87" s="356"/>
      <c r="PIQ87" s="356"/>
      <c r="PIR87" s="356"/>
      <c r="PIS87" s="356"/>
      <c r="PIT87" s="356"/>
      <c r="PIU87" s="356"/>
      <c r="PIV87" s="356"/>
      <c r="PIW87" s="356"/>
      <c r="PIX87" s="356"/>
      <c r="PIY87" s="356"/>
      <c r="PIZ87" s="356"/>
      <c r="PJA87" s="356"/>
      <c r="PJB87" s="356"/>
      <c r="PJC87" s="356"/>
      <c r="PJD87" s="356"/>
      <c r="PJE87" s="356"/>
      <c r="PJF87" s="356"/>
      <c r="PJG87" s="356"/>
      <c r="PJH87" s="356"/>
      <c r="PJI87" s="356"/>
      <c r="PJJ87" s="356"/>
      <c r="PJK87" s="356"/>
      <c r="PJL87" s="356"/>
      <c r="PJM87" s="356"/>
      <c r="PJN87" s="356"/>
      <c r="PJO87" s="356"/>
      <c r="PJP87" s="356"/>
      <c r="PJQ87" s="356"/>
      <c r="PJR87" s="356"/>
      <c r="PJS87" s="356"/>
      <c r="PJT87" s="356"/>
      <c r="PJU87" s="356"/>
      <c r="PJV87" s="356"/>
      <c r="PJW87" s="356"/>
      <c r="PJX87" s="356"/>
      <c r="PJY87" s="356"/>
      <c r="PJZ87" s="356"/>
      <c r="PKA87" s="356"/>
      <c r="PKB87" s="356"/>
      <c r="PKC87" s="356"/>
      <c r="PKD87" s="356"/>
      <c r="PKE87" s="356"/>
      <c r="PKF87" s="356"/>
      <c r="PKG87" s="356"/>
      <c r="PKH87" s="356"/>
      <c r="PKI87" s="356"/>
      <c r="PKJ87" s="356"/>
      <c r="PKK87" s="356"/>
      <c r="PKL87" s="356"/>
      <c r="PKM87" s="356"/>
      <c r="PKN87" s="356"/>
      <c r="PKO87" s="356"/>
      <c r="PKP87" s="356"/>
      <c r="PKQ87" s="356"/>
      <c r="PKR87" s="356"/>
      <c r="PKS87" s="356"/>
      <c r="PKT87" s="356"/>
      <c r="PKU87" s="356"/>
      <c r="PKV87" s="356"/>
      <c r="PKW87" s="356"/>
      <c r="PKX87" s="356"/>
      <c r="PKY87" s="356"/>
      <c r="PKZ87" s="356"/>
      <c r="PLA87" s="356"/>
      <c r="PLB87" s="356"/>
      <c r="PLC87" s="356"/>
      <c r="PLD87" s="356"/>
      <c r="PLE87" s="356"/>
      <c r="PLF87" s="356"/>
      <c r="PLG87" s="356"/>
      <c r="PLH87" s="356"/>
      <c r="PLI87" s="356"/>
      <c r="PLJ87" s="356"/>
      <c r="PLK87" s="356"/>
      <c r="PLL87" s="356"/>
      <c r="PLM87" s="356"/>
      <c r="PLN87" s="356"/>
      <c r="PLO87" s="356"/>
      <c r="PLP87" s="356"/>
      <c r="PLQ87" s="356"/>
      <c r="PLR87" s="356"/>
      <c r="PLS87" s="356"/>
      <c r="PLT87" s="356"/>
      <c r="PLU87" s="356"/>
      <c r="PLV87" s="356"/>
      <c r="PLW87" s="356"/>
      <c r="PLX87" s="356"/>
      <c r="PLY87" s="356"/>
      <c r="PLZ87" s="356"/>
      <c r="PMA87" s="356"/>
      <c r="PMB87" s="356"/>
      <c r="PMC87" s="356"/>
      <c r="PMD87" s="356"/>
      <c r="PME87" s="356"/>
      <c r="PMF87" s="356"/>
      <c r="PMG87" s="356"/>
      <c r="PMH87" s="356"/>
      <c r="PMI87" s="356"/>
      <c r="PMJ87" s="356"/>
      <c r="PMK87" s="356"/>
      <c r="PML87" s="356"/>
      <c r="PMM87" s="356"/>
      <c r="PMN87" s="356"/>
      <c r="PMO87" s="356"/>
      <c r="PMP87" s="356"/>
      <c r="PMQ87" s="356"/>
      <c r="PMR87" s="356"/>
      <c r="PMS87" s="356"/>
      <c r="PMT87" s="356"/>
      <c r="PMU87" s="356"/>
      <c r="PMV87" s="356"/>
      <c r="PMW87" s="356"/>
      <c r="PMX87" s="356"/>
      <c r="PMY87" s="356"/>
      <c r="PMZ87" s="356"/>
      <c r="PNA87" s="356"/>
      <c r="PNB87" s="356"/>
      <c r="PNC87" s="356"/>
      <c r="PND87" s="356"/>
      <c r="PNE87" s="356"/>
      <c r="PNF87" s="356"/>
      <c r="PNG87" s="356"/>
      <c r="PNH87" s="356"/>
      <c r="PNI87" s="356"/>
      <c r="PNJ87" s="356"/>
      <c r="PNK87" s="356"/>
      <c r="PNL87" s="356"/>
      <c r="PNM87" s="356"/>
      <c r="PNN87" s="356"/>
      <c r="PNO87" s="356"/>
      <c r="PNP87" s="356"/>
      <c r="PNQ87" s="356"/>
      <c r="PNR87" s="356"/>
      <c r="PNS87" s="356"/>
      <c r="PNT87" s="356"/>
      <c r="PNU87" s="356"/>
      <c r="PNV87" s="356"/>
      <c r="PNW87" s="356"/>
      <c r="PNX87" s="356"/>
      <c r="PNY87" s="356"/>
      <c r="PNZ87" s="356"/>
      <c r="POA87" s="356"/>
      <c r="POB87" s="356"/>
      <c r="POC87" s="356"/>
      <c r="POD87" s="356"/>
      <c r="POE87" s="356"/>
      <c r="POF87" s="356"/>
      <c r="POG87" s="356"/>
      <c r="POH87" s="356"/>
      <c r="POI87" s="356"/>
      <c r="POJ87" s="356"/>
      <c r="POK87" s="356"/>
      <c r="POL87" s="356"/>
      <c r="POM87" s="356"/>
      <c r="PON87" s="356"/>
      <c r="POO87" s="356"/>
      <c r="POP87" s="356"/>
      <c r="POQ87" s="356"/>
      <c r="POR87" s="356"/>
      <c r="POS87" s="356"/>
      <c r="POT87" s="356"/>
      <c r="POU87" s="356"/>
      <c r="POV87" s="356"/>
      <c r="POW87" s="356"/>
      <c r="POX87" s="356"/>
      <c r="POY87" s="356"/>
      <c r="POZ87" s="356"/>
      <c r="PPA87" s="356"/>
      <c r="PPB87" s="356"/>
      <c r="PPC87" s="356"/>
      <c r="PPD87" s="356"/>
      <c r="PPE87" s="356"/>
      <c r="PPF87" s="356"/>
      <c r="PPG87" s="356"/>
      <c r="PPH87" s="356"/>
      <c r="PPI87" s="356"/>
      <c r="PPJ87" s="356"/>
      <c r="PPK87" s="356"/>
      <c r="PPL87" s="356"/>
      <c r="PPM87" s="356"/>
      <c r="PPN87" s="356"/>
      <c r="PPO87" s="356"/>
      <c r="PPP87" s="356"/>
      <c r="PPQ87" s="356"/>
      <c r="PPR87" s="356"/>
      <c r="PPS87" s="356"/>
      <c r="PPT87" s="356"/>
      <c r="PPU87" s="356"/>
      <c r="PPV87" s="356"/>
      <c r="PPW87" s="356"/>
      <c r="PPX87" s="356"/>
      <c r="PPY87" s="356"/>
      <c r="PPZ87" s="356"/>
      <c r="PQA87" s="356"/>
      <c r="PQB87" s="356"/>
      <c r="PQC87" s="356"/>
      <c r="PQD87" s="356"/>
      <c r="PQE87" s="356"/>
      <c r="PQF87" s="356"/>
      <c r="PQG87" s="356"/>
      <c r="PQH87" s="356"/>
      <c r="PQI87" s="356"/>
      <c r="PQJ87" s="356"/>
      <c r="PQK87" s="356"/>
      <c r="PQL87" s="356"/>
      <c r="PQM87" s="356"/>
      <c r="PQN87" s="356"/>
      <c r="PQO87" s="356"/>
      <c r="PQP87" s="356"/>
      <c r="PQQ87" s="356"/>
      <c r="PQR87" s="356"/>
      <c r="PQS87" s="356"/>
      <c r="PQT87" s="356"/>
      <c r="PQU87" s="356"/>
      <c r="PQV87" s="356"/>
      <c r="PQW87" s="356"/>
      <c r="PQX87" s="356"/>
      <c r="PQY87" s="356"/>
      <c r="PQZ87" s="356"/>
      <c r="PRA87" s="356"/>
      <c r="PRB87" s="356"/>
      <c r="PRC87" s="356"/>
      <c r="PRD87" s="356"/>
      <c r="PRE87" s="356"/>
      <c r="PRF87" s="356"/>
      <c r="PRG87" s="356"/>
      <c r="PRH87" s="356"/>
      <c r="PRI87" s="356"/>
      <c r="PRJ87" s="356"/>
      <c r="PRK87" s="356"/>
      <c r="PRL87" s="356"/>
      <c r="PRM87" s="356"/>
      <c r="PRN87" s="356"/>
      <c r="PRO87" s="356"/>
      <c r="PRP87" s="356"/>
      <c r="PRQ87" s="356"/>
      <c r="PRR87" s="356"/>
      <c r="PRS87" s="356"/>
      <c r="PRT87" s="356"/>
      <c r="PRU87" s="356"/>
      <c r="PRV87" s="356"/>
      <c r="PRW87" s="356"/>
      <c r="PRX87" s="356"/>
      <c r="PRY87" s="356"/>
      <c r="PRZ87" s="356"/>
      <c r="PSA87" s="356"/>
      <c r="PSB87" s="356"/>
      <c r="PSC87" s="356"/>
      <c r="PSD87" s="356"/>
      <c r="PSE87" s="356"/>
      <c r="PSF87" s="356"/>
      <c r="PSG87" s="356"/>
      <c r="PSH87" s="356"/>
      <c r="PSI87" s="356"/>
      <c r="PSJ87" s="356"/>
      <c r="PSK87" s="356"/>
      <c r="PSL87" s="356"/>
      <c r="PSM87" s="356"/>
      <c r="PSN87" s="356"/>
      <c r="PSO87" s="356"/>
      <c r="PSP87" s="356"/>
      <c r="PSQ87" s="356"/>
      <c r="PSR87" s="356"/>
      <c r="PSS87" s="356"/>
      <c r="PST87" s="356"/>
      <c r="PSU87" s="356"/>
      <c r="PSV87" s="356"/>
      <c r="PSW87" s="356"/>
      <c r="PSX87" s="356"/>
      <c r="PSY87" s="356"/>
      <c r="PSZ87" s="356"/>
      <c r="PTA87" s="356"/>
      <c r="PTB87" s="356"/>
      <c r="PTC87" s="356"/>
      <c r="PTD87" s="356"/>
      <c r="PTE87" s="356"/>
      <c r="PTF87" s="356"/>
      <c r="PTG87" s="356"/>
      <c r="PTH87" s="356"/>
      <c r="PTI87" s="356"/>
      <c r="PTJ87" s="356"/>
      <c r="PTK87" s="356"/>
      <c r="PTL87" s="356"/>
      <c r="PTM87" s="356"/>
      <c r="PTN87" s="356"/>
      <c r="PTO87" s="356"/>
      <c r="PTP87" s="356"/>
      <c r="PTQ87" s="356"/>
      <c r="PTR87" s="356"/>
      <c r="PTS87" s="356"/>
      <c r="PTT87" s="356"/>
      <c r="PTU87" s="356"/>
      <c r="PTV87" s="356"/>
      <c r="PTW87" s="356"/>
      <c r="PTX87" s="356"/>
      <c r="PTY87" s="356"/>
      <c r="PTZ87" s="356"/>
      <c r="PUA87" s="356"/>
      <c r="PUB87" s="356"/>
      <c r="PUC87" s="356"/>
      <c r="PUD87" s="356"/>
      <c r="PUE87" s="356"/>
      <c r="PUF87" s="356"/>
      <c r="PUG87" s="356"/>
      <c r="PUH87" s="356"/>
      <c r="PUI87" s="356"/>
      <c r="PUJ87" s="356"/>
      <c r="PUK87" s="356"/>
      <c r="PUL87" s="356"/>
      <c r="PUM87" s="356"/>
      <c r="PUN87" s="356"/>
      <c r="PUO87" s="356"/>
      <c r="PUP87" s="356"/>
      <c r="PUQ87" s="356"/>
      <c r="PUR87" s="356"/>
      <c r="PUS87" s="356"/>
      <c r="PUT87" s="356"/>
      <c r="PUU87" s="356"/>
      <c r="PUV87" s="356"/>
      <c r="PUW87" s="356"/>
      <c r="PUX87" s="356"/>
      <c r="PUY87" s="356"/>
      <c r="PUZ87" s="356"/>
      <c r="PVA87" s="356"/>
      <c r="PVB87" s="356"/>
      <c r="PVC87" s="356"/>
      <c r="PVD87" s="356"/>
      <c r="PVE87" s="356"/>
      <c r="PVF87" s="356"/>
      <c r="PVG87" s="356"/>
      <c r="PVH87" s="356"/>
      <c r="PVI87" s="356"/>
      <c r="PVJ87" s="356"/>
      <c r="PVK87" s="356"/>
      <c r="PVL87" s="356"/>
      <c r="PVM87" s="356"/>
      <c r="PVN87" s="356"/>
      <c r="PVO87" s="356"/>
      <c r="PVP87" s="356"/>
      <c r="PVQ87" s="356"/>
      <c r="PVR87" s="356"/>
      <c r="PVS87" s="356"/>
      <c r="PVT87" s="356"/>
      <c r="PVU87" s="356"/>
      <c r="PVV87" s="356"/>
      <c r="PVW87" s="356"/>
      <c r="PVX87" s="356"/>
      <c r="PVY87" s="356"/>
      <c r="PVZ87" s="356"/>
      <c r="PWA87" s="356"/>
      <c r="PWB87" s="356"/>
      <c r="PWC87" s="356"/>
      <c r="PWD87" s="356"/>
      <c r="PWE87" s="356"/>
      <c r="PWF87" s="356"/>
      <c r="PWG87" s="356"/>
      <c r="PWH87" s="356"/>
      <c r="PWI87" s="356"/>
      <c r="PWJ87" s="356"/>
      <c r="PWK87" s="356"/>
      <c r="PWL87" s="356"/>
      <c r="PWM87" s="356"/>
      <c r="PWN87" s="356"/>
      <c r="PWO87" s="356"/>
      <c r="PWP87" s="356"/>
      <c r="PWQ87" s="356"/>
      <c r="PWR87" s="356"/>
      <c r="PWS87" s="356"/>
      <c r="PWT87" s="356"/>
      <c r="PWU87" s="356"/>
      <c r="PWV87" s="356"/>
      <c r="PWW87" s="356"/>
      <c r="PWX87" s="356"/>
      <c r="PWY87" s="356"/>
      <c r="PWZ87" s="356"/>
      <c r="PXA87" s="356"/>
      <c r="PXB87" s="356"/>
      <c r="PXC87" s="356"/>
      <c r="PXD87" s="356"/>
      <c r="PXE87" s="356"/>
      <c r="PXF87" s="356"/>
      <c r="PXG87" s="356"/>
      <c r="PXH87" s="356"/>
      <c r="PXI87" s="356"/>
      <c r="PXJ87" s="356"/>
      <c r="PXK87" s="356"/>
      <c r="PXL87" s="356"/>
      <c r="PXM87" s="356"/>
      <c r="PXN87" s="356"/>
      <c r="PXO87" s="356"/>
      <c r="PXP87" s="356"/>
      <c r="PXQ87" s="356"/>
      <c r="PXR87" s="356"/>
      <c r="PXS87" s="356"/>
      <c r="PXT87" s="356"/>
      <c r="PXU87" s="356"/>
      <c r="PXV87" s="356"/>
      <c r="PXW87" s="356"/>
      <c r="PXX87" s="356"/>
      <c r="PXY87" s="356"/>
      <c r="PXZ87" s="356"/>
      <c r="PYA87" s="356"/>
      <c r="PYB87" s="356"/>
      <c r="PYC87" s="356"/>
      <c r="PYD87" s="356"/>
      <c r="PYE87" s="356"/>
      <c r="PYF87" s="356"/>
      <c r="PYG87" s="356"/>
      <c r="PYH87" s="356"/>
      <c r="PYI87" s="356"/>
      <c r="PYJ87" s="356"/>
      <c r="PYK87" s="356"/>
      <c r="PYL87" s="356"/>
      <c r="PYM87" s="356"/>
      <c r="PYN87" s="356"/>
      <c r="PYO87" s="356"/>
      <c r="PYP87" s="356"/>
      <c r="PYQ87" s="356"/>
      <c r="PYR87" s="356"/>
      <c r="PYS87" s="356"/>
      <c r="PYT87" s="356"/>
      <c r="PYU87" s="356"/>
      <c r="PYV87" s="356"/>
      <c r="PYW87" s="356"/>
      <c r="PYX87" s="356"/>
      <c r="PYY87" s="356"/>
      <c r="PYZ87" s="356"/>
      <c r="PZA87" s="356"/>
      <c r="PZB87" s="356"/>
      <c r="PZC87" s="356"/>
      <c r="PZD87" s="356"/>
      <c r="PZE87" s="356"/>
      <c r="PZF87" s="356"/>
      <c r="PZG87" s="356"/>
      <c r="PZH87" s="356"/>
      <c r="PZI87" s="356"/>
      <c r="PZJ87" s="356"/>
      <c r="PZK87" s="356"/>
      <c r="PZL87" s="356"/>
      <c r="PZM87" s="356"/>
      <c r="PZN87" s="356"/>
      <c r="PZO87" s="356"/>
      <c r="PZP87" s="356"/>
      <c r="PZQ87" s="356"/>
      <c r="PZR87" s="356"/>
      <c r="PZS87" s="356"/>
      <c r="PZT87" s="356"/>
      <c r="PZU87" s="356"/>
      <c r="PZV87" s="356"/>
      <c r="PZW87" s="356"/>
      <c r="PZX87" s="356"/>
      <c r="PZY87" s="356"/>
      <c r="PZZ87" s="356"/>
      <c r="QAA87" s="356"/>
      <c r="QAB87" s="356"/>
      <c r="QAC87" s="356"/>
      <c r="QAD87" s="356"/>
      <c r="QAE87" s="356"/>
      <c r="QAF87" s="356"/>
      <c r="QAG87" s="356"/>
      <c r="QAH87" s="356"/>
      <c r="QAI87" s="356"/>
      <c r="QAJ87" s="356"/>
      <c r="QAK87" s="356"/>
      <c r="QAL87" s="356"/>
      <c r="QAM87" s="356"/>
      <c r="QAN87" s="356"/>
      <c r="QAO87" s="356"/>
      <c r="QAP87" s="356"/>
      <c r="QAQ87" s="356"/>
      <c r="QAR87" s="356"/>
      <c r="QAS87" s="356"/>
      <c r="QAT87" s="356"/>
      <c r="QAU87" s="356"/>
      <c r="QAV87" s="356"/>
      <c r="QAW87" s="356"/>
      <c r="QAX87" s="356"/>
      <c r="QAY87" s="356"/>
      <c r="QAZ87" s="356"/>
      <c r="QBA87" s="356"/>
      <c r="QBB87" s="356"/>
      <c r="QBC87" s="356"/>
      <c r="QBD87" s="356"/>
      <c r="QBE87" s="356"/>
      <c r="QBF87" s="356"/>
      <c r="QBG87" s="356"/>
      <c r="QBH87" s="356"/>
      <c r="QBI87" s="356"/>
      <c r="QBJ87" s="356"/>
      <c r="QBK87" s="356"/>
      <c r="QBL87" s="356"/>
      <c r="QBM87" s="356"/>
      <c r="QBN87" s="356"/>
      <c r="QBO87" s="356"/>
      <c r="QBP87" s="356"/>
      <c r="QBQ87" s="356"/>
      <c r="QBR87" s="356"/>
      <c r="QBS87" s="356"/>
      <c r="QBT87" s="356"/>
      <c r="QBU87" s="356"/>
      <c r="QBV87" s="356"/>
      <c r="QBW87" s="356"/>
      <c r="QBX87" s="356"/>
      <c r="QBY87" s="356"/>
      <c r="QBZ87" s="356"/>
      <c r="QCA87" s="356"/>
      <c r="QCB87" s="356"/>
      <c r="QCC87" s="356"/>
      <c r="QCD87" s="356"/>
      <c r="QCE87" s="356"/>
      <c r="QCF87" s="356"/>
      <c r="QCG87" s="356"/>
      <c r="QCH87" s="356"/>
      <c r="QCI87" s="356"/>
      <c r="QCJ87" s="356"/>
      <c r="QCK87" s="356"/>
      <c r="QCL87" s="356"/>
      <c r="QCM87" s="356"/>
      <c r="QCN87" s="356"/>
      <c r="QCO87" s="356"/>
      <c r="QCP87" s="356"/>
      <c r="QCQ87" s="356"/>
      <c r="QCR87" s="356"/>
      <c r="QCS87" s="356"/>
      <c r="QCT87" s="356"/>
      <c r="QCU87" s="356"/>
      <c r="QCV87" s="356"/>
      <c r="QCW87" s="356"/>
      <c r="QCX87" s="356"/>
      <c r="QCY87" s="356"/>
      <c r="QCZ87" s="356"/>
      <c r="QDA87" s="356"/>
      <c r="QDB87" s="356"/>
      <c r="QDC87" s="356"/>
      <c r="QDD87" s="356"/>
      <c r="QDE87" s="356"/>
      <c r="QDF87" s="356"/>
      <c r="QDG87" s="356"/>
      <c r="QDH87" s="356"/>
      <c r="QDI87" s="356"/>
      <c r="QDJ87" s="356"/>
      <c r="QDK87" s="356"/>
      <c r="QDL87" s="356"/>
      <c r="QDM87" s="356"/>
      <c r="QDN87" s="356"/>
      <c r="QDO87" s="356"/>
      <c r="QDP87" s="356"/>
      <c r="QDQ87" s="356"/>
      <c r="QDR87" s="356"/>
      <c r="QDS87" s="356"/>
      <c r="QDT87" s="356"/>
      <c r="QDU87" s="356"/>
      <c r="QDV87" s="356"/>
      <c r="QDW87" s="356"/>
      <c r="QDX87" s="356"/>
      <c r="QDY87" s="356"/>
      <c r="QDZ87" s="356"/>
      <c r="QEA87" s="356"/>
      <c r="QEB87" s="356"/>
      <c r="QEC87" s="356"/>
      <c r="QED87" s="356"/>
      <c r="QEE87" s="356"/>
      <c r="QEF87" s="356"/>
      <c r="QEG87" s="356"/>
      <c r="QEH87" s="356"/>
      <c r="QEI87" s="356"/>
      <c r="QEJ87" s="356"/>
      <c r="QEK87" s="356"/>
      <c r="QEL87" s="356"/>
      <c r="QEM87" s="356"/>
      <c r="QEN87" s="356"/>
      <c r="QEO87" s="356"/>
      <c r="QEP87" s="356"/>
      <c r="QEQ87" s="356"/>
      <c r="QER87" s="356"/>
      <c r="QES87" s="356"/>
      <c r="QET87" s="356"/>
      <c r="QEU87" s="356"/>
      <c r="QEV87" s="356"/>
      <c r="QEW87" s="356"/>
      <c r="QEX87" s="356"/>
      <c r="QEY87" s="356"/>
      <c r="QEZ87" s="356"/>
      <c r="QFA87" s="356"/>
      <c r="QFB87" s="356"/>
      <c r="QFC87" s="356"/>
      <c r="QFD87" s="356"/>
      <c r="QFE87" s="356"/>
      <c r="QFF87" s="356"/>
      <c r="QFG87" s="356"/>
      <c r="QFH87" s="356"/>
      <c r="QFI87" s="356"/>
      <c r="QFJ87" s="356"/>
      <c r="QFK87" s="356"/>
      <c r="QFL87" s="356"/>
      <c r="QFM87" s="356"/>
      <c r="QFN87" s="356"/>
      <c r="QFO87" s="356"/>
      <c r="QFP87" s="356"/>
      <c r="QFQ87" s="356"/>
      <c r="QFR87" s="356"/>
      <c r="QFS87" s="356"/>
      <c r="QFT87" s="356"/>
      <c r="QFU87" s="356"/>
      <c r="QFV87" s="356"/>
      <c r="QFW87" s="356"/>
      <c r="QFX87" s="356"/>
      <c r="QFY87" s="356"/>
      <c r="QFZ87" s="356"/>
      <c r="QGA87" s="356"/>
      <c r="QGB87" s="356"/>
      <c r="QGC87" s="356"/>
      <c r="QGD87" s="356"/>
      <c r="QGE87" s="356"/>
      <c r="QGF87" s="356"/>
      <c r="QGG87" s="356"/>
      <c r="QGH87" s="356"/>
      <c r="QGI87" s="356"/>
      <c r="QGJ87" s="356"/>
      <c r="QGK87" s="356"/>
      <c r="QGL87" s="356"/>
      <c r="QGM87" s="356"/>
      <c r="QGN87" s="356"/>
      <c r="QGO87" s="356"/>
      <c r="QGP87" s="356"/>
      <c r="QGQ87" s="356"/>
      <c r="QGR87" s="356"/>
      <c r="QGS87" s="356"/>
      <c r="QGT87" s="356"/>
      <c r="QGU87" s="356"/>
      <c r="QGV87" s="356"/>
      <c r="QGW87" s="356"/>
      <c r="QGX87" s="356"/>
      <c r="QGY87" s="356"/>
      <c r="QGZ87" s="356"/>
      <c r="QHA87" s="356"/>
      <c r="QHB87" s="356"/>
      <c r="QHC87" s="356"/>
      <c r="QHD87" s="356"/>
      <c r="QHE87" s="356"/>
      <c r="QHF87" s="356"/>
      <c r="QHG87" s="356"/>
      <c r="QHH87" s="356"/>
      <c r="QHI87" s="356"/>
      <c r="QHJ87" s="356"/>
      <c r="QHK87" s="356"/>
      <c r="QHL87" s="356"/>
      <c r="QHM87" s="356"/>
      <c r="QHN87" s="356"/>
      <c r="QHO87" s="356"/>
      <c r="QHP87" s="356"/>
      <c r="QHQ87" s="356"/>
      <c r="QHR87" s="356"/>
      <c r="QHS87" s="356"/>
      <c r="QHT87" s="356"/>
      <c r="QHU87" s="356"/>
      <c r="QHV87" s="356"/>
      <c r="QHW87" s="356"/>
      <c r="QHX87" s="356"/>
      <c r="QHY87" s="356"/>
      <c r="QHZ87" s="356"/>
      <c r="QIA87" s="356"/>
      <c r="QIB87" s="356"/>
      <c r="QIC87" s="356"/>
      <c r="QID87" s="356"/>
      <c r="QIE87" s="356"/>
      <c r="QIF87" s="356"/>
      <c r="QIG87" s="356"/>
      <c r="QIH87" s="356"/>
      <c r="QII87" s="356"/>
      <c r="QIJ87" s="356"/>
      <c r="QIK87" s="356"/>
      <c r="QIL87" s="356"/>
      <c r="QIM87" s="356"/>
      <c r="QIN87" s="356"/>
      <c r="QIO87" s="356"/>
      <c r="QIP87" s="356"/>
      <c r="QIQ87" s="356"/>
      <c r="QIR87" s="356"/>
      <c r="QIS87" s="356"/>
      <c r="QIT87" s="356"/>
      <c r="QIU87" s="356"/>
      <c r="QIV87" s="356"/>
      <c r="QIW87" s="356"/>
      <c r="QIX87" s="356"/>
      <c r="QIY87" s="356"/>
      <c r="QIZ87" s="356"/>
      <c r="QJA87" s="356"/>
      <c r="QJB87" s="356"/>
      <c r="QJC87" s="356"/>
      <c r="QJD87" s="356"/>
      <c r="QJE87" s="356"/>
      <c r="QJF87" s="356"/>
      <c r="QJG87" s="356"/>
      <c r="QJH87" s="356"/>
      <c r="QJI87" s="356"/>
      <c r="QJJ87" s="356"/>
      <c r="QJK87" s="356"/>
      <c r="QJL87" s="356"/>
      <c r="QJM87" s="356"/>
      <c r="QJN87" s="356"/>
      <c r="QJO87" s="356"/>
      <c r="QJP87" s="356"/>
      <c r="QJQ87" s="356"/>
      <c r="QJR87" s="356"/>
      <c r="QJS87" s="356"/>
      <c r="QJT87" s="356"/>
      <c r="QJU87" s="356"/>
      <c r="QJV87" s="356"/>
      <c r="QJW87" s="356"/>
      <c r="QJX87" s="356"/>
      <c r="QJY87" s="356"/>
      <c r="QJZ87" s="356"/>
      <c r="QKA87" s="356"/>
      <c r="QKB87" s="356"/>
      <c r="QKC87" s="356"/>
      <c r="QKD87" s="356"/>
      <c r="QKE87" s="356"/>
      <c r="QKF87" s="356"/>
      <c r="QKG87" s="356"/>
      <c r="QKH87" s="356"/>
      <c r="QKI87" s="356"/>
      <c r="QKJ87" s="356"/>
      <c r="QKK87" s="356"/>
      <c r="QKL87" s="356"/>
      <c r="QKM87" s="356"/>
      <c r="QKN87" s="356"/>
      <c r="QKO87" s="356"/>
      <c r="QKP87" s="356"/>
      <c r="QKQ87" s="356"/>
      <c r="QKR87" s="356"/>
      <c r="QKS87" s="356"/>
      <c r="QKT87" s="356"/>
      <c r="QKU87" s="356"/>
      <c r="QKV87" s="356"/>
      <c r="QKW87" s="356"/>
      <c r="QKX87" s="356"/>
      <c r="QKY87" s="356"/>
      <c r="QKZ87" s="356"/>
      <c r="QLA87" s="356"/>
      <c r="QLB87" s="356"/>
      <c r="QLC87" s="356"/>
      <c r="QLD87" s="356"/>
      <c r="QLE87" s="356"/>
      <c r="QLF87" s="356"/>
      <c r="QLG87" s="356"/>
      <c r="QLH87" s="356"/>
      <c r="QLI87" s="356"/>
      <c r="QLJ87" s="356"/>
      <c r="QLK87" s="356"/>
      <c r="QLL87" s="356"/>
      <c r="QLM87" s="356"/>
      <c r="QLN87" s="356"/>
      <c r="QLO87" s="356"/>
      <c r="QLP87" s="356"/>
      <c r="QLQ87" s="356"/>
      <c r="QLR87" s="356"/>
      <c r="QLS87" s="356"/>
      <c r="QLT87" s="356"/>
      <c r="QLU87" s="356"/>
      <c r="QLV87" s="356"/>
      <c r="QLW87" s="356"/>
      <c r="QLX87" s="356"/>
      <c r="QLY87" s="356"/>
      <c r="QLZ87" s="356"/>
      <c r="QMA87" s="356"/>
      <c r="QMB87" s="356"/>
      <c r="QMC87" s="356"/>
      <c r="QMD87" s="356"/>
      <c r="QME87" s="356"/>
      <c r="QMF87" s="356"/>
      <c r="QMG87" s="356"/>
      <c r="QMH87" s="356"/>
      <c r="QMI87" s="356"/>
      <c r="QMJ87" s="356"/>
      <c r="QMK87" s="356"/>
      <c r="QML87" s="356"/>
      <c r="QMM87" s="356"/>
      <c r="QMN87" s="356"/>
      <c r="QMO87" s="356"/>
      <c r="QMP87" s="356"/>
      <c r="QMQ87" s="356"/>
      <c r="QMR87" s="356"/>
      <c r="QMS87" s="356"/>
      <c r="QMT87" s="356"/>
      <c r="QMU87" s="356"/>
      <c r="QMV87" s="356"/>
      <c r="QMW87" s="356"/>
      <c r="QMX87" s="356"/>
      <c r="QMY87" s="356"/>
      <c r="QMZ87" s="356"/>
      <c r="QNA87" s="356"/>
      <c r="QNB87" s="356"/>
      <c r="QNC87" s="356"/>
      <c r="QND87" s="356"/>
      <c r="QNE87" s="356"/>
      <c r="QNF87" s="356"/>
      <c r="QNG87" s="356"/>
      <c r="QNH87" s="356"/>
      <c r="QNI87" s="356"/>
      <c r="QNJ87" s="356"/>
      <c r="QNK87" s="356"/>
      <c r="QNL87" s="356"/>
      <c r="QNM87" s="356"/>
      <c r="QNN87" s="356"/>
      <c r="QNO87" s="356"/>
      <c r="QNP87" s="356"/>
      <c r="QNQ87" s="356"/>
      <c r="QNR87" s="356"/>
      <c r="QNS87" s="356"/>
      <c r="QNT87" s="356"/>
      <c r="QNU87" s="356"/>
      <c r="QNV87" s="356"/>
      <c r="QNW87" s="356"/>
      <c r="QNX87" s="356"/>
      <c r="QNY87" s="356"/>
      <c r="QNZ87" s="356"/>
      <c r="QOA87" s="356"/>
      <c r="QOB87" s="356"/>
      <c r="QOC87" s="356"/>
      <c r="QOD87" s="356"/>
      <c r="QOE87" s="356"/>
      <c r="QOF87" s="356"/>
      <c r="QOG87" s="356"/>
      <c r="QOH87" s="356"/>
      <c r="QOI87" s="356"/>
      <c r="QOJ87" s="356"/>
      <c r="QOK87" s="356"/>
      <c r="QOL87" s="356"/>
      <c r="QOM87" s="356"/>
      <c r="QON87" s="356"/>
      <c r="QOO87" s="356"/>
      <c r="QOP87" s="356"/>
      <c r="QOQ87" s="356"/>
      <c r="QOR87" s="356"/>
      <c r="QOS87" s="356"/>
      <c r="QOT87" s="356"/>
      <c r="QOU87" s="356"/>
      <c r="QOV87" s="356"/>
      <c r="QOW87" s="356"/>
      <c r="QOX87" s="356"/>
      <c r="QOY87" s="356"/>
      <c r="QOZ87" s="356"/>
      <c r="QPA87" s="356"/>
      <c r="QPB87" s="356"/>
      <c r="QPC87" s="356"/>
      <c r="QPD87" s="356"/>
      <c r="QPE87" s="356"/>
      <c r="QPF87" s="356"/>
      <c r="QPG87" s="356"/>
      <c r="QPH87" s="356"/>
      <c r="QPI87" s="356"/>
      <c r="QPJ87" s="356"/>
      <c r="QPK87" s="356"/>
      <c r="QPL87" s="356"/>
      <c r="QPM87" s="356"/>
      <c r="QPN87" s="356"/>
      <c r="QPO87" s="356"/>
      <c r="QPP87" s="356"/>
      <c r="QPQ87" s="356"/>
      <c r="QPR87" s="356"/>
      <c r="QPS87" s="356"/>
      <c r="QPT87" s="356"/>
      <c r="QPU87" s="356"/>
      <c r="QPV87" s="356"/>
      <c r="QPW87" s="356"/>
      <c r="QPX87" s="356"/>
      <c r="QPY87" s="356"/>
      <c r="QPZ87" s="356"/>
      <c r="QQA87" s="356"/>
      <c r="QQB87" s="356"/>
      <c r="QQC87" s="356"/>
      <c r="QQD87" s="356"/>
      <c r="QQE87" s="356"/>
      <c r="QQF87" s="356"/>
      <c r="QQG87" s="356"/>
      <c r="QQH87" s="356"/>
      <c r="QQI87" s="356"/>
      <c r="QQJ87" s="356"/>
      <c r="QQK87" s="356"/>
      <c r="QQL87" s="356"/>
      <c r="QQM87" s="356"/>
      <c r="QQN87" s="356"/>
      <c r="QQO87" s="356"/>
      <c r="QQP87" s="356"/>
      <c r="QQQ87" s="356"/>
      <c r="QQR87" s="356"/>
      <c r="QQS87" s="356"/>
      <c r="QQT87" s="356"/>
      <c r="QQU87" s="356"/>
      <c r="QQV87" s="356"/>
      <c r="QQW87" s="356"/>
      <c r="QQX87" s="356"/>
      <c r="QQY87" s="356"/>
      <c r="QQZ87" s="356"/>
      <c r="QRA87" s="356"/>
      <c r="QRB87" s="356"/>
      <c r="QRC87" s="356"/>
      <c r="QRD87" s="356"/>
      <c r="QRE87" s="356"/>
      <c r="QRF87" s="356"/>
      <c r="QRG87" s="356"/>
      <c r="QRH87" s="356"/>
      <c r="QRI87" s="356"/>
      <c r="QRJ87" s="356"/>
      <c r="QRK87" s="356"/>
      <c r="QRL87" s="356"/>
      <c r="QRM87" s="356"/>
      <c r="QRN87" s="356"/>
      <c r="QRO87" s="356"/>
      <c r="QRP87" s="356"/>
      <c r="QRQ87" s="356"/>
      <c r="QRR87" s="356"/>
      <c r="QRS87" s="356"/>
      <c r="QRT87" s="356"/>
      <c r="QRU87" s="356"/>
      <c r="QRV87" s="356"/>
      <c r="QRW87" s="356"/>
      <c r="QRX87" s="356"/>
      <c r="QRY87" s="356"/>
      <c r="QRZ87" s="356"/>
      <c r="QSA87" s="356"/>
      <c r="QSB87" s="356"/>
      <c r="QSC87" s="356"/>
      <c r="QSD87" s="356"/>
      <c r="QSE87" s="356"/>
      <c r="QSF87" s="356"/>
      <c r="QSG87" s="356"/>
      <c r="QSH87" s="356"/>
      <c r="QSI87" s="356"/>
      <c r="QSJ87" s="356"/>
      <c r="QSK87" s="356"/>
      <c r="QSL87" s="356"/>
      <c r="QSM87" s="356"/>
      <c r="QSN87" s="356"/>
      <c r="QSO87" s="356"/>
      <c r="QSP87" s="356"/>
      <c r="QSQ87" s="356"/>
      <c r="QSR87" s="356"/>
      <c r="QSS87" s="356"/>
      <c r="QST87" s="356"/>
      <c r="QSU87" s="356"/>
      <c r="QSV87" s="356"/>
      <c r="QSW87" s="356"/>
      <c r="QSX87" s="356"/>
      <c r="QSY87" s="356"/>
      <c r="QSZ87" s="356"/>
      <c r="QTA87" s="356"/>
      <c r="QTB87" s="356"/>
      <c r="QTC87" s="356"/>
      <c r="QTD87" s="356"/>
      <c r="QTE87" s="356"/>
      <c r="QTF87" s="356"/>
      <c r="QTG87" s="356"/>
      <c r="QTH87" s="356"/>
      <c r="QTI87" s="356"/>
      <c r="QTJ87" s="356"/>
      <c r="QTK87" s="356"/>
      <c r="QTL87" s="356"/>
      <c r="QTM87" s="356"/>
      <c r="QTN87" s="356"/>
      <c r="QTO87" s="356"/>
      <c r="QTP87" s="356"/>
      <c r="QTQ87" s="356"/>
      <c r="QTR87" s="356"/>
      <c r="QTS87" s="356"/>
      <c r="QTT87" s="356"/>
      <c r="QTU87" s="356"/>
      <c r="QTV87" s="356"/>
      <c r="QTW87" s="356"/>
      <c r="QTX87" s="356"/>
      <c r="QTY87" s="356"/>
      <c r="QTZ87" s="356"/>
      <c r="QUA87" s="356"/>
      <c r="QUB87" s="356"/>
      <c r="QUC87" s="356"/>
      <c r="QUD87" s="356"/>
      <c r="QUE87" s="356"/>
      <c r="QUF87" s="356"/>
      <c r="QUG87" s="356"/>
      <c r="QUH87" s="356"/>
      <c r="QUI87" s="356"/>
      <c r="QUJ87" s="356"/>
      <c r="QUK87" s="356"/>
      <c r="QUL87" s="356"/>
      <c r="QUM87" s="356"/>
      <c r="QUN87" s="356"/>
      <c r="QUO87" s="356"/>
      <c r="QUP87" s="356"/>
      <c r="QUQ87" s="356"/>
      <c r="QUR87" s="356"/>
      <c r="QUS87" s="356"/>
      <c r="QUT87" s="356"/>
      <c r="QUU87" s="356"/>
      <c r="QUV87" s="356"/>
      <c r="QUW87" s="356"/>
      <c r="QUX87" s="356"/>
      <c r="QUY87" s="356"/>
      <c r="QUZ87" s="356"/>
      <c r="QVA87" s="356"/>
      <c r="QVB87" s="356"/>
      <c r="QVC87" s="356"/>
      <c r="QVD87" s="356"/>
      <c r="QVE87" s="356"/>
      <c r="QVF87" s="356"/>
      <c r="QVG87" s="356"/>
      <c r="QVH87" s="356"/>
      <c r="QVI87" s="356"/>
      <c r="QVJ87" s="356"/>
      <c r="QVK87" s="356"/>
      <c r="QVL87" s="356"/>
      <c r="QVM87" s="356"/>
      <c r="QVN87" s="356"/>
      <c r="QVO87" s="356"/>
      <c r="QVP87" s="356"/>
      <c r="QVQ87" s="356"/>
      <c r="QVR87" s="356"/>
      <c r="QVS87" s="356"/>
      <c r="QVT87" s="356"/>
      <c r="QVU87" s="356"/>
      <c r="QVV87" s="356"/>
      <c r="QVW87" s="356"/>
      <c r="QVX87" s="356"/>
      <c r="QVY87" s="356"/>
      <c r="QVZ87" s="356"/>
      <c r="QWA87" s="356"/>
      <c r="QWB87" s="356"/>
      <c r="QWC87" s="356"/>
      <c r="QWD87" s="356"/>
      <c r="QWE87" s="356"/>
      <c r="QWF87" s="356"/>
      <c r="QWG87" s="356"/>
      <c r="QWH87" s="356"/>
      <c r="QWI87" s="356"/>
      <c r="QWJ87" s="356"/>
      <c r="QWK87" s="356"/>
      <c r="QWL87" s="356"/>
      <c r="QWM87" s="356"/>
      <c r="QWN87" s="356"/>
      <c r="QWO87" s="356"/>
      <c r="QWP87" s="356"/>
      <c r="QWQ87" s="356"/>
      <c r="QWR87" s="356"/>
      <c r="QWS87" s="356"/>
      <c r="QWT87" s="356"/>
      <c r="QWU87" s="356"/>
      <c r="QWV87" s="356"/>
      <c r="QWW87" s="356"/>
      <c r="QWX87" s="356"/>
      <c r="QWY87" s="356"/>
      <c r="QWZ87" s="356"/>
      <c r="QXA87" s="356"/>
      <c r="QXB87" s="356"/>
      <c r="QXC87" s="356"/>
      <c r="QXD87" s="356"/>
      <c r="QXE87" s="356"/>
      <c r="QXF87" s="356"/>
      <c r="QXG87" s="356"/>
      <c r="QXH87" s="356"/>
      <c r="QXI87" s="356"/>
      <c r="QXJ87" s="356"/>
      <c r="QXK87" s="356"/>
      <c r="QXL87" s="356"/>
      <c r="QXM87" s="356"/>
      <c r="QXN87" s="356"/>
      <c r="QXO87" s="356"/>
      <c r="QXP87" s="356"/>
      <c r="QXQ87" s="356"/>
      <c r="QXR87" s="356"/>
      <c r="QXS87" s="356"/>
      <c r="QXT87" s="356"/>
      <c r="QXU87" s="356"/>
      <c r="QXV87" s="356"/>
      <c r="QXW87" s="356"/>
      <c r="QXX87" s="356"/>
      <c r="QXY87" s="356"/>
      <c r="QXZ87" s="356"/>
      <c r="QYA87" s="356"/>
      <c r="QYB87" s="356"/>
      <c r="QYC87" s="356"/>
      <c r="QYD87" s="356"/>
      <c r="QYE87" s="356"/>
      <c r="QYF87" s="356"/>
      <c r="QYG87" s="356"/>
      <c r="QYH87" s="356"/>
      <c r="QYI87" s="356"/>
      <c r="QYJ87" s="356"/>
      <c r="QYK87" s="356"/>
      <c r="QYL87" s="356"/>
      <c r="QYM87" s="356"/>
      <c r="QYN87" s="356"/>
      <c r="QYO87" s="356"/>
      <c r="QYP87" s="356"/>
      <c r="QYQ87" s="356"/>
      <c r="QYR87" s="356"/>
      <c r="QYS87" s="356"/>
      <c r="QYT87" s="356"/>
      <c r="QYU87" s="356"/>
      <c r="QYV87" s="356"/>
      <c r="QYW87" s="356"/>
      <c r="QYX87" s="356"/>
      <c r="QYY87" s="356"/>
      <c r="QYZ87" s="356"/>
      <c r="QZA87" s="356"/>
      <c r="QZB87" s="356"/>
      <c r="QZC87" s="356"/>
      <c r="QZD87" s="356"/>
      <c r="QZE87" s="356"/>
      <c r="QZF87" s="356"/>
      <c r="QZG87" s="356"/>
      <c r="QZH87" s="356"/>
      <c r="QZI87" s="356"/>
      <c r="QZJ87" s="356"/>
      <c r="QZK87" s="356"/>
      <c r="QZL87" s="356"/>
      <c r="QZM87" s="356"/>
      <c r="QZN87" s="356"/>
      <c r="QZO87" s="356"/>
      <c r="QZP87" s="356"/>
      <c r="QZQ87" s="356"/>
      <c r="QZR87" s="356"/>
      <c r="QZS87" s="356"/>
      <c r="QZT87" s="356"/>
      <c r="QZU87" s="356"/>
      <c r="QZV87" s="356"/>
      <c r="QZW87" s="356"/>
      <c r="QZX87" s="356"/>
      <c r="QZY87" s="356"/>
      <c r="QZZ87" s="356"/>
      <c r="RAA87" s="356"/>
      <c r="RAB87" s="356"/>
      <c r="RAC87" s="356"/>
      <c r="RAD87" s="356"/>
      <c r="RAE87" s="356"/>
      <c r="RAF87" s="356"/>
      <c r="RAG87" s="356"/>
      <c r="RAH87" s="356"/>
      <c r="RAI87" s="356"/>
      <c r="RAJ87" s="356"/>
      <c r="RAK87" s="356"/>
      <c r="RAL87" s="356"/>
      <c r="RAM87" s="356"/>
      <c r="RAN87" s="356"/>
      <c r="RAO87" s="356"/>
      <c r="RAP87" s="356"/>
      <c r="RAQ87" s="356"/>
      <c r="RAR87" s="356"/>
      <c r="RAS87" s="356"/>
      <c r="RAT87" s="356"/>
      <c r="RAU87" s="356"/>
      <c r="RAV87" s="356"/>
      <c r="RAW87" s="356"/>
      <c r="RAX87" s="356"/>
      <c r="RAY87" s="356"/>
      <c r="RAZ87" s="356"/>
      <c r="RBA87" s="356"/>
      <c r="RBB87" s="356"/>
      <c r="RBC87" s="356"/>
      <c r="RBD87" s="356"/>
      <c r="RBE87" s="356"/>
      <c r="RBF87" s="356"/>
      <c r="RBG87" s="356"/>
      <c r="RBH87" s="356"/>
      <c r="RBI87" s="356"/>
      <c r="RBJ87" s="356"/>
      <c r="RBK87" s="356"/>
      <c r="RBL87" s="356"/>
      <c r="RBM87" s="356"/>
      <c r="RBN87" s="356"/>
      <c r="RBO87" s="356"/>
      <c r="RBP87" s="356"/>
      <c r="RBQ87" s="356"/>
      <c r="RBR87" s="356"/>
      <c r="RBS87" s="356"/>
      <c r="RBT87" s="356"/>
      <c r="RBU87" s="356"/>
      <c r="RBV87" s="356"/>
      <c r="RBW87" s="356"/>
      <c r="RBX87" s="356"/>
      <c r="RBY87" s="356"/>
      <c r="RBZ87" s="356"/>
      <c r="RCA87" s="356"/>
      <c r="RCB87" s="356"/>
      <c r="RCC87" s="356"/>
      <c r="RCD87" s="356"/>
      <c r="RCE87" s="356"/>
      <c r="RCF87" s="356"/>
      <c r="RCG87" s="356"/>
      <c r="RCH87" s="356"/>
      <c r="RCI87" s="356"/>
      <c r="RCJ87" s="356"/>
      <c r="RCK87" s="356"/>
      <c r="RCL87" s="356"/>
      <c r="RCM87" s="356"/>
      <c r="RCN87" s="356"/>
      <c r="RCO87" s="356"/>
      <c r="RCP87" s="356"/>
      <c r="RCQ87" s="356"/>
      <c r="RCR87" s="356"/>
      <c r="RCS87" s="356"/>
      <c r="RCT87" s="356"/>
      <c r="RCU87" s="356"/>
      <c r="RCV87" s="356"/>
      <c r="RCW87" s="356"/>
      <c r="RCX87" s="356"/>
      <c r="RCY87" s="356"/>
      <c r="RCZ87" s="356"/>
      <c r="RDA87" s="356"/>
      <c r="RDB87" s="356"/>
      <c r="RDC87" s="356"/>
      <c r="RDD87" s="356"/>
      <c r="RDE87" s="356"/>
      <c r="RDF87" s="356"/>
      <c r="RDG87" s="356"/>
      <c r="RDH87" s="356"/>
      <c r="RDI87" s="356"/>
      <c r="RDJ87" s="356"/>
      <c r="RDK87" s="356"/>
      <c r="RDL87" s="356"/>
      <c r="RDM87" s="356"/>
      <c r="RDN87" s="356"/>
      <c r="RDO87" s="356"/>
      <c r="RDP87" s="356"/>
      <c r="RDQ87" s="356"/>
      <c r="RDR87" s="356"/>
      <c r="RDS87" s="356"/>
      <c r="RDT87" s="356"/>
      <c r="RDU87" s="356"/>
      <c r="RDV87" s="356"/>
      <c r="RDW87" s="356"/>
      <c r="RDX87" s="356"/>
      <c r="RDY87" s="356"/>
      <c r="RDZ87" s="356"/>
      <c r="REA87" s="356"/>
      <c r="REB87" s="356"/>
      <c r="REC87" s="356"/>
      <c r="RED87" s="356"/>
      <c r="REE87" s="356"/>
      <c r="REF87" s="356"/>
      <c r="REG87" s="356"/>
      <c r="REH87" s="356"/>
      <c r="REI87" s="356"/>
      <c r="REJ87" s="356"/>
      <c r="REK87" s="356"/>
      <c r="REL87" s="356"/>
      <c r="REM87" s="356"/>
      <c r="REN87" s="356"/>
      <c r="REO87" s="356"/>
      <c r="REP87" s="356"/>
      <c r="REQ87" s="356"/>
      <c r="RER87" s="356"/>
      <c r="RES87" s="356"/>
      <c r="RET87" s="356"/>
      <c r="REU87" s="356"/>
      <c r="REV87" s="356"/>
      <c r="REW87" s="356"/>
      <c r="REX87" s="356"/>
      <c r="REY87" s="356"/>
      <c r="REZ87" s="356"/>
      <c r="RFA87" s="356"/>
      <c r="RFB87" s="356"/>
      <c r="RFC87" s="356"/>
      <c r="RFD87" s="356"/>
      <c r="RFE87" s="356"/>
      <c r="RFF87" s="356"/>
      <c r="RFG87" s="356"/>
      <c r="RFH87" s="356"/>
      <c r="RFI87" s="356"/>
      <c r="RFJ87" s="356"/>
      <c r="RFK87" s="356"/>
      <c r="RFL87" s="356"/>
      <c r="RFM87" s="356"/>
      <c r="RFN87" s="356"/>
      <c r="RFO87" s="356"/>
      <c r="RFP87" s="356"/>
      <c r="RFQ87" s="356"/>
      <c r="RFR87" s="356"/>
      <c r="RFS87" s="356"/>
      <c r="RFT87" s="356"/>
      <c r="RFU87" s="356"/>
      <c r="RFV87" s="356"/>
      <c r="RFW87" s="356"/>
      <c r="RFX87" s="356"/>
      <c r="RFY87" s="356"/>
      <c r="RFZ87" s="356"/>
      <c r="RGA87" s="356"/>
      <c r="RGB87" s="356"/>
      <c r="RGC87" s="356"/>
      <c r="RGD87" s="356"/>
      <c r="RGE87" s="356"/>
      <c r="RGF87" s="356"/>
      <c r="RGG87" s="356"/>
      <c r="RGH87" s="356"/>
      <c r="RGI87" s="356"/>
      <c r="RGJ87" s="356"/>
      <c r="RGK87" s="356"/>
      <c r="RGL87" s="356"/>
      <c r="RGM87" s="356"/>
      <c r="RGN87" s="356"/>
      <c r="RGO87" s="356"/>
      <c r="RGP87" s="356"/>
      <c r="RGQ87" s="356"/>
      <c r="RGR87" s="356"/>
      <c r="RGS87" s="356"/>
      <c r="RGT87" s="356"/>
      <c r="RGU87" s="356"/>
      <c r="RGV87" s="356"/>
      <c r="RGW87" s="356"/>
      <c r="RGX87" s="356"/>
      <c r="RGY87" s="356"/>
      <c r="RGZ87" s="356"/>
      <c r="RHA87" s="356"/>
      <c r="RHB87" s="356"/>
      <c r="RHC87" s="356"/>
      <c r="RHD87" s="356"/>
      <c r="RHE87" s="356"/>
      <c r="RHF87" s="356"/>
      <c r="RHG87" s="356"/>
      <c r="RHH87" s="356"/>
      <c r="RHI87" s="356"/>
      <c r="RHJ87" s="356"/>
      <c r="RHK87" s="356"/>
      <c r="RHL87" s="356"/>
      <c r="RHM87" s="356"/>
      <c r="RHN87" s="356"/>
      <c r="RHO87" s="356"/>
      <c r="RHP87" s="356"/>
      <c r="RHQ87" s="356"/>
      <c r="RHR87" s="356"/>
      <c r="RHS87" s="356"/>
      <c r="RHT87" s="356"/>
      <c r="RHU87" s="356"/>
      <c r="RHV87" s="356"/>
      <c r="RHW87" s="356"/>
      <c r="RHX87" s="356"/>
      <c r="RHY87" s="356"/>
      <c r="RHZ87" s="356"/>
      <c r="RIA87" s="356"/>
      <c r="RIB87" s="356"/>
      <c r="RIC87" s="356"/>
      <c r="RID87" s="356"/>
      <c r="RIE87" s="356"/>
      <c r="RIF87" s="356"/>
      <c r="RIG87" s="356"/>
      <c r="RIH87" s="356"/>
      <c r="RII87" s="356"/>
      <c r="RIJ87" s="356"/>
      <c r="RIK87" s="356"/>
      <c r="RIL87" s="356"/>
      <c r="RIM87" s="356"/>
      <c r="RIN87" s="356"/>
      <c r="RIO87" s="356"/>
      <c r="RIP87" s="356"/>
      <c r="RIQ87" s="356"/>
      <c r="RIR87" s="356"/>
      <c r="RIS87" s="356"/>
      <c r="RIT87" s="356"/>
      <c r="RIU87" s="356"/>
      <c r="RIV87" s="356"/>
      <c r="RIW87" s="356"/>
      <c r="RIX87" s="356"/>
      <c r="RIY87" s="356"/>
      <c r="RIZ87" s="356"/>
      <c r="RJA87" s="356"/>
      <c r="RJB87" s="356"/>
      <c r="RJC87" s="356"/>
      <c r="RJD87" s="356"/>
      <c r="RJE87" s="356"/>
      <c r="RJF87" s="356"/>
      <c r="RJG87" s="356"/>
      <c r="RJH87" s="356"/>
      <c r="RJI87" s="356"/>
      <c r="RJJ87" s="356"/>
      <c r="RJK87" s="356"/>
      <c r="RJL87" s="356"/>
      <c r="RJM87" s="356"/>
      <c r="RJN87" s="356"/>
      <c r="RJO87" s="356"/>
      <c r="RJP87" s="356"/>
      <c r="RJQ87" s="356"/>
      <c r="RJR87" s="356"/>
      <c r="RJS87" s="356"/>
      <c r="RJT87" s="356"/>
      <c r="RJU87" s="356"/>
      <c r="RJV87" s="356"/>
      <c r="RJW87" s="356"/>
      <c r="RJX87" s="356"/>
      <c r="RJY87" s="356"/>
      <c r="RJZ87" s="356"/>
      <c r="RKA87" s="356"/>
      <c r="RKB87" s="356"/>
      <c r="RKC87" s="356"/>
      <c r="RKD87" s="356"/>
      <c r="RKE87" s="356"/>
      <c r="RKF87" s="356"/>
      <c r="RKG87" s="356"/>
      <c r="RKH87" s="356"/>
      <c r="RKI87" s="356"/>
      <c r="RKJ87" s="356"/>
      <c r="RKK87" s="356"/>
      <c r="RKL87" s="356"/>
      <c r="RKM87" s="356"/>
      <c r="RKN87" s="356"/>
      <c r="RKO87" s="356"/>
      <c r="RKP87" s="356"/>
      <c r="RKQ87" s="356"/>
      <c r="RKR87" s="356"/>
      <c r="RKS87" s="356"/>
      <c r="RKT87" s="356"/>
      <c r="RKU87" s="356"/>
      <c r="RKV87" s="356"/>
      <c r="RKW87" s="356"/>
      <c r="RKX87" s="356"/>
      <c r="RKY87" s="356"/>
      <c r="RKZ87" s="356"/>
      <c r="RLA87" s="356"/>
      <c r="RLB87" s="356"/>
      <c r="RLC87" s="356"/>
      <c r="RLD87" s="356"/>
      <c r="RLE87" s="356"/>
      <c r="RLF87" s="356"/>
      <c r="RLG87" s="356"/>
      <c r="RLH87" s="356"/>
      <c r="RLI87" s="356"/>
      <c r="RLJ87" s="356"/>
      <c r="RLK87" s="356"/>
      <c r="RLL87" s="356"/>
      <c r="RLM87" s="356"/>
      <c r="RLN87" s="356"/>
      <c r="RLO87" s="356"/>
      <c r="RLP87" s="356"/>
      <c r="RLQ87" s="356"/>
      <c r="RLR87" s="356"/>
      <c r="RLS87" s="356"/>
      <c r="RLT87" s="356"/>
      <c r="RLU87" s="356"/>
      <c r="RLV87" s="356"/>
      <c r="RLW87" s="356"/>
      <c r="RLX87" s="356"/>
      <c r="RLY87" s="356"/>
      <c r="RLZ87" s="356"/>
      <c r="RMA87" s="356"/>
      <c r="RMB87" s="356"/>
      <c r="RMC87" s="356"/>
      <c r="RMD87" s="356"/>
      <c r="RME87" s="356"/>
      <c r="RMF87" s="356"/>
      <c r="RMG87" s="356"/>
      <c r="RMH87" s="356"/>
      <c r="RMI87" s="356"/>
      <c r="RMJ87" s="356"/>
      <c r="RMK87" s="356"/>
      <c r="RML87" s="356"/>
      <c r="RMM87" s="356"/>
      <c r="RMN87" s="356"/>
      <c r="RMO87" s="356"/>
      <c r="RMP87" s="356"/>
      <c r="RMQ87" s="356"/>
      <c r="RMR87" s="356"/>
      <c r="RMS87" s="356"/>
      <c r="RMT87" s="356"/>
      <c r="RMU87" s="356"/>
      <c r="RMV87" s="356"/>
      <c r="RMW87" s="356"/>
      <c r="RMX87" s="356"/>
      <c r="RMY87" s="356"/>
      <c r="RMZ87" s="356"/>
      <c r="RNA87" s="356"/>
      <c r="RNB87" s="356"/>
      <c r="RNC87" s="356"/>
      <c r="RND87" s="356"/>
      <c r="RNE87" s="356"/>
      <c r="RNF87" s="356"/>
      <c r="RNG87" s="356"/>
      <c r="RNH87" s="356"/>
      <c r="RNI87" s="356"/>
      <c r="RNJ87" s="356"/>
      <c r="RNK87" s="356"/>
      <c r="RNL87" s="356"/>
      <c r="RNM87" s="356"/>
      <c r="RNN87" s="356"/>
      <c r="RNO87" s="356"/>
      <c r="RNP87" s="356"/>
      <c r="RNQ87" s="356"/>
      <c r="RNR87" s="356"/>
      <c r="RNS87" s="356"/>
      <c r="RNT87" s="356"/>
      <c r="RNU87" s="356"/>
      <c r="RNV87" s="356"/>
      <c r="RNW87" s="356"/>
      <c r="RNX87" s="356"/>
      <c r="RNY87" s="356"/>
      <c r="RNZ87" s="356"/>
      <c r="ROA87" s="356"/>
      <c r="ROB87" s="356"/>
      <c r="ROC87" s="356"/>
      <c r="ROD87" s="356"/>
      <c r="ROE87" s="356"/>
      <c r="ROF87" s="356"/>
      <c r="ROG87" s="356"/>
      <c r="ROH87" s="356"/>
      <c r="ROI87" s="356"/>
      <c r="ROJ87" s="356"/>
      <c r="ROK87" s="356"/>
      <c r="ROL87" s="356"/>
      <c r="ROM87" s="356"/>
      <c r="RON87" s="356"/>
      <c r="ROO87" s="356"/>
      <c r="ROP87" s="356"/>
      <c r="ROQ87" s="356"/>
      <c r="ROR87" s="356"/>
      <c r="ROS87" s="356"/>
      <c r="ROT87" s="356"/>
      <c r="ROU87" s="356"/>
      <c r="ROV87" s="356"/>
      <c r="ROW87" s="356"/>
      <c r="ROX87" s="356"/>
      <c r="ROY87" s="356"/>
      <c r="ROZ87" s="356"/>
      <c r="RPA87" s="356"/>
      <c r="RPB87" s="356"/>
      <c r="RPC87" s="356"/>
      <c r="RPD87" s="356"/>
      <c r="RPE87" s="356"/>
      <c r="RPF87" s="356"/>
      <c r="RPG87" s="356"/>
      <c r="RPH87" s="356"/>
      <c r="RPI87" s="356"/>
      <c r="RPJ87" s="356"/>
      <c r="RPK87" s="356"/>
      <c r="RPL87" s="356"/>
      <c r="RPM87" s="356"/>
      <c r="RPN87" s="356"/>
      <c r="RPO87" s="356"/>
      <c r="RPP87" s="356"/>
      <c r="RPQ87" s="356"/>
      <c r="RPR87" s="356"/>
      <c r="RPS87" s="356"/>
      <c r="RPT87" s="356"/>
      <c r="RPU87" s="356"/>
      <c r="RPV87" s="356"/>
      <c r="RPW87" s="356"/>
      <c r="RPX87" s="356"/>
      <c r="RPY87" s="356"/>
      <c r="RPZ87" s="356"/>
      <c r="RQA87" s="356"/>
      <c r="RQB87" s="356"/>
      <c r="RQC87" s="356"/>
      <c r="RQD87" s="356"/>
      <c r="RQE87" s="356"/>
      <c r="RQF87" s="356"/>
      <c r="RQG87" s="356"/>
      <c r="RQH87" s="356"/>
      <c r="RQI87" s="356"/>
      <c r="RQJ87" s="356"/>
      <c r="RQK87" s="356"/>
      <c r="RQL87" s="356"/>
      <c r="RQM87" s="356"/>
      <c r="RQN87" s="356"/>
      <c r="RQO87" s="356"/>
      <c r="RQP87" s="356"/>
      <c r="RQQ87" s="356"/>
      <c r="RQR87" s="356"/>
      <c r="RQS87" s="356"/>
      <c r="RQT87" s="356"/>
      <c r="RQU87" s="356"/>
      <c r="RQV87" s="356"/>
      <c r="RQW87" s="356"/>
      <c r="RQX87" s="356"/>
      <c r="RQY87" s="356"/>
      <c r="RQZ87" s="356"/>
      <c r="RRA87" s="356"/>
      <c r="RRB87" s="356"/>
      <c r="RRC87" s="356"/>
      <c r="RRD87" s="356"/>
      <c r="RRE87" s="356"/>
      <c r="RRF87" s="356"/>
      <c r="RRG87" s="356"/>
      <c r="RRH87" s="356"/>
      <c r="RRI87" s="356"/>
      <c r="RRJ87" s="356"/>
      <c r="RRK87" s="356"/>
      <c r="RRL87" s="356"/>
      <c r="RRM87" s="356"/>
      <c r="RRN87" s="356"/>
      <c r="RRO87" s="356"/>
      <c r="RRP87" s="356"/>
      <c r="RRQ87" s="356"/>
      <c r="RRR87" s="356"/>
      <c r="RRS87" s="356"/>
      <c r="RRT87" s="356"/>
      <c r="RRU87" s="356"/>
      <c r="RRV87" s="356"/>
      <c r="RRW87" s="356"/>
      <c r="RRX87" s="356"/>
      <c r="RRY87" s="356"/>
      <c r="RRZ87" s="356"/>
      <c r="RSA87" s="356"/>
      <c r="RSB87" s="356"/>
      <c r="RSC87" s="356"/>
      <c r="RSD87" s="356"/>
      <c r="RSE87" s="356"/>
      <c r="RSF87" s="356"/>
      <c r="RSG87" s="356"/>
      <c r="RSH87" s="356"/>
      <c r="RSI87" s="356"/>
      <c r="RSJ87" s="356"/>
      <c r="RSK87" s="356"/>
      <c r="RSL87" s="356"/>
      <c r="RSM87" s="356"/>
      <c r="RSN87" s="356"/>
      <c r="RSO87" s="356"/>
      <c r="RSP87" s="356"/>
      <c r="RSQ87" s="356"/>
      <c r="RSR87" s="356"/>
      <c r="RSS87" s="356"/>
      <c r="RST87" s="356"/>
      <c r="RSU87" s="356"/>
      <c r="RSV87" s="356"/>
      <c r="RSW87" s="356"/>
      <c r="RSX87" s="356"/>
      <c r="RSY87" s="356"/>
      <c r="RSZ87" s="356"/>
      <c r="RTA87" s="356"/>
      <c r="RTB87" s="356"/>
      <c r="RTC87" s="356"/>
      <c r="RTD87" s="356"/>
      <c r="RTE87" s="356"/>
      <c r="RTF87" s="356"/>
      <c r="RTG87" s="356"/>
      <c r="RTH87" s="356"/>
      <c r="RTI87" s="356"/>
      <c r="RTJ87" s="356"/>
      <c r="RTK87" s="356"/>
      <c r="RTL87" s="356"/>
      <c r="RTM87" s="356"/>
      <c r="RTN87" s="356"/>
      <c r="RTO87" s="356"/>
      <c r="RTP87" s="356"/>
      <c r="RTQ87" s="356"/>
      <c r="RTR87" s="356"/>
      <c r="RTS87" s="356"/>
      <c r="RTT87" s="356"/>
      <c r="RTU87" s="356"/>
      <c r="RTV87" s="356"/>
      <c r="RTW87" s="356"/>
      <c r="RTX87" s="356"/>
      <c r="RTY87" s="356"/>
      <c r="RTZ87" s="356"/>
      <c r="RUA87" s="356"/>
      <c r="RUB87" s="356"/>
      <c r="RUC87" s="356"/>
      <c r="RUD87" s="356"/>
      <c r="RUE87" s="356"/>
      <c r="RUF87" s="356"/>
      <c r="RUG87" s="356"/>
      <c r="RUH87" s="356"/>
      <c r="RUI87" s="356"/>
      <c r="RUJ87" s="356"/>
      <c r="RUK87" s="356"/>
      <c r="RUL87" s="356"/>
      <c r="RUM87" s="356"/>
      <c r="RUN87" s="356"/>
      <c r="RUO87" s="356"/>
      <c r="RUP87" s="356"/>
      <c r="RUQ87" s="356"/>
      <c r="RUR87" s="356"/>
      <c r="RUS87" s="356"/>
      <c r="RUT87" s="356"/>
      <c r="RUU87" s="356"/>
      <c r="RUV87" s="356"/>
      <c r="RUW87" s="356"/>
      <c r="RUX87" s="356"/>
      <c r="RUY87" s="356"/>
      <c r="RUZ87" s="356"/>
      <c r="RVA87" s="356"/>
      <c r="RVB87" s="356"/>
      <c r="RVC87" s="356"/>
      <c r="RVD87" s="356"/>
      <c r="RVE87" s="356"/>
      <c r="RVF87" s="356"/>
      <c r="RVG87" s="356"/>
      <c r="RVH87" s="356"/>
      <c r="RVI87" s="356"/>
      <c r="RVJ87" s="356"/>
      <c r="RVK87" s="356"/>
      <c r="RVL87" s="356"/>
      <c r="RVM87" s="356"/>
      <c r="RVN87" s="356"/>
      <c r="RVO87" s="356"/>
      <c r="RVP87" s="356"/>
      <c r="RVQ87" s="356"/>
      <c r="RVR87" s="356"/>
      <c r="RVS87" s="356"/>
      <c r="RVT87" s="356"/>
      <c r="RVU87" s="356"/>
      <c r="RVV87" s="356"/>
      <c r="RVW87" s="356"/>
      <c r="RVX87" s="356"/>
      <c r="RVY87" s="356"/>
      <c r="RVZ87" s="356"/>
      <c r="RWA87" s="356"/>
      <c r="RWB87" s="356"/>
      <c r="RWC87" s="356"/>
      <c r="RWD87" s="356"/>
      <c r="RWE87" s="356"/>
      <c r="RWF87" s="356"/>
      <c r="RWG87" s="356"/>
      <c r="RWH87" s="356"/>
      <c r="RWI87" s="356"/>
      <c r="RWJ87" s="356"/>
      <c r="RWK87" s="356"/>
      <c r="RWL87" s="356"/>
      <c r="RWM87" s="356"/>
      <c r="RWN87" s="356"/>
      <c r="RWO87" s="356"/>
      <c r="RWP87" s="356"/>
      <c r="RWQ87" s="356"/>
      <c r="RWR87" s="356"/>
      <c r="RWS87" s="356"/>
      <c r="RWT87" s="356"/>
      <c r="RWU87" s="356"/>
      <c r="RWV87" s="356"/>
      <c r="RWW87" s="356"/>
      <c r="RWX87" s="356"/>
      <c r="RWY87" s="356"/>
      <c r="RWZ87" s="356"/>
      <c r="RXA87" s="356"/>
      <c r="RXB87" s="356"/>
      <c r="RXC87" s="356"/>
      <c r="RXD87" s="356"/>
      <c r="RXE87" s="356"/>
      <c r="RXF87" s="356"/>
      <c r="RXG87" s="356"/>
      <c r="RXH87" s="356"/>
      <c r="RXI87" s="356"/>
      <c r="RXJ87" s="356"/>
      <c r="RXK87" s="356"/>
      <c r="RXL87" s="356"/>
      <c r="RXM87" s="356"/>
      <c r="RXN87" s="356"/>
      <c r="RXO87" s="356"/>
      <c r="RXP87" s="356"/>
      <c r="RXQ87" s="356"/>
      <c r="RXR87" s="356"/>
      <c r="RXS87" s="356"/>
      <c r="RXT87" s="356"/>
      <c r="RXU87" s="356"/>
      <c r="RXV87" s="356"/>
      <c r="RXW87" s="356"/>
      <c r="RXX87" s="356"/>
      <c r="RXY87" s="356"/>
      <c r="RXZ87" s="356"/>
      <c r="RYA87" s="356"/>
      <c r="RYB87" s="356"/>
      <c r="RYC87" s="356"/>
      <c r="RYD87" s="356"/>
      <c r="RYE87" s="356"/>
      <c r="RYF87" s="356"/>
      <c r="RYG87" s="356"/>
      <c r="RYH87" s="356"/>
      <c r="RYI87" s="356"/>
      <c r="RYJ87" s="356"/>
      <c r="RYK87" s="356"/>
      <c r="RYL87" s="356"/>
      <c r="RYM87" s="356"/>
      <c r="RYN87" s="356"/>
      <c r="RYO87" s="356"/>
      <c r="RYP87" s="356"/>
      <c r="RYQ87" s="356"/>
      <c r="RYR87" s="356"/>
      <c r="RYS87" s="356"/>
      <c r="RYT87" s="356"/>
      <c r="RYU87" s="356"/>
      <c r="RYV87" s="356"/>
      <c r="RYW87" s="356"/>
      <c r="RYX87" s="356"/>
      <c r="RYY87" s="356"/>
      <c r="RYZ87" s="356"/>
      <c r="RZA87" s="356"/>
      <c r="RZB87" s="356"/>
      <c r="RZC87" s="356"/>
      <c r="RZD87" s="356"/>
      <c r="RZE87" s="356"/>
      <c r="RZF87" s="356"/>
      <c r="RZG87" s="356"/>
      <c r="RZH87" s="356"/>
      <c r="RZI87" s="356"/>
      <c r="RZJ87" s="356"/>
      <c r="RZK87" s="356"/>
      <c r="RZL87" s="356"/>
      <c r="RZM87" s="356"/>
      <c r="RZN87" s="356"/>
      <c r="RZO87" s="356"/>
      <c r="RZP87" s="356"/>
      <c r="RZQ87" s="356"/>
      <c r="RZR87" s="356"/>
      <c r="RZS87" s="356"/>
      <c r="RZT87" s="356"/>
      <c r="RZU87" s="356"/>
      <c r="RZV87" s="356"/>
      <c r="RZW87" s="356"/>
      <c r="RZX87" s="356"/>
      <c r="RZY87" s="356"/>
      <c r="RZZ87" s="356"/>
      <c r="SAA87" s="356"/>
      <c r="SAB87" s="356"/>
      <c r="SAC87" s="356"/>
      <c r="SAD87" s="356"/>
      <c r="SAE87" s="356"/>
      <c r="SAF87" s="356"/>
      <c r="SAG87" s="356"/>
      <c r="SAH87" s="356"/>
      <c r="SAI87" s="356"/>
      <c r="SAJ87" s="356"/>
      <c r="SAK87" s="356"/>
      <c r="SAL87" s="356"/>
      <c r="SAM87" s="356"/>
      <c r="SAN87" s="356"/>
      <c r="SAO87" s="356"/>
      <c r="SAP87" s="356"/>
      <c r="SAQ87" s="356"/>
      <c r="SAR87" s="356"/>
      <c r="SAS87" s="356"/>
      <c r="SAT87" s="356"/>
      <c r="SAU87" s="356"/>
      <c r="SAV87" s="356"/>
      <c r="SAW87" s="356"/>
      <c r="SAX87" s="356"/>
      <c r="SAY87" s="356"/>
      <c r="SAZ87" s="356"/>
      <c r="SBA87" s="356"/>
      <c r="SBB87" s="356"/>
      <c r="SBC87" s="356"/>
      <c r="SBD87" s="356"/>
      <c r="SBE87" s="356"/>
      <c r="SBF87" s="356"/>
      <c r="SBG87" s="356"/>
      <c r="SBH87" s="356"/>
      <c r="SBI87" s="356"/>
      <c r="SBJ87" s="356"/>
      <c r="SBK87" s="356"/>
      <c r="SBL87" s="356"/>
      <c r="SBM87" s="356"/>
      <c r="SBN87" s="356"/>
      <c r="SBO87" s="356"/>
      <c r="SBP87" s="356"/>
      <c r="SBQ87" s="356"/>
      <c r="SBR87" s="356"/>
      <c r="SBS87" s="356"/>
      <c r="SBT87" s="356"/>
      <c r="SBU87" s="356"/>
      <c r="SBV87" s="356"/>
      <c r="SBW87" s="356"/>
      <c r="SBX87" s="356"/>
      <c r="SBY87" s="356"/>
      <c r="SBZ87" s="356"/>
      <c r="SCA87" s="356"/>
      <c r="SCB87" s="356"/>
      <c r="SCC87" s="356"/>
      <c r="SCD87" s="356"/>
      <c r="SCE87" s="356"/>
      <c r="SCF87" s="356"/>
      <c r="SCG87" s="356"/>
      <c r="SCH87" s="356"/>
      <c r="SCI87" s="356"/>
      <c r="SCJ87" s="356"/>
      <c r="SCK87" s="356"/>
      <c r="SCL87" s="356"/>
      <c r="SCM87" s="356"/>
      <c r="SCN87" s="356"/>
      <c r="SCO87" s="356"/>
      <c r="SCP87" s="356"/>
      <c r="SCQ87" s="356"/>
      <c r="SCR87" s="356"/>
      <c r="SCS87" s="356"/>
      <c r="SCT87" s="356"/>
      <c r="SCU87" s="356"/>
      <c r="SCV87" s="356"/>
      <c r="SCW87" s="356"/>
      <c r="SCX87" s="356"/>
      <c r="SCY87" s="356"/>
      <c r="SCZ87" s="356"/>
      <c r="SDA87" s="356"/>
      <c r="SDB87" s="356"/>
      <c r="SDC87" s="356"/>
      <c r="SDD87" s="356"/>
      <c r="SDE87" s="356"/>
      <c r="SDF87" s="356"/>
      <c r="SDG87" s="356"/>
      <c r="SDH87" s="356"/>
      <c r="SDI87" s="356"/>
      <c r="SDJ87" s="356"/>
      <c r="SDK87" s="356"/>
      <c r="SDL87" s="356"/>
      <c r="SDM87" s="356"/>
      <c r="SDN87" s="356"/>
      <c r="SDO87" s="356"/>
      <c r="SDP87" s="356"/>
      <c r="SDQ87" s="356"/>
      <c r="SDR87" s="356"/>
      <c r="SDS87" s="356"/>
      <c r="SDT87" s="356"/>
      <c r="SDU87" s="356"/>
      <c r="SDV87" s="356"/>
      <c r="SDW87" s="356"/>
      <c r="SDX87" s="356"/>
      <c r="SDY87" s="356"/>
      <c r="SDZ87" s="356"/>
      <c r="SEA87" s="356"/>
      <c r="SEB87" s="356"/>
      <c r="SEC87" s="356"/>
      <c r="SED87" s="356"/>
      <c r="SEE87" s="356"/>
      <c r="SEF87" s="356"/>
      <c r="SEG87" s="356"/>
      <c r="SEH87" s="356"/>
      <c r="SEI87" s="356"/>
      <c r="SEJ87" s="356"/>
      <c r="SEK87" s="356"/>
      <c r="SEL87" s="356"/>
      <c r="SEM87" s="356"/>
      <c r="SEN87" s="356"/>
      <c r="SEO87" s="356"/>
      <c r="SEP87" s="356"/>
      <c r="SEQ87" s="356"/>
      <c r="SER87" s="356"/>
      <c r="SES87" s="356"/>
      <c r="SET87" s="356"/>
      <c r="SEU87" s="356"/>
      <c r="SEV87" s="356"/>
      <c r="SEW87" s="356"/>
      <c r="SEX87" s="356"/>
      <c r="SEY87" s="356"/>
      <c r="SEZ87" s="356"/>
      <c r="SFA87" s="356"/>
      <c r="SFB87" s="356"/>
      <c r="SFC87" s="356"/>
      <c r="SFD87" s="356"/>
      <c r="SFE87" s="356"/>
      <c r="SFF87" s="356"/>
      <c r="SFG87" s="356"/>
      <c r="SFH87" s="356"/>
      <c r="SFI87" s="356"/>
      <c r="SFJ87" s="356"/>
      <c r="SFK87" s="356"/>
      <c r="SFL87" s="356"/>
      <c r="SFM87" s="356"/>
      <c r="SFN87" s="356"/>
      <c r="SFO87" s="356"/>
      <c r="SFP87" s="356"/>
      <c r="SFQ87" s="356"/>
      <c r="SFR87" s="356"/>
      <c r="SFS87" s="356"/>
      <c r="SFT87" s="356"/>
      <c r="SFU87" s="356"/>
      <c r="SFV87" s="356"/>
      <c r="SFW87" s="356"/>
      <c r="SFX87" s="356"/>
      <c r="SFY87" s="356"/>
      <c r="SFZ87" s="356"/>
      <c r="SGA87" s="356"/>
      <c r="SGB87" s="356"/>
      <c r="SGC87" s="356"/>
      <c r="SGD87" s="356"/>
      <c r="SGE87" s="356"/>
      <c r="SGF87" s="356"/>
      <c r="SGG87" s="356"/>
      <c r="SGH87" s="356"/>
      <c r="SGI87" s="356"/>
      <c r="SGJ87" s="356"/>
      <c r="SGK87" s="356"/>
      <c r="SGL87" s="356"/>
      <c r="SGM87" s="356"/>
      <c r="SGN87" s="356"/>
      <c r="SGO87" s="356"/>
      <c r="SGP87" s="356"/>
      <c r="SGQ87" s="356"/>
      <c r="SGR87" s="356"/>
      <c r="SGS87" s="356"/>
      <c r="SGT87" s="356"/>
      <c r="SGU87" s="356"/>
      <c r="SGV87" s="356"/>
      <c r="SGW87" s="356"/>
      <c r="SGX87" s="356"/>
      <c r="SGY87" s="356"/>
      <c r="SGZ87" s="356"/>
      <c r="SHA87" s="356"/>
      <c r="SHB87" s="356"/>
      <c r="SHC87" s="356"/>
      <c r="SHD87" s="356"/>
      <c r="SHE87" s="356"/>
      <c r="SHF87" s="356"/>
      <c r="SHG87" s="356"/>
      <c r="SHH87" s="356"/>
      <c r="SHI87" s="356"/>
      <c r="SHJ87" s="356"/>
      <c r="SHK87" s="356"/>
      <c r="SHL87" s="356"/>
      <c r="SHM87" s="356"/>
      <c r="SHN87" s="356"/>
      <c r="SHO87" s="356"/>
      <c r="SHP87" s="356"/>
      <c r="SHQ87" s="356"/>
      <c r="SHR87" s="356"/>
      <c r="SHS87" s="356"/>
      <c r="SHT87" s="356"/>
      <c r="SHU87" s="356"/>
      <c r="SHV87" s="356"/>
      <c r="SHW87" s="356"/>
      <c r="SHX87" s="356"/>
      <c r="SHY87" s="356"/>
      <c r="SHZ87" s="356"/>
      <c r="SIA87" s="356"/>
      <c r="SIB87" s="356"/>
      <c r="SIC87" s="356"/>
      <c r="SID87" s="356"/>
      <c r="SIE87" s="356"/>
      <c r="SIF87" s="356"/>
      <c r="SIG87" s="356"/>
      <c r="SIH87" s="356"/>
      <c r="SII87" s="356"/>
      <c r="SIJ87" s="356"/>
      <c r="SIK87" s="356"/>
      <c r="SIL87" s="356"/>
      <c r="SIM87" s="356"/>
      <c r="SIN87" s="356"/>
      <c r="SIO87" s="356"/>
      <c r="SIP87" s="356"/>
      <c r="SIQ87" s="356"/>
      <c r="SIR87" s="356"/>
      <c r="SIS87" s="356"/>
      <c r="SIT87" s="356"/>
      <c r="SIU87" s="356"/>
      <c r="SIV87" s="356"/>
      <c r="SIW87" s="356"/>
      <c r="SIX87" s="356"/>
      <c r="SIY87" s="356"/>
      <c r="SIZ87" s="356"/>
      <c r="SJA87" s="356"/>
      <c r="SJB87" s="356"/>
      <c r="SJC87" s="356"/>
      <c r="SJD87" s="356"/>
      <c r="SJE87" s="356"/>
      <c r="SJF87" s="356"/>
      <c r="SJG87" s="356"/>
      <c r="SJH87" s="356"/>
      <c r="SJI87" s="356"/>
      <c r="SJJ87" s="356"/>
      <c r="SJK87" s="356"/>
      <c r="SJL87" s="356"/>
      <c r="SJM87" s="356"/>
      <c r="SJN87" s="356"/>
      <c r="SJO87" s="356"/>
      <c r="SJP87" s="356"/>
      <c r="SJQ87" s="356"/>
      <c r="SJR87" s="356"/>
      <c r="SJS87" s="356"/>
      <c r="SJT87" s="356"/>
      <c r="SJU87" s="356"/>
      <c r="SJV87" s="356"/>
      <c r="SJW87" s="356"/>
      <c r="SJX87" s="356"/>
      <c r="SJY87" s="356"/>
      <c r="SJZ87" s="356"/>
      <c r="SKA87" s="356"/>
      <c r="SKB87" s="356"/>
      <c r="SKC87" s="356"/>
      <c r="SKD87" s="356"/>
      <c r="SKE87" s="356"/>
      <c r="SKF87" s="356"/>
      <c r="SKG87" s="356"/>
      <c r="SKH87" s="356"/>
      <c r="SKI87" s="356"/>
      <c r="SKJ87" s="356"/>
      <c r="SKK87" s="356"/>
      <c r="SKL87" s="356"/>
      <c r="SKM87" s="356"/>
      <c r="SKN87" s="356"/>
      <c r="SKO87" s="356"/>
      <c r="SKP87" s="356"/>
      <c r="SKQ87" s="356"/>
      <c r="SKR87" s="356"/>
      <c r="SKS87" s="356"/>
      <c r="SKT87" s="356"/>
      <c r="SKU87" s="356"/>
      <c r="SKV87" s="356"/>
      <c r="SKW87" s="356"/>
      <c r="SKX87" s="356"/>
      <c r="SKY87" s="356"/>
      <c r="SKZ87" s="356"/>
      <c r="SLA87" s="356"/>
      <c r="SLB87" s="356"/>
      <c r="SLC87" s="356"/>
      <c r="SLD87" s="356"/>
      <c r="SLE87" s="356"/>
      <c r="SLF87" s="356"/>
      <c r="SLG87" s="356"/>
      <c r="SLH87" s="356"/>
      <c r="SLI87" s="356"/>
      <c r="SLJ87" s="356"/>
      <c r="SLK87" s="356"/>
      <c r="SLL87" s="356"/>
      <c r="SLM87" s="356"/>
      <c r="SLN87" s="356"/>
      <c r="SLO87" s="356"/>
      <c r="SLP87" s="356"/>
      <c r="SLQ87" s="356"/>
      <c r="SLR87" s="356"/>
      <c r="SLS87" s="356"/>
      <c r="SLT87" s="356"/>
      <c r="SLU87" s="356"/>
      <c r="SLV87" s="356"/>
      <c r="SLW87" s="356"/>
      <c r="SLX87" s="356"/>
      <c r="SLY87" s="356"/>
      <c r="SLZ87" s="356"/>
      <c r="SMA87" s="356"/>
      <c r="SMB87" s="356"/>
      <c r="SMC87" s="356"/>
      <c r="SMD87" s="356"/>
      <c r="SME87" s="356"/>
      <c r="SMF87" s="356"/>
      <c r="SMG87" s="356"/>
      <c r="SMH87" s="356"/>
      <c r="SMI87" s="356"/>
      <c r="SMJ87" s="356"/>
      <c r="SMK87" s="356"/>
      <c r="SML87" s="356"/>
      <c r="SMM87" s="356"/>
      <c r="SMN87" s="356"/>
      <c r="SMO87" s="356"/>
      <c r="SMP87" s="356"/>
      <c r="SMQ87" s="356"/>
      <c r="SMR87" s="356"/>
      <c r="SMS87" s="356"/>
      <c r="SMT87" s="356"/>
      <c r="SMU87" s="356"/>
      <c r="SMV87" s="356"/>
      <c r="SMW87" s="356"/>
      <c r="SMX87" s="356"/>
      <c r="SMY87" s="356"/>
      <c r="SMZ87" s="356"/>
      <c r="SNA87" s="356"/>
      <c r="SNB87" s="356"/>
      <c r="SNC87" s="356"/>
      <c r="SND87" s="356"/>
      <c r="SNE87" s="356"/>
      <c r="SNF87" s="356"/>
      <c r="SNG87" s="356"/>
      <c r="SNH87" s="356"/>
      <c r="SNI87" s="356"/>
      <c r="SNJ87" s="356"/>
      <c r="SNK87" s="356"/>
      <c r="SNL87" s="356"/>
      <c r="SNM87" s="356"/>
      <c r="SNN87" s="356"/>
      <c r="SNO87" s="356"/>
      <c r="SNP87" s="356"/>
      <c r="SNQ87" s="356"/>
      <c r="SNR87" s="356"/>
      <c r="SNS87" s="356"/>
      <c r="SNT87" s="356"/>
      <c r="SNU87" s="356"/>
      <c r="SNV87" s="356"/>
      <c r="SNW87" s="356"/>
      <c r="SNX87" s="356"/>
      <c r="SNY87" s="356"/>
      <c r="SNZ87" s="356"/>
      <c r="SOA87" s="356"/>
      <c r="SOB87" s="356"/>
      <c r="SOC87" s="356"/>
      <c r="SOD87" s="356"/>
      <c r="SOE87" s="356"/>
      <c r="SOF87" s="356"/>
      <c r="SOG87" s="356"/>
      <c r="SOH87" s="356"/>
      <c r="SOI87" s="356"/>
      <c r="SOJ87" s="356"/>
      <c r="SOK87" s="356"/>
      <c r="SOL87" s="356"/>
      <c r="SOM87" s="356"/>
      <c r="SON87" s="356"/>
      <c r="SOO87" s="356"/>
      <c r="SOP87" s="356"/>
      <c r="SOQ87" s="356"/>
      <c r="SOR87" s="356"/>
      <c r="SOS87" s="356"/>
      <c r="SOT87" s="356"/>
      <c r="SOU87" s="356"/>
      <c r="SOV87" s="356"/>
      <c r="SOW87" s="356"/>
      <c r="SOX87" s="356"/>
      <c r="SOY87" s="356"/>
      <c r="SOZ87" s="356"/>
      <c r="SPA87" s="356"/>
      <c r="SPB87" s="356"/>
      <c r="SPC87" s="356"/>
      <c r="SPD87" s="356"/>
      <c r="SPE87" s="356"/>
      <c r="SPF87" s="356"/>
      <c r="SPG87" s="356"/>
      <c r="SPH87" s="356"/>
      <c r="SPI87" s="356"/>
      <c r="SPJ87" s="356"/>
      <c r="SPK87" s="356"/>
      <c r="SPL87" s="356"/>
      <c r="SPM87" s="356"/>
      <c r="SPN87" s="356"/>
      <c r="SPO87" s="356"/>
      <c r="SPP87" s="356"/>
      <c r="SPQ87" s="356"/>
      <c r="SPR87" s="356"/>
      <c r="SPS87" s="356"/>
      <c r="SPT87" s="356"/>
      <c r="SPU87" s="356"/>
      <c r="SPV87" s="356"/>
      <c r="SPW87" s="356"/>
      <c r="SPX87" s="356"/>
      <c r="SPY87" s="356"/>
      <c r="SPZ87" s="356"/>
      <c r="SQA87" s="356"/>
      <c r="SQB87" s="356"/>
      <c r="SQC87" s="356"/>
      <c r="SQD87" s="356"/>
      <c r="SQE87" s="356"/>
      <c r="SQF87" s="356"/>
      <c r="SQG87" s="356"/>
      <c r="SQH87" s="356"/>
      <c r="SQI87" s="356"/>
      <c r="SQJ87" s="356"/>
      <c r="SQK87" s="356"/>
      <c r="SQL87" s="356"/>
      <c r="SQM87" s="356"/>
      <c r="SQN87" s="356"/>
      <c r="SQO87" s="356"/>
      <c r="SQP87" s="356"/>
      <c r="SQQ87" s="356"/>
      <c r="SQR87" s="356"/>
      <c r="SQS87" s="356"/>
      <c r="SQT87" s="356"/>
      <c r="SQU87" s="356"/>
      <c r="SQV87" s="356"/>
      <c r="SQW87" s="356"/>
      <c r="SQX87" s="356"/>
      <c r="SQY87" s="356"/>
      <c r="SQZ87" s="356"/>
      <c r="SRA87" s="356"/>
      <c r="SRB87" s="356"/>
      <c r="SRC87" s="356"/>
      <c r="SRD87" s="356"/>
      <c r="SRE87" s="356"/>
      <c r="SRF87" s="356"/>
      <c r="SRG87" s="356"/>
      <c r="SRH87" s="356"/>
      <c r="SRI87" s="356"/>
      <c r="SRJ87" s="356"/>
      <c r="SRK87" s="356"/>
      <c r="SRL87" s="356"/>
      <c r="SRM87" s="356"/>
      <c r="SRN87" s="356"/>
      <c r="SRO87" s="356"/>
      <c r="SRP87" s="356"/>
      <c r="SRQ87" s="356"/>
      <c r="SRR87" s="356"/>
      <c r="SRS87" s="356"/>
      <c r="SRT87" s="356"/>
      <c r="SRU87" s="356"/>
      <c r="SRV87" s="356"/>
      <c r="SRW87" s="356"/>
      <c r="SRX87" s="356"/>
      <c r="SRY87" s="356"/>
      <c r="SRZ87" s="356"/>
      <c r="SSA87" s="356"/>
      <c r="SSB87" s="356"/>
      <c r="SSC87" s="356"/>
      <c r="SSD87" s="356"/>
      <c r="SSE87" s="356"/>
      <c r="SSF87" s="356"/>
      <c r="SSG87" s="356"/>
      <c r="SSH87" s="356"/>
      <c r="SSI87" s="356"/>
      <c r="SSJ87" s="356"/>
      <c r="SSK87" s="356"/>
      <c r="SSL87" s="356"/>
      <c r="SSM87" s="356"/>
      <c r="SSN87" s="356"/>
      <c r="SSO87" s="356"/>
      <c r="SSP87" s="356"/>
      <c r="SSQ87" s="356"/>
      <c r="SSR87" s="356"/>
      <c r="SSS87" s="356"/>
      <c r="SST87" s="356"/>
      <c r="SSU87" s="356"/>
      <c r="SSV87" s="356"/>
      <c r="SSW87" s="356"/>
      <c r="SSX87" s="356"/>
      <c r="SSY87" s="356"/>
      <c r="SSZ87" s="356"/>
      <c r="STA87" s="356"/>
      <c r="STB87" s="356"/>
      <c r="STC87" s="356"/>
      <c r="STD87" s="356"/>
      <c r="STE87" s="356"/>
      <c r="STF87" s="356"/>
      <c r="STG87" s="356"/>
      <c r="STH87" s="356"/>
      <c r="STI87" s="356"/>
      <c r="STJ87" s="356"/>
      <c r="STK87" s="356"/>
      <c r="STL87" s="356"/>
      <c r="STM87" s="356"/>
      <c r="STN87" s="356"/>
      <c r="STO87" s="356"/>
      <c r="STP87" s="356"/>
      <c r="STQ87" s="356"/>
      <c r="STR87" s="356"/>
      <c r="STS87" s="356"/>
      <c r="STT87" s="356"/>
      <c r="STU87" s="356"/>
      <c r="STV87" s="356"/>
      <c r="STW87" s="356"/>
      <c r="STX87" s="356"/>
      <c r="STY87" s="356"/>
      <c r="STZ87" s="356"/>
      <c r="SUA87" s="356"/>
      <c r="SUB87" s="356"/>
      <c r="SUC87" s="356"/>
      <c r="SUD87" s="356"/>
      <c r="SUE87" s="356"/>
      <c r="SUF87" s="356"/>
      <c r="SUG87" s="356"/>
      <c r="SUH87" s="356"/>
      <c r="SUI87" s="356"/>
      <c r="SUJ87" s="356"/>
      <c r="SUK87" s="356"/>
      <c r="SUL87" s="356"/>
      <c r="SUM87" s="356"/>
      <c r="SUN87" s="356"/>
      <c r="SUO87" s="356"/>
      <c r="SUP87" s="356"/>
      <c r="SUQ87" s="356"/>
      <c r="SUR87" s="356"/>
      <c r="SUS87" s="356"/>
      <c r="SUT87" s="356"/>
      <c r="SUU87" s="356"/>
      <c r="SUV87" s="356"/>
      <c r="SUW87" s="356"/>
      <c r="SUX87" s="356"/>
      <c r="SUY87" s="356"/>
      <c r="SUZ87" s="356"/>
      <c r="SVA87" s="356"/>
      <c r="SVB87" s="356"/>
      <c r="SVC87" s="356"/>
      <c r="SVD87" s="356"/>
      <c r="SVE87" s="356"/>
      <c r="SVF87" s="356"/>
      <c r="SVG87" s="356"/>
      <c r="SVH87" s="356"/>
      <c r="SVI87" s="356"/>
      <c r="SVJ87" s="356"/>
      <c r="SVK87" s="356"/>
      <c r="SVL87" s="356"/>
      <c r="SVM87" s="356"/>
      <c r="SVN87" s="356"/>
      <c r="SVO87" s="356"/>
      <c r="SVP87" s="356"/>
      <c r="SVQ87" s="356"/>
      <c r="SVR87" s="356"/>
      <c r="SVS87" s="356"/>
      <c r="SVT87" s="356"/>
      <c r="SVU87" s="356"/>
      <c r="SVV87" s="356"/>
      <c r="SVW87" s="356"/>
      <c r="SVX87" s="356"/>
      <c r="SVY87" s="356"/>
      <c r="SVZ87" s="356"/>
      <c r="SWA87" s="356"/>
      <c r="SWB87" s="356"/>
      <c r="SWC87" s="356"/>
      <c r="SWD87" s="356"/>
      <c r="SWE87" s="356"/>
      <c r="SWF87" s="356"/>
      <c r="SWG87" s="356"/>
      <c r="SWH87" s="356"/>
      <c r="SWI87" s="356"/>
      <c r="SWJ87" s="356"/>
      <c r="SWK87" s="356"/>
      <c r="SWL87" s="356"/>
      <c r="SWM87" s="356"/>
      <c r="SWN87" s="356"/>
      <c r="SWO87" s="356"/>
      <c r="SWP87" s="356"/>
      <c r="SWQ87" s="356"/>
      <c r="SWR87" s="356"/>
      <c r="SWS87" s="356"/>
      <c r="SWT87" s="356"/>
      <c r="SWU87" s="356"/>
      <c r="SWV87" s="356"/>
      <c r="SWW87" s="356"/>
      <c r="SWX87" s="356"/>
      <c r="SWY87" s="356"/>
      <c r="SWZ87" s="356"/>
      <c r="SXA87" s="356"/>
      <c r="SXB87" s="356"/>
      <c r="SXC87" s="356"/>
      <c r="SXD87" s="356"/>
      <c r="SXE87" s="356"/>
      <c r="SXF87" s="356"/>
      <c r="SXG87" s="356"/>
      <c r="SXH87" s="356"/>
      <c r="SXI87" s="356"/>
      <c r="SXJ87" s="356"/>
      <c r="SXK87" s="356"/>
      <c r="SXL87" s="356"/>
      <c r="SXM87" s="356"/>
      <c r="SXN87" s="356"/>
      <c r="SXO87" s="356"/>
      <c r="SXP87" s="356"/>
      <c r="SXQ87" s="356"/>
      <c r="SXR87" s="356"/>
      <c r="SXS87" s="356"/>
      <c r="SXT87" s="356"/>
      <c r="SXU87" s="356"/>
      <c r="SXV87" s="356"/>
      <c r="SXW87" s="356"/>
      <c r="SXX87" s="356"/>
      <c r="SXY87" s="356"/>
      <c r="SXZ87" s="356"/>
      <c r="SYA87" s="356"/>
      <c r="SYB87" s="356"/>
      <c r="SYC87" s="356"/>
      <c r="SYD87" s="356"/>
      <c r="SYE87" s="356"/>
      <c r="SYF87" s="356"/>
      <c r="SYG87" s="356"/>
      <c r="SYH87" s="356"/>
      <c r="SYI87" s="356"/>
      <c r="SYJ87" s="356"/>
      <c r="SYK87" s="356"/>
      <c r="SYL87" s="356"/>
      <c r="SYM87" s="356"/>
      <c r="SYN87" s="356"/>
      <c r="SYO87" s="356"/>
      <c r="SYP87" s="356"/>
      <c r="SYQ87" s="356"/>
      <c r="SYR87" s="356"/>
      <c r="SYS87" s="356"/>
      <c r="SYT87" s="356"/>
      <c r="SYU87" s="356"/>
      <c r="SYV87" s="356"/>
      <c r="SYW87" s="356"/>
      <c r="SYX87" s="356"/>
      <c r="SYY87" s="356"/>
      <c r="SYZ87" s="356"/>
      <c r="SZA87" s="356"/>
      <c r="SZB87" s="356"/>
      <c r="SZC87" s="356"/>
      <c r="SZD87" s="356"/>
      <c r="SZE87" s="356"/>
      <c r="SZF87" s="356"/>
      <c r="SZG87" s="356"/>
      <c r="SZH87" s="356"/>
      <c r="SZI87" s="356"/>
      <c r="SZJ87" s="356"/>
      <c r="SZK87" s="356"/>
      <c r="SZL87" s="356"/>
      <c r="SZM87" s="356"/>
      <c r="SZN87" s="356"/>
      <c r="SZO87" s="356"/>
      <c r="SZP87" s="356"/>
      <c r="SZQ87" s="356"/>
      <c r="SZR87" s="356"/>
      <c r="SZS87" s="356"/>
      <c r="SZT87" s="356"/>
      <c r="SZU87" s="356"/>
      <c r="SZV87" s="356"/>
      <c r="SZW87" s="356"/>
      <c r="SZX87" s="356"/>
      <c r="SZY87" s="356"/>
      <c r="SZZ87" s="356"/>
      <c r="TAA87" s="356"/>
      <c r="TAB87" s="356"/>
      <c r="TAC87" s="356"/>
      <c r="TAD87" s="356"/>
      <c r="TAE87" s="356"/>
      <c r="TAF87" s="356"/>
      <c r="TAG87" s="356"/>
      <c r="TAH87" s="356"/>
      <c r="TAI87" s="356"/>
      <c r="TAJ87" s="356"/>
      <c r="TAK87" s="356"/>
      <c r="TAL87" s="356"/>
      <c r="TAM87" s="356"/>
      <c r="TAN87" s="356"/>
      <c r="TAO87" s="356"/>
      <c r="TAP87" s="356"/>
      <c r="TAQ87" s="356"/>
      <c r="TAR87" s="356"/>
      <c r="TAS87" s="356"/>
      <c r="TAT87" s="356"/>
      <c r="TAU87" s="356"/>
      <c r="TAV87" s="356"/>
      <c r="TAW87" s="356"/>
      <c r="TAX87" s="356"/>
      <c r="TAY87" s="356"/>
      <c r="TAZ87" s="356"/>
      <c r="TBA87" s="356"/>
      <c r="TBB87" s="356"/>
      <c r="TBC87" s="356"/>
      <c r="TBD87" s="356"/>
      <c r="TBE87" s="356"/>
      <c r="TBF87" s="356"/>
      <c r="TBG87" s="356"/>
      <c r="TBH87" s="356"/>
      <c r="TBI87" s="356"/>
      <c r="TBJ87" s="356"/>
      <c r="TBK87" s="356"/>
      <c r="TBL87" s="356"/>
      <c r="TBM87" s="356"/>
      <c r="TBN87" s="356"/>
      <c r="TBO87" s="356"/>
      <c r="TBP87" s="356"/>
      <c r="TBQ87" s="356"/>
      <c r="TBR87" s="356"/>
      <c r="TBS87" s="356"/>
      <c r="TBT87" s="356"/>
      <c r="TBU87" s="356"/>
      <c r="TBV87" s="356"/>
      <c r="TBW87" s="356"/>
      <c r="TBX87" s="356"/>
      <c r="TBY87" s="356"/>
      <c r="TBZ87" s="356"/>
      <c r="TCA87" s="356"/>
      <c r="TCB87" s="356"/>
      <c r="TCC87" s="356"/>
      <c r="TCD87" s="356"/>
      <c r="TCE87" s="356"/>
      <c r="TCF87" s="356"/>
      <c r="TCG87" s="356"/>
      <c r="TCH87" s="356"/>
      <c r="TCI87" s="356"/>
      <c r="TCJ87" s="356"/>
      <c r="TCK87" s="356"/>
      <c r="TCL87" s="356"/>
      <c r="TCM87" s="356"/>
      <c r="TCN87" s="356"/>
      <c r="TCO87" s="356"/>
      <c r="TCP87" s="356"/>
      <c r="TCQ87" s="356"/>
      <c r="TCR87" s="356"/>
      <c r="TCS87" s="356"/>
      <c r="TCT87" s="356"/>
      <c r="TCU87" s="356"/>
      <c r="TCV87" s="356"/>
      <c r="TCW87" s="356"/>
      <c r="TCX87" s="356"/>
      <c r="TCY87" s="356"/>
      <c r="TCZ87" s="356"/>
      <c r="TDA87" s="356"/>
      <c r="TDB87" s="356"/>
      <c r="TDC87" s="356"/>
      <c r="TDD87" s="356"/>
      <c r="TDE87" s="356"/>
      <c r="TDF87" s="356"/>
      <c r="TDG87" s="356"/>
      <c r="TDH87" s="356"/>
      <c r="TDI87" s="356"/>
      <c r="TDJ87" s="356"/>
      <c r="TDK87" s="356"/>
      <c r="TDL87" s="356"/>
      <c r="TDM87" s="356"/>
      <c r="TDN87" s="356"/>
      <c r="TDO87" s="356"/>
      <c r="TDP87" s="356"/>
      <c r="TDQ87" s="356"/>
      <c r="TDR87" s="356"/>
      <c r="TDS87" s="356"/>
      <c r="TDT87" s="356"/>
      <c r="TDU87" s="356"/>
      <c r="TDV87" s="356"/>
      <c r="TDW87" s="356"/>
      <c r="TDX87" s="356"/>
      <c r="TDY87" s="356"/>
      <c r="TDZ87" s="356"/>
      <c r="TEA87" s="356"/>
      <c r="TEB87" s="356"/>
      <c r="TEC87" s="356"/>
      <c r="TED87" s="356"/>
      <c r="TEE87" s="356"/>
      <c r="TEF87" s="356"/>
      <c r="TEG87" s="356"/>
      <c r="TEH87" s="356"/>
      <c r="TEI87" s="356"/>
      <c r="TEJ87" s="356"/>
      <c r="TEK87" s="356"/>
      <c r="TEL87" s="356"/>
      <c r="TEM87" s="356"/>
      <c r="TEN87" s="356"/>
      <c r="TEO87" s="356"/>
      <c r="TEP87" s="356"/>
      <c r="TEQ87" s="356"/>
      <c r="TER87" s="356"/>
      <c r="TES87" s="356"/>
      <c r="TET87" s="356"/>
      <c r="TEU87" s="356"/>
      <c r="TEV87" s="356"/>
      <c r="TEW87" s="356"/>
      <c r="TEX87" s="356"/>
      <c r="TEY87" s="356"/>
      <c r="TEZ87" s="356"/>
      <c r="TFA87" s="356"/>
      <c r="TFB87" s="356"/>
      <c r="TFC87" s="356"/>
      <c r="TFD87" s="356"/>
      <c r="TFE87" s="356"/>
      <c r="TFF87" s="356"/>
      <c r="TFG87" s="356"/>
      <c r="TFH87" s="356"/>
      <c r="TFI87" s="356"/>
      <c r="TFJ87" s="356"/>
      <c r="TFK87" s="356"/>
      <c r="TFL87" s="356"/>
      <c r="TFM87" s="356"/>
      <c r="TFN87" s="356"/>
      <c r="TFO87" s="356"/>
      <c r="TFP87" s="356"/>
      <c r="TFQ87" s="356"/>
      <c r="TFR87" s="356"/>
      <c r="TFS87" s="356"/>
      <c r="TFT87" s="356"/>
      <c r="TFU87" s="356"/>
      <c r="TFV87" s="356"/>
      <c r="TFW87" s="356"/>
      <c r="TFX87" s="356"/>
      <c r="TFY87" s="356"/>
      <c r="TFZ87" s="356"/>
      <c r="TGA87" s="356"/>
      <c r="TGB87" s="356"/>
      <c r="TGC87" s="356"/>
      <c r="TGD87" s="356"/>
      <c r="TGE87" s="356"/>
      <c r="TGF87" s="356"/>
      <c r="TGG87" s="356"/>
      <c r="TGH87" s="356"/>
      <c r="TGI87" s="356"/>
      <c r="TGJ87" s="356"/>
      <c r="TGK87" s="356"/>
      <c r="TGL87" s="356"/>
      <c r="TGM87" s="356"/>
      <c r="TGN87" s="356"/>
      <c r="TGO87" s="356"/>
      <c r="TGP87" s="356"/>
      <c r="TGQ87" s="356"/>
      <c r="TGR87" s="356"/>
      <c r="TGS87" s="356"/>
      <c r="TGT87" s="356"/>
      <c r="TGU87" s="356"/>
      <c r="TGV87" s="356"/>
      <c r="TGW87" s="356"/>
      <c r="TGX87" s="356"/>
      <c r="TGY87" s="356"/>
      <c r="TGZ87" s="356"/>
      <c r="THA87" s="356"/>
      <c r="THB87" s="356"/>
      <c r="THC87" s="356"/>
      <c r="THD87" s="356"/>
      <c r="THE87" s="356"/>
      <c r="THF87" s="356"/>
      <c r="THG87" s="356"/>
      <c r="THH87" s="356"/>
      <c r="THI87" s="356"/>
      <c r="THJ87" s="356"/>
      <c r="THK87" s="356"/>
      <c r="THL87" s="356"/>
      <c r="THM87" s="356"/>
      <c r="THN87" s="356"/>
      <c r="THO87" s="356"/>
      <c r="THP87" s="356"/>
      <c r="THQ87" s="356"/>
      <c r="THR87" s="356"/>
      <c r="THS87" s="356"/>
      <c r="THT87" s="356"/>
      <c r="THU87" s="356"/>
      <c r="THV87" s="356"/>
      <c r="THW87" s="356"/>
      <c r="THX87" s="356"/>
      <c r="THY87" s="356"/>
      <c r="THZ87" s="356"/>
      <c r="TIA87" s="356"/>
      <c r="TIB87" s="356"/>
      <c r="TIC87" s="356"/>
      <c r="TID87" s="356"/>
      <c r="TIE87" s="356"/>
      <c r="TIF87" s="356"/>
      <c r="TIG87" s="356"/>
      <c r="TIH87" s="356"/>
      <c r="TII87" s="356"/>
      <c r="TIJ87" s="356"/>
      <c r="TIK87" s="356"/>
      <c r="TIL87" s="356"/>
      <c r="TIM87" s="356"/>
      <c r="TIN87" s="356"/>
      <c r="TIO87" s="356"/>
      <c r="TIP87" s="356"/>
      <c r="TIQ87" s="356"/>
      <c r="TIR87" s="356"/>
      <c r="TIS87" s="356"/>
      <c r="TIT87" s="356"/>
      <c r="TIU87" s="356"/>
      <c r="TIV87" s="356"/>
      <c r="TIW87" s="356"/>
      <c r="TIX87" s="356"/>
      <c r="TIY87" s="356"/>
      <c r="TIZ87" s="356"/>
      <c r="TJA87" s="356"/>
      <c r="TJB87" s="356"/>
      <c r="TJC87" s="356"/>
      <c r="TJD87" s="356"/>
      <c r="TJE87" s="356"/>
      <c r="TJF87" s="356"/>
      <c r="TJG87" s="356"/>
      <c r="TJH87" s="356"/>
      <c r="TJI87" s="356"/>
      <c r="TJJ87" s="356"/>
      <c r="TJK87" s="356"/>
      <c r="TJL87" s="356"/>
      <c r="TJM87" s="356"/>
      <c r="TJN87" s="356"/>
      <c r="TJO87" s="356"/>
      <c r="TJP87" s="356"/>
      <c r="TJQ87" s="356"/>
      <c r="TJR87" s="356"/>
      <c r="TJS87" s="356"/>
      <c r="TJT87" s="356"/>
      <c r="TJU87" s="356"/>
      <c r="TJV87" s="356"/>
      <c r="TJW87" s="356"/>
      <c r="TJX87" s="356"/>
      <c r="TJY87" s="356"/>
      <c r="TJZ87" s="356"/>
      <c r="TKA87" s="356"/>
      <c r="TKB87" s="356"/>
      <c r="TKC87" s="356"/>
      <c r="TKD87" s="356"/>
      <c r="TKE87" s="356"/>
      <c r="TKF87" s="356"/>
      <c r="TKG87" s="356"/>
      <c r="TKH87" s="356"/>
      <c r="TKI87" s="356"/>
      <c r="TKJ87" s="356"/>
      <c r="TKK87" s="356"/>
      <c r="TKL87" s="356"/>
      <c r="TKM87" s="356"/>
      <c r="TKN87" s="356"/>
      <c r="TKO87" s="356"/>
      <c r="TKP87" s="356"/>
      <c r="TKQ87" s="356"/>
      <c r="TKR87" s="356"/>
      <c r="TKS87" s="356"/>
      <c r="TKT87" s="356"/>
      <c r="TKU87" s="356"/>
      <c r="TKV87" s="356"/>
      <c r="TKW87" s="356"/>
      <c r="TKX87" s="356"/>
      <c r="TKY87" s="356"/>
      <c r="TKZ87" s="356"/>
      <c r="TLA87" s="356"/>
      <c r="TLB87" s="356"/>
      <c r="TLC87" s="356"/>
      <c r="TLD87" s="356"/>
      <c r="TLE87" s="356"/>
      <c r="TLF87" s="356"/>
      <c r="TLG87" s="356"/>
      <c r="TLH87" s="356"/>
      <c r="TLI87" s="356"/>
      <c r="TLJ87" s="356"/>
      <c r="TLK87" s="356"/>
      <c r="TLL87" s="356"/>
      <c r="TLM87" s="356"/>
      <c r="TLN87" s="356"/>
      <c r="TLO87" s="356"/>
      <c r="TLP87" s="356"/>
      <c r="TLQ87" s="356"/>
      <c r="TLR87" s="356"/>
      <c r="TLS87" s="356"/>
      <c r="TLT87" s="356"/>
      <c r="TLU87" s="356"/>
      <c r="TLV87" s="356"/>
      <c r="TLW87" s="356"/>
      <c r="TLX87" s="356"/>
      <c r="TLY87" s="356"/>
      <c r="TLZ87" s="356"/>
      <c r="TMA87" s="356"/>
      <c r="TMB87" s="356"/>
      <c r="TMC87" s="356"/>
      <c r="TMD87" s="356"/>
      <c r="TME87" s="356"/>
      <c r="TMF87" s="356"/>
      <c r="TMG87" s="356"/>
      <c r="TMH87" s="356"/>
      <c r="TMI87" s="356"/>
      <c r="TMJ87" s="356"/>
      <c r="TMK87" s="356"/>
      <c r="TML87" s="356"/>
      <c r="TMM87" s="356"/>
      <c r="TMN87" s="356"/>
      <c r="TMO87" s="356"/>
      <c r="TMP87" s="356"/>
      <c r="TMQ87" s="356"/>
      <c r="TMR87" s="356"/>
      <c r="TMS87" s="356"/>
      <c r="TMT87" s="356"/>
      <c r="TMU87" s="356"/>
      <c r="TMV87" s="356"/>
      <c r="TMW87" s="356"/>
      <c r="TMX87" s="356"/>
      <c r="TMY87" s="356"/>
      <c r="TMZ87" s="356"/>
      <c r="TNA87" s="356"/>
      <c r="TNB87" s="356"/>
      <c r="TNC87" s="356"/>
      <c r="TND87" s="356"/>
      <c r="TNE87" s="356"/>
      <c r="TNF87" s="356"/>
      <c r="TNG87" s="356"/>
      <c r="TNH87" s="356"/>
      <c r="TNI87" s="356"/>
      <c r="TNJ87" s="356"/>
      <c r="TNK87" s="356"/>
      <c r="TNL87" s="356"/>
      <c r="TNM87" s="356"/>
      <c r="TNN87" s="356"/>
      <c r="TNO87" s="356"/>
      <c r="TNP87" s="356"/>
      <c r="TNQ87" s="356"/>
      <c r="TNR87" s="356"/>
      <c r="TNS87" s="356"/>
      <c r="TNT87" s="356"/>
      <c r="TNU87" s="356"/>
      <c r="TNV87" s="356"/>
      <c r="TNW87" s="356"/>
      <c r="TNX87" s="356"/>
      <c r="TNY87" s="356"/>
      <c r="TNZ87" s="356"/>
      <c r="TOA87" s="356"/>
      <c r="TOB87" s="356"/>
      <c r="TOC87" s="356"/>
      <c r="TOD87" s="356"/>
      <c r="TOE87" s="356"/>
      <c r="TOF87" s="356"/>
      <c r="TOG87" s="356"/>
      <c r="TOH87" s="356"/>
      <c r="TOI87" s="356"/>
      <c r="TOJ87" s="356"/>
      <c r="TOK87" s="356"/>
      <c r="TOL87" s="356"/>
      <c r="TOM87" s="356"/>
      <c r="TON87" s="356"/>
      <c r="TOO87" s="356"/>
      <c r="TOP87" s="356"/>
      <c r="TOQ87" s="356"/>
      <c r="TOR87" s="356"/>
      <c r="TOS87" s="356"/>
      <c r="TOT87" s="356"/>
      <c r="TOU87" s="356"/>
      <c r="TOV87" s="356"/>
      <c r="TOW87" s="356"/>
      <c r="TOX87" s="356"/>
      <c r="TOY87" s="356"/>
      <c r="TOZ87" s="356"/>
      <c r="TPA87" s="356"/>
      <c r="TPB87" s="356"/>
      <c r="TPC87" s="356"/>
      <c r="TPD87" s="356"/>
      <c r="TPE87" s="356"/>
      <c r="TPF87" s="356"/>
      <c r="TPG87" s="356"/>
      <c r="TPH87" s="356"/>
      <c r="TPI87" s="356"/>
      <c r="TPJ87" s="356"/>
      <c r="TPK87" s="356"/>
      <c r="TPL87" s="356"/>
      <c r="TPM87" s="356"/>
      <c r="TPN87" s="356"/>
      <c r="TPO87" s="356"/>
      <c r="TPP87" s="356"/>
      <c r="TPQ87" s="356"/>
      <c r="TPR87" s="356"/>
      <c r="TPS87" s="356"/>
      <c r="TPT87" s="356"/>
      <c r="TPU87" s="356"/>
      <c r="TPV87" s="356"/>
      <c r="TPW87" s="356"/>
      <c r="TPX87" s="356"/>
      <c r="TPY87" s="356"/>
      <c r="TPZ87" s="356"/>
      <c r="TQA87" s="356"/>
      <c r="TQB87" s="356"/>
      <c r="TQC87" s="356"/>
      <c r="TQD87" s="356"/>
      <c r="TQE87" s="356"/>
      <c r="TQF87" s="356"/>
      <c r="TQG87" s="356"/>
      <c r="TQH87" s="356"/>
      <c r="TQI87" s="356"/>
      <c r="TQJ87" s="356"/>
      <c r="TQK87" s="356"/>
      <c r="TQL87" s="356"/>
      <c r="TQM87" s="356"/>
      <c r="TQN87" s="356"/>
      <c r="TQO87" s="356"/>
      <c r="TQP87" s="356"/>
      <c r="TQQ87" s="356"/>
      <c r="TQR87" s="356"/>
      <c r="TQS87" s="356"/>
      <c r="TQT87" s="356"/>
      <c r="TQU87" s="356"/>
      <c r="TQV87" s="356"/>
      <c r="TQW87" s="356"/>
      <c r="TQX87" s="356"/>
      <c r="TQY87" s="356"/>
      <c r="TQZ87" s="356"/>
      <c r="TRA87" s="356"/>
      <c r="TRB87" s="356"/>
      <c r="TRC87" s="356"/>
      <c r="TRD87" s="356"/>
      <c r="TRE87" s="356"/>
      <c r="TRF87" s="356"/>
      <c r="TRG87" s="356"/>
      <c r="TRH87" s="356"/>
      <c r="TRI87" s="356"/>
      <c r="TRJ87" s="356"/>
      <c r="TRK87" s="356"/>
      <c r="TRL87" s="356"/>
      <c r="TRM87" s="356"/>
      <c r="TRN87" s="356"/>
      <c r="TRO87" s="356"/>
      <c r="TRP87" s="356"/>
      <c r="TRQ87" s="356"/>
      <c r="TRR87" s="356"/>
      <c r="TRS87" s="356"/>
      <c r="TRT87" s="356"/>
      <c r="TRU87" s="356"/>
      <c r="TRV87" s="356"/>
      <c r="TRW87" s="356"/>
      <c r="TRX87" s="356"/>
      <c r="TRY87" s="356"/>
      <c r="TRZ87" s="356"/>
      <c r="TSA87" s="356"/>
      <c r="TSB87" s="356"/>
      <c r="TSC87" s="356"/>
      <c r="TSD87" s="356"/>
      <c r="TSE87" s="356"/>
      <c r="TSF87" s="356"/>
      <c r="TSG87" s="356"/>
      <c r="TSH87" s="356"/>
      <c r="TSI87" s="356"/>
      <c r="TSJ87" s="356"/>
      <c r="TSK87" s="356"/>
      <c r="TSL87" s="356"/>
      <c r="TSM87" s="356"/>
      <c r="TSN87" s="356"/>
      <c r="TSO87" s="356"/>
      <c r="TSP87" s="356"/>
      <c r="TSQ87" s="356"/>
      <c r="TSR87" s="356"/>
      <c r="TSS87" s="356"/>
      <c r="TST87" s="356"/>
      <c r="TSU87" s="356"/>
      <c r="TSV87" s="356"/>
      <c r="TSW87" s="356"/>
      <c r="TSX87" s="356"/>
      <c r="TSY87" s="356"/>
      <c r="TSZ87" s="356"/>
      <c r="TTA87" s="356"/>
      <c r="TTB87" s="356"/>
      <c r="TTC87" s="356"/>
      <c r="TTD87" s="356"/>
      <c r="TTE87" s="356"/>
      <c r="TTF87" s="356"/>
      <c r="TTG87" s="356"/>
      <c r="TTH87" s="356"/>
      <c r="TTI87" s="356"/>
      <c r="TTJ87" s="356"/>
      <c r="TTK87" s="356"/>
      <c r="TTL87" s="356"/>
      <c r="TTM87" s="356"/>
      <c r="TTN87" s="356"/>
      <c r="TTO87" s="356"/>
      <c r="TTP87" s="356"/>
      <c r="TTQ87" s="356"/>
      <c r="TTR87" s="356"/>
      <c r="TTS87" s="356"/>
      <c r="TTT87" s="356"/>
      <c r="TTU87" s="356"/>
      <c r="TTV87" s="356"/>
      <c r="TTW87" s="356"/>
      <c r="TTX87" s="356"/>
      <c r="TTY87" s="356"/>
      <c r="TTZ87" s="356"/>
      <c r="TUA87" s="356"/>
      <c r="TUB87" s="356"/>
      <c r="TUC87" s="356"/>
      <c r="TUD87" s="356"/>
      <c r="TUE87" s="356"/>
      <c r="TUF87" s="356"/>
      <c r="TUG87" s="356"/>
      <c r="TUH87" s="356"/>
      <c r="TUI87" s="356"/>
      <c r="TUJ87" s="356"/>
      <c r="TUK87" s="356"/>
      <c r="TUL87" s="356"/>
      <c r="TUM87" s="356"/>
      <c r="TUN87" s="356"/>
      <c r="TUO87" s="356"/>
      <c r="TUP87" s="356"/>
      <c r="TUQ87" s="356"/>
      <c r="TUR87" s="356"/>
      <c r="TUS87" s="356"/>
      <c r="TUT87" s="356"/>
      <c r="TUU87" s="356"/>
      <c r="TUV87" s="356"/>
      <c r="TUW87" s="356"/>
      <c r="TUX87" s="356"/>
      <c r="TUY87" s="356"/>
      <c r="TUZ87" s="356"/>
      <c r="TVA87" s="356"/>
      <c r="TVB87" s="356"/>
      <c r="TVC87" s="356"/>
      <c r="TVD87" s="356"/>
      <c r="TVE87" s="356"/>
      <c r="TVF87" s="356"/>
      <c r="TVG87" s="356"/>
      <c r="TVH87" s="356"/>
      <c r="TVI87" s="356"/>
      <c r="TVJ87" s="356"/>
      <c r="TVK87" s="356"/>
      <c r="TVL87" s="356"/>
      <c r="TVM87" s="356"/>
      <c r="TVN87" s="356"/>
      <c r="TVO87" s="356"/>
      <c r="TVP87" s="356"/>
      <c r="TVQ87" s="356"/>
      <c r="TVR87" s="356"/>
      <c r="TVS87" s="356"/>
      <c r="TVT87" s="356"/>
      <c r="TVU87" s="356"/>
      <c r="TVV87" s="356"/>
      <c r="TVW87" s="356"/>
      <c r="TVX87" s="356"/>
      <c r="TVY87" s="356"/>
      <c r="TVZ87" s="356"/>
      <c r="TWA87" s="356"/>
      <c r="TWB87" s="356"/>
      <c r="TWC87" s="356"/>
      <c r="TWD87" s="356"/>
      <c r="TWE87" s="356"/>
      <c r="TWF87" s="356"/>
      <c r="TWG87" s="356"/>
      <c r="TWH87" s="356"/>
      <c r="TWI87" s="356"/>
      <c r="TWJ87" s="356"/>
      <c r="TWK87" s="356"/>
      <c r="TWL87" s="356"/>
      <c r="TWM87" s="356"/>
      <c r="TWN87" s="356"/>
      <c r="TWO87" s="356"/>
      <c r="TWP87" s="356"/>
      <c r="TWQ87" s="356"/>
      <c r="TWR87" s="356"/>
      <c r="TWS87" s="356"/>
      <c r="TWT87" s="356"/>
      <c r="TWU87" s="356"/>
      <c r="TWV87" s="356"/>
      <c r="TWW87" s="356"/>
      <c r="TWX87" s="356"/>
      <c r="TWY87" s="356"/>
      <c r="TWZ87" s="356"/>
      <c r="TXA87" s="356"/>
      <c r="TXB87" s="356"/>
      <c r="TXC87" s="356"/>
      <c r="TXD87" s="356"/>
      <c r="TXE87" s="356"/>
      <c r="TXF87" s="356"/>
      <c r="TXG87" s="356"/>
      <c r="TXH87" s="356"/>
      <c r="TXI87" s="356"/>
      <c r="TXJ87" s="356"/>
      <c r="TXK87" s="356"/>
      <c r="TXL87" s="356"/>
      <c r="TXM87" s="356"/>
      <c r="TXN87" s="356"/>
      <c r="TXO87" s="356"/>
      <c r="TXP87" s="356"/>
      <c r="TXQ87" s="356"/>
      <c r="TXR87" s="356"/>
      <c r="TXS87" s="356"/>
      <c r="TXT87" s="356"/>
      <c r="TXU87" s="356"/>
      <c r="TXV87" s="356"/>
      <c r="TXW87" s="356"/>
      <c r="TXX87" s="356"/>
      <c r="TXY87" s="356"/>
      <c r="TXZ87" s="356"/>
      <c r="TYA87" s="356"/>
      <c r="TYB87" s="356"/>
      <c r="TYC87" s="356"/>
      <c r="TYD87" s="356"/>
      <c r="TYE87" s="356"/>
      <c r="TYF87" s="356"/>
      <c r="TYG87" s="356"/>
      <c r="TYH87" s="356"/>
      <c r="TYI87" s="356"/>
      <c r="TYJ87" s="356"/>
      <c r="TYK87" s="356"/>
      <c r="TYL87" s="356"/>
      <c r="TYM87" s="356"/>
      <c r="TYN87" s="356"/>
      <c r="TYO87" s="356"/>
      <c r="TYP87" s="356"/>
      <c r="TYQ87" s="356"/>
      <c r="TYR87" s="356"/>
      <c r="TYS87" s="356"/>
      <c r="TYT87" s="356"/>
      <c r="TYU87" s="356"/>
      <c r="TYV87" s="356"/>
      <c r="TYW87" s="356"/>
      <c r="TYX87" s="356"/>
      <c r="TYY87" s="356"/>
      <c r="TYZ87" s="356"/>
      <c r="TZA87" s="356"/>
      <c r="TZB87" s="356"/>
      <c r="TZC87" s="356"/>
      <c r="TZD87" s="356"/>
      <c r="TZE87" s="356"/>
      <c r="TZF87" s="356"/>
      <c r="TZG87" s="356"/>
      <c r="TZH87" s="356"/>
      <c r="TZI87" s="356"/>
      <c r="TZJ87" s="356"/>
      <c r="TZK87" s="356"/>
      <c r="TZL87" s="356"/>
      <c r="TZM87" s="356"/>
      <c r="TZN87" s="356"/>
      <c r="TZO87" s="356"/>
      <c r="TZP87" s="356"/>
      <c r="TZQ87" s="356"/>
      <c r="TZR87" s="356"/>
      <c r="TZS87" s="356"/>
      <c r="TZT87" s="356"/>
      <c r="TZU87" s="356"/>
      <c r="TZV87" s="356"/>
      <c r="TZW87" s="356"/>
      <c r="TZX87" s="356"/>
      <c r="TZY87" s="356"/>
      <c r="TZZ87" s="356"/>
      <c r="UAA87" s="356"/>
      <c r="UAB87" s="356"/>
      <c r="UAC87" s="356"/>
      <c r="UAD87" s="356"/>
      <c r="UAE87" s="356"/>
      <c r="UAF87" s="356"/>
      <c r="UAG87" s="356"/>
      <c r="UAH87" s="356"/>
      <c r="UAI87" s="356"/>
      <c r="UAJ87" s="356"/>
      <c r="UAK87" s="356"/>
      <c r="UAL87" s="356"/>
      <c r="UAM87" s="356"/>
      <c r="UAN87" s="356"/>
      <c r="UAO87" s="356"/>
      <c r="UAP87" s="356"/>
      <c r="UAQ87" s="356"/>
      <c r="UAR87" s="356"/>
      <c r="UAS87" s="356"/>
      <c r="UAT87" s="356"/>
      <c r="UAU87" s="356"/>
      <c r="UAV87" s="356"/>
      <c r="UAW87" s="356"/>
      <c r="UAX87" s="356"/>
      <c r="UAY87" s="356"/>
      <c r="UAZ87" s="356"/>
      <c r="UBA87" s="356"/>
      <c r="UBB87" s="356"/>
      <c r="UBC87" s="356"/>
      <c r="UBD87" s="356"/>
      <c r="UBE87" s="356"/>
      <c r="UBF87" s="356"/>
      <c r="UBG87" s="356"/>
      <c r="UBH87" s="356"/>
      <c r="UBI87" s="356"/>
      <c r="UBJ87" s="356"/>
      <c r="UBK87" s="356"/>
      <c r="UBL87" s="356"/>
      <c r="UBM87" s="356"/>
      <c r="UBN87" s="356"/>
      <c r="UBO87" s="356"/>
      <c r="UBP87" s="356"/>
      <c r="UBQ87" s="356"/>
      <c r="UBR87" s="356"/>
      <c r="UBS87" s="356"/>
      <c r="UBT87" s="356"/>
      <c r="UBU87" s="356"/>
      <c r="UBV87" s="356"/>
      <c r="UBW87" s="356"/>
      <c r="UBX87" s="356"/>
      <c r="UBY87" s="356"/>
      <c r="UBZ87" s="356"/>
      <c r="UCA87" s="356"/>
      <c r="UCB87" s="356"/>
      <c r="UCC87" s="356"/>
      <c r="UCD87" s="356"/>
      <c r="UCE87" s="356"/>
      <c r="UCF87" s="356"/>
      <c r="UCG87" s="356"/>
      <c r="UCH87" s="356"/>
      <c r="UCI87" s="356"/>
      <c r="UCJ87" s="356"/>
      <c r="UCK87" s="356"/>
      <c r="UCL87" s="356"/>
      <c r="UCM87" s="356"/>
      <c r="UCN87" s="356"/>
      <c r="UCO87" s="356"/>
      <c r="UCP87" s="356"/>
      <c r="UCQ87" s="356"/>
      <c r="UCR87" s="356"/>
      <c r="UCS87" s="356"/>
      <c r="UCT87" s="356"/>
      <c r="UCU87" s="356"/>
      <c r="UCV87" s="356"/>
      <c r="UCW87" s="356"/>
      <c r="UCX87" s="356"/>
      <c r="UCY87" s="356"/>
      <c r="UCZ87" s="356"/>
      <c r="UDA87" s="356"/>
      <c r="UDB87" s="356"/>
      <c r="UDC87" s="356"/>
      <c r="UDD87" s="356"/>
      <c r="UDE87" s="356"/>
      <c r="UDF87" s="356"/>
      <c r="UDG87" s="356"/>
      <c r="UDH87" s="356"/>
      <c r="UDI87" s="356"/>
      <c r="UDJ87" s="356"/>
      <c r="UDK87" s="356"/>
      <c r="UDL87" s="356"/>
      <c r="UDM87" s="356"/>
      <c r="UDN87" s="356"/>
      <c r="UDO87" s="356"/>
      <c r="UDP87" s="356"/>
      <c r="UDQ87" s="356"/>
      <c r="UDR87" s="356"/>
      <c r="UDS87" s="356"/>
      <c r="UDT87" s="356"/>
      <c r="UDU87" s="356"/>
      <c r="UDV87" s="356"/>
      <c r="UDW87" s="356"/>
      <c r="UDX87" s="356"/>
      <c r="UDY87" s="356"/>
      <c r="UDZ87" s="356"/>
      <c r="UEA87" s="356"/>
      <c r="UEB87" s="356"/>
      <c r="UEC87" s="356"/>
      <c r="UED87" s="356"/>
      <c r="UEE87" s="356"/>
      <c r="UEF87" s="356"/>
      <c r="UEG87" s="356"/>
      <c r="UEH87" s="356"/>
      <c r="UEI87" s="356"/>
      <c r="UEJ87" s="356"/>
      <c r="UEK87" s="356"/>
      <c r="UEL87" s="356"/>
      <c r="UEM87" s="356"/>
      <c r="UEN87" s="356"/>
      <c r="UEO87" s="356"/>
      <c r="UEP87" s="356"/>
      <c r="UEQ87" s="356"/>
      <c r="UER87" s="356"/>
      <c r="UES87" s="356"/>
      <c r="UET87" s="356"/>
      <c r="UEU87" s="356"/>
      <c r="UEV87" s="356"/>
      <c r="UEW87" s="356"/>
      <c r="UEX87" s="356"/>
      <c r="UEY87" s="356"/>
      <c r="UEZ87" s="356"/>
      <c r="UFA87" s="356"/>
      <c r="UFB87" s="356"/>
      <c r="UFC87" s="356"/>
      <c r="UFD87" s="356"/>
      <c r="UFE87" s="356"/>
      <c r="UFF87" s="356"/>
      <c r="UFG87" s="356"/>
      <c r="UFH87" s="356"/>
      <c r="UFI87" s="356"/>
      <c r="UFJ87" s="356"/>
      <c r="UFK87" s="356"/>
      <c r="UFL87" s="356"/>
      <c r="UFM87" s="356"/>
      <c r="UFN87" s="356"/>
      <c r="UFO87" s="356"/>
      <c r="UFP87" s="356"/>
      <c r="UFQ87" s="356"/>
      <c r="UFR87" s="356"/>
      <c r="UFS87" s="356"/>
      <c r="UFT87" s="356"/>
      <c r="UFU87" s="356"/>
      <c r="UFV87" s="356"/>
      <c r="UFW87" s="356"/>
      <c r="UFX87" s="356"/>
      <c r="UFY87" s="356"/>
      <c r="UFZ87" s="356"/>
      <c r="UGA87" s="356"/>
      <c r="UGB87" s="356"/>
      <c r="UGC87" s="356"/>
      <c r="UGD87" s="356"/>
      <c r="UGE87" s="356"/>
      <c r="UGF87" s="356"/>
      <c r="UGG87" s="356"/>
      <c r="UGH87" s="356"/>
      <c r="UGI87" s="356"/>
      <c r="UGJ87" s="356"/>
      <c r="UGK87" s="356"/>
      <c r="UGL87" s="356"/>
      <c r="UGM87" s="356"/>
      <c r="UGN87" s="356"/>
      <c r="UGO87" s="356"/>
      <c r="UGP87" s="356"/>
      <c r="UGQ87" s="356"/>
      <c r="UGR87" s="356"/>
      <c r="UGS87" s="356"/>
      <c r="UGT87" s="356"/>
      <c r="UGU87" s="356"/>
      <c r="UGV87" s="356"/>
      <c r="UGW87" s="356"/>
      <c r="UGX87" s="356"/>
      <c r="UGY87" s="356"/>
      <c r="UGZ87" s="356"/>
      <c r="UHA87" s="356"/>
      <c r="UHB87" s="356"/>
      <c r="UHC87" s="356"/>
      <c r="UHD87" s="356"/>
      <c r="UHE87" s="356"/>
      <c r="UHF87" s="356"/>
      <c r="UHG87" s="356"/>
      <c r="UHH87" s="356"/>
      <c r="UHI87" s="356"/>
      <c r="UHJ87" s="356"/>
      <c r="UHK87" s="356"/>
      <c r="UHL87" s="356"/>
      <c r="UHM87" s="356"/>
      <c r="UHN87" s="356"/>
      <c r="UHO87" s="356"/>
      <c r="UHP87" s="356"/>
      <c r="UHQ87" s="356"/>
      <c r="UHR87" s="356"/>
      <c r="UHS87" s="356"/>
      <c r="UHT87" s="356"/>
      <c r="UHU87" s="356"/>
      <c r="UHV87" s="356"/>
      <c r="UHW87" s="356"/>
      <c r="UHX87" s="356"/>
      <c r="UHY87" s="356"/>
      <c r="UHZ87" s="356"/>
      <c r="UIA87" s="356"/>
      <c r="UIB87" s="356"/>
      <c r="UIC87" s="356"/>
      <c r="UID87" s="356"/>
      <c r="UIE87" s="356"/>
      <c r="UIF87" s="356"/>
      <c r="UIG87" s="356"/>
      <c r="UIH87" s="356"/>
      <c r="UII87" s="356"/>
      <c r="UIJ87" s="356"/>
      <c r="UIK87" s="356"/>
      <c r="UIL87" s="356"/>
      <c r="UIM87" s="356"/>
      <c r="UIN87" s="356"/>
      <c r="UIO87" s="356"/>
      <c r="UIP87" s="356"/>
      <c r="UIQ87" s="356"/>
      <c r="UIR87" s="356"/>
      <c r="UIS87" s="356"/>
      <c r="UIT87" s="356"/>
      <c r="UIU87" s="356"/>
      <c r="UIV87" s="356"/>
      <c r="UIW87" s="356"/>
      <c r="UIX87" s="356"/>
      <c r="UIY87" s="356"/>
      <c r="UIZ87" s="356"/>
      <c r="UJA87" s="356"/>
      <c r="UJB87" s="356"/>
      <c r="UJC87" s="356"/>
      <c r="UJD87" s="356"/>
      <c r="UJE87" s="356"/>
      <c r="UJF87" s="356"/>
      <c r="UJG87" s="356"/>
      <c r="UJH87" s="356"/>
      <c r="UJI87" s="356"/>
      <c r="UJJ87" s="356"/>
      <c r="UJK87" s="356"/>
      <c r="UJL87" s="356"/>
      <c r="UJM87" s="356"/>
      <c r="UJN87" s="356"/>
      <c r="UJO87" s="356"/>
      <c r="UJP87" s="356"/>
      <c r="UJQ87" s="356"/>
      <c r="UJR87" s="356"/>
      <c r="UJS87" s="356"/>
      <c r="UJT87" s="356"/>
      <c r="UJU87" s="356"/>
      <c r="UJV87" s="356"/>
      <c r="UJW87" s="356"/>
      <c r="UJX87" s="356"/>
      <c r="UJY87" s="356"/>
      <c r="UJZ87" s="356"/>
      <c r="UKA87" s="356"/>
      <c r="UKB87" s="356"/>
      <c r="UKC87" s="356"/>
      <c r="UKD87" s="356"/>
      <c r="UKE87" s="356"/>
      <c r="UKF87" s="356"/>
      <c r="UKG87" s="356"/>
      <c r="UKH87" s="356"/>
      <c r="UKI87" s="356"/>
      <c r="UKJ87" s="356"/>
      <c r="UKK87" s="356"/>
      <c r="UKL87" s="356"/>
      <c r="UKM87" s="356"/>
      <c r="UKN87" s="356"/>
      <c r="UKO87" s="356"/>
      <c r="UKP87" s="356"/>
      <c r="UKQ87" s="356"/>
      <c r="UKR87" s="356"/>
      <c r="UKS87" s="356"/>
      <c r="UKT87" s="356"/>
      <c r="UKU87" s="356"/>
      <c r="UKV87" s="356"/>
      <c r="UKW87" s="356"/>
      <c r="UKX87" s="356"/>
      <c r="UKY87" s="356"/>
      <c r="UKZ87" s="356"/>
      <c r="ULA87" s="356"/>
      <c r="ULB87" s="356"/>
      <c r="ULC87" s="356"/>
      <c r="ULD87" s="356"/>
      <c r="ULE87" s="356"/>
      <c r="ULF87" s="356"/>
      <c r="ULG87" s="356"/>
      <c r="ULH87" s="356"/>
      <c r="ULI87" s="356"/>
      <c r="ULJ87" s="356"/>
      <c r="ULK87" s="356"/>
      <c r="ULL87" s="356"/>
      <c r="ULM87" s="356"/>
      <c r="ULN87" s="356"/>
      <c r="ULO87" s="356"/>
      <c r="ULP87" s="356"/>
      <c r="ULQ87" s="356"/>
      <c r="ULR87" s="356"/>
      <c r="ULS87" s="356"/>
      <c r="ULT87" s="356"/>
      <c r="ULU87" s="356"/>
      <c r="ULV87" s="356"/>
      <c r="ULW87" s="356"/>
      <c r="ULX87" s="356"/>
      <c r="ULY87" s="356"/>
      <c r="ULZ87" s="356"/>
      <c r="UMA87" s="356"/>
      <c r="UMB87" s="356"/>
      <c r="UMC87" s="356"/>
      <c r="UMD87" s="356"/>
      <c r="UME87" s="356"/>
      <c r="UMF87" s="356"/>
      <c r="UMG87" s="356"/>
      <c r="UMH87" s="356"/>
      <c r="UMI87" s="356"/>
      <c r="UMJ87" s="356"/>
      <c r="UMK87" s="356"/>
      <c r="UML87" s="356"/>
      <c r="UMM87" s="356"/>
      <c r="UMN87" s="356"/>
      <c r="UMO87" s="356"/>
      <c r="UMP87" s="356"/>
      <c r="UMQ87" s="356"/>
      <c r="UMR87" s="356"/>
      <c r="UMS87" s="356"/>
      <c r="UMT87" s="356"/>
      <c r="UMU87" s="356"/>
      <c r="UMV87" s="356"/>
      <c r="UMW87" s="356"/>
      <c r="UMX87" s="356"/>
      <c r="UMY87" s="356"/>
      <c r="UMZ87" s="356"/>
      <c r="UNA87" s="356"/>
      <c r="UNB87" s="356"/>
      <c r="UNC87" s="356"/>
      <c r="UND87" s="356"/>
      <c r="UNE87" s="356"/>
      <c r="UNF87" s="356"/>
      <c r="UNG87" s="356"/>
      <c r="UNH87" s="356"/>
      <c r="UNI87" s="356"/>
      <c r="UNJ87" s="356"/>
      <c r="UNK87" s="356"/>
      <c r="UNL87" s="356"/>
      <c r="UNM87" s="356"/>
      <c r="UNN87" s="356"/>
      <c r="UNO87" s="356"/>
      <c r="UNP87" s="356"/>
      <c r="UNQ87" s="356"/>
      <c r="UNR87" s="356"/>
      <c r="UNS87" s="356"/>
      <c r="UNT87" s="356"/>
      <c r="UNU87" s="356"/>
      <c r="UNV87" s="356"/>
      <c r="UNW87" s="356"/>
      <c r="UNX87" s="356"/>
      <c r="UNY87" s="356"/>
      <c r="UNZ87" s="356"/>
      <c r="UOA87" s="356"/>
      <c r="UOB87" s="356"/>
      <c r="UOC87" s="356"/>
      <c r="UOD87" s="356"/>
      <c r="UOE87" s="356"/>
      <c r="UOF87" s="356"/>
      <c r="UOG87" s="356"/>
      <c r="UOH87" s="356"/>
      <c r="UOI87" s="356"/>
      <c r="UOJ87" s="356"/>
      <c r="UOK87" s="356"/>
      <c r="UOL87" s="356"/>
      <c r="UOM87" s="356"/>
      <c r="UON87" s="356"/>
      <c r="UOO87" s="356"/>
      <c r="UOP87" s="356"/>
      <c r="UOQ87" s="356"/>
      <c r="UOR87" s="356"/>
      <c r="UOS87" s="356"/>
      <c r="UOT87" s="356"/>
      <c r="UOU87" s="356"/>
      <c r="UOV87" s="356"/>
      <c r="UOW87" s="356"/>
      <c r="UOX87" s="356"/>
      <c r="UOY87" s="356"/>
      <c r="UOZ87" s="356"/>
      <c r="UPA87" s="356"/>
      <c r="UPB87" s="356"/>
      <c r="UPC87" s="356"/>
      <c r="UPD87" s="356"/>
      <c r="UPE87" s="356"/>
      <c r="UPF87" s="356"/>
      <c r="UPG87" s="356"/>
      <c r="UPH87" s="356"/>
      <c r="UPI87" s="356"/>
      <c r="UPJ87" s="356"/>
      <c r="UPK87" s="356"/>
      <c r="UPL87" s="356"/>
      <c r="UPM87" s="356"/>
      <c r="UPN87" s="356"/>
      <c r="UPO87" s="356"/>
      <c r="UPP87" s="356"/>
      <c r="UPQ87" s="356"/>
      <c r="UPR87" s="356"/>
      <c r="UPS87" s="356"/>
      <c r="UPT87" s="356"/>
      <c r="UPU87" s="356"/>
      <c r="UPV87" s="356"/>
      <c r="UPW87" s="356"/>
      <c r="UPX87" s="356"/>
      <c r="UPY87" s="356"/>
      <c r="UPZ87" s="356"/>
      <c r="UQA87" s="356"/>
      <c r="UQB87" s="356"/>
      <c r="UQC87" s="356"/>
      <c r="UQD87" s="356"/>
      <c r="UQE87" s="356"/>
      <c r="UQF87" s="356"/>
      <c r="UQG87" s="356"/>
      <c r="UQH87" s="356"/>
      <c r="UQI87" s="356"/>
      <c r="UQJ87" s="356"/>
      <c r="UQK87" s="356"/>
      <c r="UQL87" s="356"/>
      <c r="UQM87" s="356"/>
      <c r="UQN87" s="356"/>
      <c r="UQO87" s="356"/>
      <c r="UQP87" s="356"/>
      <c r="UQQ87" s="356"/>
      <c r="UQR87" s="356"/>
      <c r="UQS87" s="356"/>
      <c r="UQT87" s="356"/>
      <c r="UQU87" s="356"/>
      <c r="UQV87" s="356"/>
      <c r="UQW87" s="356"/>
      <c r="UQX87" s="356"/>
      <c r="UQY87" s="356"/>
      <c r="UQZ87" s="356"/>
      <c r="URA87" s="356"/>
      <c r="URB87" s="356"/>
      <c r="URC87" s="356"/>
      <c r="URD87" s="356"/>
      <c r="URE87" s="356"/>
      <c r="URF87" s="356"/>
      <c r="URG87" s="356"/>
      <c r="URH87" s="356"/>
      <c r="URI87" s="356"/>
      <c r="URJ87" s="356"/>
      <c r="URK87" s="356"/>
      <c r="URL87" s="356"/>
      <c r="URM87" s="356"/>
      <c r="URN87" s="356"/>
      <c r="URO87" s="356"/>
      <c r="URP87" s="356"/>
      <c r="URQ87" s="356"/>
      <c r="URR87" s="356"/>
      <c r="URS87" s="356"/>
      <c r="URT87" s="356"/>
      <c r="URU87" s="356"/>
      <c r="URV87" s="356"/>
      <c r="URW87" s="356"/>
      <c r="URX87" s="356"/>
      <c r="URY87" s="356"/>
      <c r="URZ87" s="356"/>
      <c r="USA87" s="356"/>
      <c r="USB87" s="356"/>
      <c r="USC87" s="356"/>
      <c r="USD87" s="356"/>
      <c r="USE87" s="356"/>
      <c r="USF87" s="356"/>
      <c r="USG87" s="356"/>
      <c r="USH87" s="356"/>
      <c r="USI87" s="356"/>
      <c r="USJ87" s="356"/>
      <c r="USK87" s="356"/>
      <c r="USL87" s="356"/>
      <c r="USM87" s="356"/>
      <c r="USN87" s="356"/>
      <c r="USO87" s="356"/>
      <c r="USP87" s="356"/>
      <c r="USQ87" s="356"/>
      <c r="USR87" s="356"/>
      <c r="USS87" s="356"/>
      <c r="UST87" s="356"/>
      <c r="USU87" s="356"/>
      <c r="USV87" s="356"/>
      <c r="USW87" s="356"/>
      <c r="USX87" s="356"/>
      <c r="USY87" s="356"/>
      <c r="USZ87" s="356"/>
      <c r="UTA87" s="356"/>
      <c r="UTB87" s="356"/>
      <c r="UTC87" s="356"/>
      <c r="UTD87" s="356"/>
      <c r="UTE87" s="356"/>
      <c r="UTF87" s="356"/>
      <c r="UTG87" s="356"/>
      <c r="UTH87" s="356"/>
      <c r="UTI87" s="356"/>
      <c r="UTJ87" s="356"/>
      <c r="UTK87" s="356"/>
      <c r="UTL87" s="356"/>
      <c r="UTM87" s="356"/>
      <c r="UTN87" s="356"/>
      <c r="UTO87" s="356"/>
      <c r="UTP87" s="356"/>
      <c r="UTQ87" s="356"/>
      <c r="UTR87" s="356"/>
      <c r="UTS87" s="356"/>
      <c r="UTT87" s="356"/>
      <c r="UTU87" s="356"/>
      <c r="UTV87" s="356"/>
      <c r="UTW87" s="356"/>
      <c r="UTX87" s="356"/>
      <c r="UTY87" s="356"/>
      <c r="UTZ87" s="356"/>
      <c r="UUA87" s="356"/>
      <c r="UUB87" s="356"/>
      <c r="UUC87" s="356"/>
      <c r="UUD87" s="356"/>
      <c r="UUE87" s="356"/>
      <c r="UUF87" s="356"/>
      <c r="UUG87" s="356"/>
      <c r="UUH87" s="356"/>
      <c r="UUI87" s="356"/>
      <c r="UUJ87" s="356"/>
      <c r="UUK87" s="356"/>
      <c r="UUL87" s="356"/>
      <c r="UUM87" s="356"/>
      <c r="UUN87" s="356"/>
      <c r="UUO87" s="356"/>
      <c r="UUP87" s="356"/>
      <c r="UUQ87" s="356"/>
      <c r="UUR87" s="356"/>
      <c r="UUS87" s="356"/>
      <c r="UUT87" s="356"/>
      <c r="UUU87" s="356"/>
      <c r="UUV87" s="356"/>
      <c r="UUW87" s="356"/>
      <c r="UUX87" s="356"/>
      <c r="UUY87" s="356"/>
      <c r="UUZ87" s="356"/>
      <c r="UVA87" s="356"/>
      <c r="UVB87" s="356"/>
      <c r="UVC87" s="356"/>
      <c r="UVD87" s="356"/>
      <c r="UVE87" s="356"/>
      <c r="UVF87" s="356"/>
      <c r="UVG87" s="356"/>
      <c r="UVH87" s="356"/>
      <c r="UVI87" s="356"/>
      <c r="UVJ87" s="356"/>
      <c r="UVK87" s="356"/>
      <c r="UVL87" s="356"/>
      <c r="UVM87" s="356"/>
      <c r="UVN87" s="356"/>
      <c r="UVO87" s="356"/>
      <c r="UVP87" s="356"/>
      <c r="UVQ87" s="356"/>
      <c r="UVR87" s="356"/>
      <c r="UVS87" s="356"/>
      <c r="UVT87" s="356"/>
      <c r="UVU87" s="356"/>
      <c r="UVV87" s="356"/>
      <c r="UVW87" s="356"/>
      <c r="UVX87" s="356"/>
      <c r="UVY87" s="356"/>
      <c r="UVZ87" s="356"/>
      <c r="UWA87" s="356"/>
      <c r="UWB87" s="356"/>
      <c r="UWC87" s="356"/>
      <c r="UWD87" s="356"/>
      <c r="UWE87" s="356"/>
      <c r="UWF87" s="356"/>
      <c r="UWG87" s="356"/>
      <c r="UWH87" s="356"/>
      <c r="UWI87" s="356"/>
      <c r="UWJ87" s="356"/>
      <c r="UWK87" s="356"/>
      <c r="UWL87" s="356"/>
      <c r="UWM87" s="356"/>
      <c r="UWN87" s="356"/>
      <c r="UWO87" s="356"/>
      <c r="UWP87" s="356"/>
      <c r="UWQ87" s="356"/>
      <c r="UWR87" s="356"/>
      <c r="UWS87" s="356"/>
      <c r="UWT87" s="356"/>
      <c r="UWU87" s="356"/>
      <c r="UWV87" s="356"/>
      <c r="UWW87" s="356"/>
      <c r="UWX87" s="356"/>
      <c r="UWY87" s="356"/>
      <c r="UWZ87" s="356"/>
      <c r="UXA87" s="356"/>
      <c r="UXB87" s="356"/>
      <c r="UXC87" s="356"/>
      <c r="UXD87" s="356"/>
      <c r="UXE87" s="356"/>
      <c r="UXF87" s="356"/>
      <c r="UXG87" s="356"/>
      <c r="UXH87" s="356"/>
      <c r="UXI87" s="356"/>
      <c r="UXJ87" s="356"/>
      <c r="UXK87" s="356"/>
      <c r="UXL87" s="356"/>
      <c r="UXM87" s="356"/>
      <c r="UXN87" s="356"/>
      <c r="UXO87" s="356"/>
      <c r="UXP87" s="356"/>
      <c r="UXQ87" s="356"/>
      <c r="UXR87" s="356"/>
      <c r="UXS87" s="356"/>
      <c r="UXT87" s="356"/>
      <c r="UXU87" s="356"/>
      <c r="UXV87" s="356"/>
      <c r="UXW87" s="356"/>
      <c r="UXX87" s="356"/>
      <c r="UXY87" s="356"/>
      <c r="UXZ87" s="356"/>
      <c r="UYA87" s="356"/>
      <c r="UYB87" s="356"/>
      <c r="UYC87" s="356"/>
      <c r="UYD87" s="356"/>
      <c r="UYE87" s="356"/>
      <c r="UYF87" s="356"/>
      <c r="UYG87" s="356"/>
      <c r="UYH87" s="356"/>
      <c r="UYI87" s="356"/>
      <c r="UYJ87" s="356"/>
      <c r="UYK87" s="356"/>
      <c r="UYL87" s="356"/>
      <c r="UYM87" s="356"/>
      <c r="UYN87" s="356"/>
      <c r="UYO87" s="356"/>
      <c r="UYP87" s="356"/>
      <c r="UYQ87" s="356"/>
      <c r="UYR87" s="356"/>
      <c r="UYS87" s="356"/>
      <c r="UYT87" s="356"/>
      <c r="UYU87" s="356"/>
      <c r="UYV87" s="356"/>
      <c r="UYW87" s="356"/>
      <c r="UYX87" s="356"/>
      <c r="UYY87" s="356"/>
      <c r="UYZ87" s="356"/>
      <c r="UZA87" s="356"/>
      <c r="UZB87" s="356"/>
      <c r="UZC87" s="356"/>
      <c r="UZD87" s="356"/>
      <c r="UZE87" s="356"/>
      <c r="UZF87" s="356"/>
      <c r="UZG87" s="356"/>
      <c r="UZH87" s="356"/>
      <c r="UZI87" s="356"/>
      <c r="UZJ87" s="356"/>
      <c r="UZK87" s="356"/>
      <c r="UZL87" s="356"/>
      <c r="UZM87" s="356"/>
      <c r="UZN87" s="356"/>
      <c r="UZO87" s="356"/>
      <c r="UZP87" s="356"/>
      <c r="UZQ87" s="356"/>
      <c r="UZR87" s="356"/>
      <c r="UZS87" s="356"/>
      <c r="UZT87" s="356"/>
      <c r="UZU87" s="356"/>
      <c r="UZV87" s="356"/>
      <c r="UZW87" s="356"/>
      <c r="UZX87" s="356"/>
      <c r="UZY87" s="356"/>
      <c r="UZZ87" s="356"/>
      <c r="VAA87" s="356"/>
      <c r="VAB87" s="356"/>
      <c r="VAC87" s="356"/>
      <c r="VAD87" s="356"/>
      <c r="VAE87" s="356"/>
      <c r="VAF87" s="356"/>
      <c r="VAG87" s="356"/>
      <c r="VAH87" s="356"/>
      <c r="VAI87" s="356"/>
      <c r="VAJ87" s="356"/>
      <c r="VAK87" s="356"/>
      <c r="VAL87" s="356"/>
      <c r="VAM87" s="356"/>
      <c r="VAN87" s="356"/>
      <c r="VAO87" s="356"/>
      <c r="VAP87" s="356"/>
      <c r="VAQ87" s="356"/>
      <c r="VAR87" s="356"/>
      <c r="VAS87" s="356"/>
      <c r="VAT87" s="356"/>
      <c r="VAU87" s="356"/>
      <c r="VAV87" s="356"/>
      <c r="VAW87" s="356"/>
      <c r="VAX87" s="356"/>
      <c r="VAY87" s="356"/>
      <c r="VAZ87" s="356"/>
      <c r="VBA87" s="356"/>
      <c r="VBB87" s="356"/>
      <c r="VBC87" s="356"/>
      <c r="VBD87" s="356"/>
      <c r="VBE87" s="356"/>
      <c r="VBF87" s="356"/>
      <c r="VBG87" s="356"/>
      <c r="VBH87" s="356"/>
      <c r="VBI87" s="356"/>
      <c r="VBJ87" s="356"/>
      <c r="VBK87" s="356"/>
      <c r="VBL87" s="356"/>
      <c r="VBM87" s="356"/>
      <c r="VBN87" s="356"/>
      <c r="VBO87" s="356"/>
      <c r="VBP87" s="356"/>
      <c r="VBQ87" s="356"/>
      <c r="VBR87" s="356"/>
      <c r="VBS87" s="356"/>
      <c r="VBT87" s="356"/>
      <c r="VBU87" s="356"/>
      <c r="VBV87" s="356"/>
      <c r="VBW87" s="356"/>
      <c r="VBX87" s="356"/>
      <c r="VBY87" s="356"/>
      <c r="VBZ87" s="356"/>
      <c r="VCA87" s="356"/>
      <c r="VCB87" s="356"/>
      <c r="VCC87" s="356"/>
      <c r="VCD87" s="356"/>
      <c r="VCE87" s="356"/>
      <c r="VCF87" s="356"/>
      <c r="VCG87" s="356"/>
      <c r="VCH87" s="356"/>
      <c r="VCI87" s="356"/>
      <c r="VCJ87" s="356"/>
      <c r="VCK87" s="356"/>
      <c r="VCL87" s="356"/>
      <c r="VCM87" s="356"/>
      <c r="VCN87" s="356"/>
      <c r="VCO87" s="356"/>
      <c r="VCP87" s="356"/>
      <c r="VCQ87" s="356"/>
      <c r="VCR87" s="356"/>
      <c r="VCS87" s="356"/>
      <c r="VCT87" s="356"/>
      <c r="VCU87" s="356"/>
      <c r="VCV87" s="356"/>
      <c r="VCW87" s="356"/>
      <c r="VCX87" s="356"/>
      <c r="VCY87" s="356"/>
      <c r="VCZ87" s="356"/>
      <c r="VDA87" s="356"/>
      <c r="VDB87" s="356"/>
      <c r="VDC87" s="356"/>
      <c r="VDD87" s="356"/>
      <c r="VDE87" s="356"/>
      <c r="VDF87" s="356"/>
      <c r="VDG87" s="356"/>
      <c r="VDH87" s="356"/>
      <c r="VDI87" s="356"/>
      <c r="VDJ87" s="356"/>
      <c r="VDK87" s="356"/>
      <c r="VDL87" s="356"/>
      <c r="VDM87" s="356"/>
      <c r="VDN87" s="356"/>
      <c r="VDO87" s="356"/>
      <c r="VDP87" s="356"/>
      <c r="VDQ87" s="356"/>
      <c r="VDR87" s="356"/>
      <c r="VDS87" s="356"/>
      <c r="VDT87" s="356"/>
      <c r="VDU87" s="356"/>
      <c r="VDV87" s="356"/>
      <c r="VDW87" s="356"/>
      <c r="VDX87" s="356"/>
      <c r="VDY87" s="356"/>
      <c r="VDZ87" s="356"/>
      <c r="VEA87" s="356"/>
      <c r="VEB87" s="356"/>
      <c r="VEC87" s="356"/>
      <c r="VED87" s="356"/>
      <c r="VEE87" s="356"/>
      <c r="VEF87" s="356"/>
      <c r="VEG87" s="356"/>
      <c r="VEH87" s="356"/>
      <c r="VEI87" s="356"/>
      <c r="VEJ87" s="356"/>
      <c r="VEK87" s="356"/>
      <c r="VEL87" s="356"/>
      <c r="VEM87" s="356"/>
      <c r="VEN87" s="356"/>
      <c r="VEO87" s="356"/>
      <c r="VEP87" s="356"/>
      <c r="VEQ87" s="356"/>
      <c r="VER87" s="356"/>
      <c r="VES87" s="356"/>
      <c r="VET87" s="356"/>
      <c r="VEU87" s="356"/>
      <c r="VEV87" s="356"/>
      <c r="VEW87" s="356"/>
      <c r="VEX87" s="356"/>
      <c r="VEY87" s="356"/>
      <c r="VEZ87" s="356"/>
      <c r="VFA87" s="356"/>
      <c r="VFB87" s="356"/>
      <c r="VFC87" s="356"/>
      <c r="VFD87" s="356"/>
      <c r="VFE87" s="356"/>
      <c r="VFF87" s="356"/>
      <c r="VFG87" s="356"/>
      <c r="VFH87" s="356"/>
      <c r="VFI87" s="356"/>
      <c r="VFJ87" s="356"/>
      <c r="VFK87" s="356"/>
      <c r="VFL87" s="356"/>
      <c r="VFM87" s="356"/>
      <c r="VFN87" s="356"/>
      <c r="VFO87" s="356"/>
      <c r="VFP87" s="356"/>
      <c r="VFQ87" s="356"/>
      <c r="VFR87" s="356"/>
      <c r="VFS87" s="356"/>
      <c r="VFT87" s="356"/>
      <c r="VFU87" s="356"/>
      <c r="VFV87" s="356"/>
      <c r="VFW87" s="356"/>
      <c r="VFX87" s="356"/>
      <c r="VFY87" s="356"/>
      <c r="VFZ87" s="356"/>
      <c r="VGA87" s="356"/>
      <c r="VGB87" s="356"/>
      <c r="VGC87" s="356"/>
      <c r="VGD87" s="356"/>
      <c r="VGE87" s="356"/>
      <c r="VGF87" s="356"/>
      <c r="VGG87" s="356"/>
      <c r="VGH87" s="356"/>
      <c r="VGI87" s="356"/>
      <c r="VGJ87" s="356"/>
      <c r="VGK87" s="356"/>
      <c r="VGL87" s="356"/>
      <c r="VGM87" s="356"/>
      <c r="VGN87" s="356"/>
      <c r="VGO87" s="356"/>
      <c r="VGP87" s="356"/>
      <c r="VGQ87" s="356"/>
      <c r="VGR87" s="356"/>
      <c r="VGS87" s="356"/>
      <c r="VGT87" s="356"/>
      <c r="VGU87" s="356"/>
      <c r="VGV87" s="356"/>
      <c r="VGW87" s="356"/>
      <c r="VGX87" s="356"/>
      <c r="VGY87" s="356"/>
      <c r="VGZ87" s="356"/>
      <c r="VHA87" s="356"/>
      <c r="VHB87" s="356"/>
      <c r="VHC87" s="356"/>
      <c r="VHD87" s="356"/>
      <c r="VHE87" s="356"/>
      <c r="VHF87" s="356"/>
      <c r="VHG87" s="356"/>
      <c r="VHH87" s="356"/>
      <c r="VHI87" s="356"/>
      <c r="VHJ87" s="356"/>
      <c r="VHK87" s="356"/>
      <c r="VHL87" s="356"/>
      <c r="VHM87" s="356"/>
      <c r="VHN87" s="356"/>
      <c r="VHO87" s="356"/>
      <c r="VHP87" s="356"/>
      <c r="VHQ87" s="356"/>
      <c r="VHR87" s="356"/>
      <c r="VHS87" s="356"/>
      <c r="VHT87" s="356"/>
      <c r="VHU87" s="356"/>
      <c r="VHV87" s="356"/>
      <c r="VHW87" s="356"/>
      <c r="VHX87" s="356"/>
      <c r="VHY87" s="356"/>
      <c r="VHZ87" s="356"/>
      <c r="VIA87" s="356"/>
      <c r="VIB87" s="356"/>
      <c r="VIC87" s="356"/>
      <c r="VID87" s="356"/>
      <c r="VIE87" s="356"/>
      <c r="VIF87" s="356"/>
      <c r="VIG87" s="356"/>
      <c r="VIH87" s="356"/>
      <c r="VII87" s="356"/>
      <c r="VIJ87" s="356"/>
      <c r="VIK87" s="356"/>
      <c r="VIL87" s="356"/>
      <c r="VIM87" s="356"/>
      <c r="VIN87" s="356"/>
      <c r="VIO87" s="356"/>
      <c r="VIP87" s="356"/>
      <c r="VIQ87" s="356"/>
      <c r="VIR87" s="356"/>
      <c r="VIS87" s="356"/>
      <c r="VIT87" s="356"/>
      <c r="VIU87" s="356"/>
      <c r="VIV87" s="356"/>
      <c r="VIW87" s="356"/>
      <c r="VIX87" s="356"/>
      <c r="VIY87" s="356"/>
      <c r="VIZ87" s="356"/>
      <c r="VJA87" s="356"/>
      <c r="VJB87" s="356"/>
      <c r="VJC87" s="356"/>
      <c r="VJD87" s="356"/>
      <c r="VJE87" s="356"/>
      <c r="VJF87" s="356"/>
      <c r="VJG87" s="356"/>
      <c r="VJH87" s="356"/>
      <c r="VJI87" s="356"/>
      <c r="VJJ87" s="356"/>
      <c r="VJK87" s="356"/>
      <c r="VJL87" s="356"/>
      <c r="VJM87" s="356"/>
      <c r="VJN87" s="356"/>
      <c r="VJO87" s="356"/>
      <c r="VJP87" s="356"/>
      <c r="VJQ87" s="356"/>
      <c r="VJR87" s="356"/>
      <c r="VJS87" s="356"/>
      <c r="VJT87" s="356"/>
      <c r="VJU87" s="356"/>
      <c r="VJV87" s="356"/>
      <c r="VJW87" s="356"/>
      <c r="VJX87" s="356"/>
      <c r="VJY87" s="356"/>
      <c r="VJZ87" s="356"/>
      <c r="VKA87" s="356"/>
      <c r="VKB87" s="356"/>
      <c r="VKC87" s="356"/>
      <c r="VKD87" s="356"/>
      <c r="VKE87" s="356"/>
      <c r="VKF87" s="356"/>
      <c r="VKG87" s="356"/>
      <c r="VKH87" s="356"/>
      <c r="VKI87" s="356"/>
      <c r="VKJ87" s="356"/>
      <c r="VKK87" s="356"/>
      <c r="VKL87" s="356"/>
      <c r="VKM87" s="356"/>
      <c r="VKN87" s="356"/>
      <c r="VKO87" s="356"/>
      <c r="VKP87" s="356"/>
      <c r="VKQ87" s="356"/>
      <c r="VKR87" s="356"/>
      <c r="VKS87" s="356"/>
      <c r="VKT87" s="356"/>
      <c r="VKU87" s="356"/>
      <c r="VKV87" s="356"/>
      <c r="VKW87" s="356"/>
      <c r="VKX87" s="356"/>
      <c r="VKY87" s="356"/>
      <c r="VKZ87" s="356"/>
      <c r="VLA87" s="356"/>
      <c r="VLB87" s="356"/>
      <c r="VLC87" s="356"/>
      <c r="VLD87" s="356"/>
      <c r="VLE87" s="356"/>
      <c r="VLF87" s="356"/>
      <c r="VLG87" s="356"/>
      <c r="VLH87" s="356"/>
      <c r="VLI87" s="356"/>
      <c r="VLJ87" s="356"/>
      <c r="VLK87" s="356"/>
      <c r="VLL87" s="356"/>
      <c r="VLM87" s="356"/>
      <c r="VLN87" s="356"/>
      <c r="VLO87" s="356"/>
      <c r="VLP87" s="356"/>
      <c r="VLQ87" s="356"/>
      <c r="VLR87" s="356"/>
      <c r="VLS87" s="356"/>
      <c r="VLT87" s="356"/>
      <c r="VLU87" s="356"/>
      <c r="VLV87" s="356"/>
      <c r="VLW87" s="356"/>
      <c r="VLX87" s="356"/>
      <c r="VLY87" s="356"/>
      <c r="VLZ87" s="356"/>
      <c r="VMA87" s="356"/>
      <c r="VMB87" s="356"/>
      <c r="VMC87" s="356"/>
      <c r="VMD87" s="356"/>
      <c r="VME87" s="356"/>
      <c r="VMF87" s="356"/>
      <c r="VMG87" s="356"/>
      <c r="VMH87" s="356"/>
      <c r="VMI87" s="356"/>
      <c r="VMJ87" s="356"/>
      <c r="VMK87" s="356"/>
      <c r="VML87" s="356"/>
      <c r="VMM87" s="356"/>
      <c r="VMN87" s="356"/>
      <c r="VMO87" s="356"/>
      <c r="VMP87" s="356"/>
      <c r="VMQ87" s="356"/>
      <c r="VMR87" s="356"/>
      <c r="VMS87" s="356"/>
      <c r="VMT87" s="356"/>
      <c r="VMU87" s="356"/>
      <c r="VMV87" s="356"/>
      <c r="VMW87" s="356"/>
      <c r="VMX87" s="356"/>
      <c r="VMY87" s="356"/>
      <c r="VMZ87" s="356"/>
      <c r="VNA87" s="356"/>
      <c r="VNB87" s="356"/>
      <c r="VNC87" s="356"/>
      <c r="VND87" s="356"/>
      <c r="VNE87" s="356"/>
      <c r="VNF87" s="356"/>
      <c r="VNG87" s="356"/>
      <c r="VNH87" s="356"/>
      <c r="VNI87" s="356"/>
      <c r="VNJ87" s="356"/>
      <c r="VNK87" s="356"/>
      <c r="VNL87" s="356"/>
      <c r="VNM87" s="356"/>
      <c r="VNN87" s="356"/>
      <c r="VNO87" s="356"/>
      <c r="VNP87" s="356"/>
      <c r="VNQ87" s="356"/>
      <c r="VNR87" s="356"/>
      <c r="VNS87" s="356"/>
      <c r="VNT87" s="356"/>
      <c r="VNU87" s="356"/>
      <c r="VNV87" s="356"/>
      <c r="VNW87" s="356"/>
      <c r="VNX87" s="356"/>
      <c r="VNY87" s="356"/>
      <c r="VNZ87" s="356"/>
      <c r="VOA87" s="356"/>
      <c r="VOB87" s="356"/>
      <c r="VOC87" s="356"/>
      <c r="VOD87" s="356"/>
      <c r="VOE87" s="356"/>
      <c r="VOF87" s="356"/>
      <c r="VOG87" s="356"/>
      <c r="VOH87" s="356"/>
      <c r="VOI87" s="356"/>
      <c r="VOJ87" s="356"/>
      <c r="VOK87" s="356"/>
      <c r="VOL87" s="356"/>
      <c r="VOM87" s="356"/>
      <c r="VON87" s="356"/>
      <c r="VOO87" s="356"/>
      <c r="VOP87" s="356"/>
      <c r="VOQ87" s="356"/>
      <c r="VOR87" s="356"/>
      <c r="VOS87" s="356"/>
      <c r="VOT87" s="356"/>
      <c r="VOU87" s="356"/>
      <c r="VOV87" s="356"/>
      <c r="VOW87" s="356"/>
      <c r="VOX87" s="356"/>
      <c r="VOY87" s="356"/>
      <c r="VOZ87" s="356"/>
      <c r="VPA87" s="356"/>
      <c r="VPB87" s="356"/>
      <c r="VPC87" s="356"/>
      <c r="VPD87" s="356"/>
      <c r="VPE87" s="356"/>
      <c r="VPF87" s="356"/>
      <c r="VPG87" s="356"/>
      <c r="VPH87" s="356"/>
      <c r="VPI87" s="356"/>
      <c r="VPJ87" s="356"/>
      <c r="VPK87" s="356"/>
      <c r="VPL87" s="356"/>
      <c r="VPM87" s="356"/>
      <c r="VPN87" s="356"/>
      <c r="VPO87" s="356"/>
      <c r="VPP87" s="356"/>
      <c r="VPQ87" s="356"/>
      <c r="VPR87" s="356"/>
      <c r="VPS87" s="356"/>
      <c r="VPT87" s="356"/>
      <c r="VPU87" s="356"/>
      <c r="VPV87" s="356"/>
      <c r="VPW87" s="356"/>
      <c r="VPX87" s="356"/>
      <c r="VPY87" s="356"/>
      <c r="VPZ87" s="356"/>
      <c r="VQA87" s="356"/>
      <c r="VQB87" s="356"/>
      <c r="VQC87" s="356"/>
      <c r="VQD87" s="356"/>
      <c r="VQE87" s="356"/>
      <c r="VQF87" s="356"/>
      <c r="VQG87" s="356"/>
      <c r="VQH87" s="356"/>
      <c r="VQI87" s="356"/>
      <c r="VQJ87" s="356"/>
      <c r="VQK87" s="356"/>
      <c r="VQL87" s="356"/>
      <c r="VQM87" s="356"/>
      <c r="VQN87" s="356"/>
      <c r="VQO87" s="356"/>
      <c r="VQP87" s="356"/>
      <c r="VQQ87" s="356"/>
      <c r="VQR87" s="356"/>
      <c r="VQS87" s="356"/>
      <c r="VQT87" s="356"/>
      <c r="VQU87" s="356"/>
      <c r="VQV87" s="356"/>
      <c r="VQW87" s="356"/>
      <c r="VQX87" s="356"/>
      <c r="VQY87" s="356"/>
      <c r="VQZ87" s="356"/>
      <c r="VRA87" s="356"/>
      <c r="VRB87" s="356"/>
      <c r="VRC87" s="356"/>
      <c r="VRD87" s="356"/>
      <c r="VRE87" s="356"/>
      <c r="VRF87" s="356"/>
      <c r="VRG87" s="356"/>
      <c r="VRH87" s="356"/>
      <c r="VRI87" s="356"/>
      <c r="VRJ87" s="356"/>
      <c r="VRK87" s="356"/>
      <c r="VRL87" s="356"/>
      <c r="VRM87" s="356"/>
      <c r="VRN87" s="356"/>
      <c r="VRO87" s="356"/>
      <c r="VRP87" s="356"/>
      <c r="VRQ87" s="356"/>
      <c r="VRR87" s="356"/>
      <c r="VRS87" s="356"/>
      <c r="VRT87" s="356"/>
      <c r="VRU87" s="356"/>
      <c r="VRV87" s="356"/>
      <c r="VRW87" s="356"/>
      <c r="VRX87" s="356"/>
      <c r="VRY87" s="356"/>
      <c r="VRZ87" s="356"/>
      <c r="VSA87" s="356"/>
      <c r="VSB87" s="356"/>
      <c r="VSC87" s="356"/>
      <c r="VSD87" s="356"/>
      <c r="VSE87" s="356"/>
      <c r="VSF87" s="356"/>
      <c r="VSG87" s="356"/>
      <c r="VSH87" s="356"/>
      <c r="VSI87" s="356"/>
      <c r="VSJ87" s="356"/>
      <c r="VSK87" s="356"/>
      <c r="VSL87" s="356"/>
      <c r="VSM87" s="356"/>
      <c r="VSN87" s="356"/>
      <c r="VSO87" s="356"/>
      <c r="VSP87" s="356"/>
      <c r="VSQ87" s="356"/>
      <c r="VSR87" s="356"/>
      <c r="VSS87" s="356"/>
      <c r="VST87" s="356"/>
      <c r="VSU87" s="356"/>
      <c r="VSV87" s="356"/>
      <c r="VSW87" s="356"/>
      <c r="VSX87" s="356"/>
      <c r="VSY87" s="356"/>
      <c r="VSZ87" s="356"/>
      <c r="VTA87" s="356"/>
      <c r="VTB87" s="356"/>
      <c r="VTC87" s="356"/>
      <c r="VTD87" s="356"/>
      <c r="VTE87" s="356"/>
      <c r="VTF87" s="356"/>
      <c r="VTG87" s="356"/>
      <c r="VTH87" s="356"/>
      <c r="VTI87" s="356"/>
      <c r="VTJ87" s="356"/>
      <c r="VTK87" s="356"/>
      <c r="VTL87" s="356"/>
      <c r="VTM87" s="356"/>
      <c r="VTN87" s="356"/>
      <c r="VTO87" s="356"/>
      <c r="VTP87" s="356"/>
      <c r="VTQ87" s="356"/>
      <c r="VTR87" s="356"/>
      <c r="VTS87" s="356"/>
      <c r="VTT87" s="356"/>
      <c r="VTU87" s="356"/>
      <c r="VTV87" s="356"/>
      <c r="VTW87" s="356"/>
      <c r="VTX87" s="356"/>
      <c r="VTY87" s="356"/>
      <c r="VTZ87" s="356"/>
      <c r="VUA87" s="356"/>
      <c r="VUB87" s="356"/>
      <c r="VUC87" s="356"/>
      <c r="VUD87" s="356"/>
      <c r="VUE87" s="356"/>
      <c r="VUF87" s="356"/>
      <c r="VUG87" s="356"/>
      <c r="VUH87" s="356"/>
      <c r="VUI87" s="356"/>
      <c r="VUJ87" s="356"/>
      <c r="VUK87" s="356"/>
      <c r="VUL87" s="356"/>
      <c r="VUM87" s="356"/>
      <c r="VUN87" s="356"/>
      <c r="VUO87" s="356"/>
      <c r="VUP87" s="356"/>
      <c r="VUQ87" s="356"/>
      <c r="VUR87" s="356"/>
      <c r="VUS87" s="356"/>
      <c r="VUT87" s="356"/>
      <c r="VUU87" s="356"/>
      <c r="VUV87" s="356"/>
      <c r="VUW87" s="356"/>
      <c r="VUX87" s="356"/>
      <c r="VUY87" s="356"/>
      <c r="VUZ87" s="356"/>
      <c r="VVA87" s="356"/>
      <c r="VVB87" s="356"/>
      <c r="VVC87" s="356"/>
      <c r="VVD87" s="356"/>
      <c r="VVE87" s="356"/>
      <c r="VVF87" s="356"/>
      <c r="VVG87" s="356"/>
      <c r="VVH87" s="356"/>
      <c r="VVI87" s="356"/>
      <c r="VVJ87" s="356"/>
      <c r="VVK87" s="356"/>
      <c r="VVL87" s="356"/>
      <c r="VVM87" s="356"/>
      <c r="VVN87" s="356"/>
      <c r="VVO87" s="356"/>
      <c r="VVP87" s="356"/>
      <c r="VVQ87" s="356"/>
      <c r="VVR87" s="356"/>
      <c r="VVS87" s="356"/>
      <c r="VVT87" s="356"/>
      <c r="VVU87" s="356"/>
      <c r="VVV87" s="356"/>
      <c r="VVW87" s="356"/>
      <c r="VVX87" s="356"/>
      <c r="VVY87" s="356"/>
      <c r="VVZ87" s="356"/>
      <c r="VWA87" s="356"/>
      <c r="VWB87" s="356"/>
      <c r="VWC87" s="356"/>
      <c r="VWD87" s="356"/>
      <c r="VWE87" s="356"/>
      <c r="VWF87" s="356"/>
      <c r="VWG87" s="356"/>
      <c r="VWH87" s="356"/>
      <c r="VWI87" s="356"/>
      <c r="VWJ87" s="356"/>
      <c r="VWK87" s="356"/>
      <c r="VWL87" s="356"/>
      <c r="VWM87" s="356"/>
      <c r="VWN87" s="356"/>
      <c r="VWO87" s="356"/>
      <c r="VWP87" s="356"/>
      <c r="VWQ87" s="356"/>
      <c r="VWR87" s="356"/>
      <c r="VWS87" s="356"/>
      <c r="VWT87" s="356"/>
      <c r="VWU87" s="356"/>
      <c r="VWV87" s="356"/>
      <c r="VWW87" s="356"/>
      <c r="VWX87" s="356"/>
      <c r="VWY87" s="356"/>
      <c r="VWZ87" s="356"/>
      <c r="VXA87" s="356"/>
      <c r="VXB87" s="356"/>
      <c r="VXC87" s="356"/>
      <c r="VXD87" s="356"/>
      <c r="VXE87" s="356"/>
      <c r="VXF87" s="356"/>
      <c r="VXG87" s="356"/>
      <c r="VXH87" s="356"/>
      <c r="VXI87" s="356"/>
      <c r="VXJ87" s="356"/>
      <c r="VXK87" s="356"/>
      <c r="VXL87" s="356"/>
      <c r="VXM87" s="356"/>
      <c r="VXN87" s="356"/>
      <c r="VXO87" s="356"/>
      <c r="VXP87" s="356"/>
      <c r="VXQ87" s="356"/>
      <c r="VXR87" s="356"/>
      <c r="VXS87" s="356"/>
      <c r="VXT87" s="356"/>
      <c r="VXU87" s="356"/>
      <c r="VXV87" s="356"/>
      <c r="VXW87" s="356"/>
      <c r="VXX87" s="356"/>
      <c r="VXY87" s="356"/>
      <c r="VXZ87" s="356"/>
      <c r="VYA87" s="356"/>
      <c r="VYB87" s="356"/>
      <c r="VYC87" s="356"/>
      <c r="VYD87" s="356"/>
      <c r="VYE87" s="356"/>
      <c r="VYF87" s="356"/>
      <c r="VYG87" s="356"/>
      <c r="VYH87" s="356"/>
      <c r="VYI87" s="356"/>
      <c r="VYJ87" s="356"/>
      <c r="VYK87" s="356"/>
      <c r="VYL87" s="356"/>
      <c r="VYM87" s="356"/>
      <c r="VYN87" s="356"/>
      <c r="VYO87" s="356"/>
      <c r="VYP87" s="356"/>
      <c r="VYQ87" s="356"/>
      <c r="VYR87" s="356"/>
      <c r="VYS87" s="356"/>
      <c r="VYT87" s="356"/>
      <c r="VYU87" s="356"/>
      <c r="VYV87" s="356"/>
      <c r="VYW87" s="356"/>
      <c r="VYX87" s="356"/>
      <c r="VYY87" s="356"/>
      <c r="VYZ87" s="356"/>
      <c r="VZA87" s="356"/>
      <c r="VZB87" s="356"/>
      <c r="VZC87" s="356"/>
      <c r="VZD87" s="356"/>
      <c r="VZE87" s="356"/>
      <c r="VZF87" s="356"/>
      <c r="VZG87" s="356"/>
      <c r="VZH87" s="356"/>
      <c r="VZI87" s="356"/>
      <c r="VZJ87" s="356"/>
      <c r="VZK87" s="356"/>
      <c r="VZL87" s="356"/>
      <c r="VZM87" s="356"/>
      <c r="VZN87" s="356"/>
      <c r="VZO87" s="356"/>
      <c r="VZP87" s="356"/>
      <c r="VZQ87" s="356"/>
      <c r="VZR87" s="356"/>
      <c r="VZS87" s="356"/>
      <c r="VZT87" s="356"/>
      <c r="VZU87" s="356"/>
      <c r="VZV87" s="356"/>
      <c r="VZW87" s="356"/>
      <c r="VZX87" s="356"/>
      <c r="VZY87" s="356"/>
      <c r="VZZ87" s="356"/>
      <c r="WAA87" s="356"/>
      <c r="WAB87" s="356"/>
      <c r="WAC87" s="356"/>
      <c r="WAD87" s="356"/>
      <c r="WAE87" s="356"/>
      <c r="WAF87" s="356"/>
      <c r="WAG87" s="356"/>
      <c r="WAH87" s="356"/>
      <c r="WAI87" s="356"/>
      <c r="WAJ87" s="356"/>
      <c r="WAK87" s="356"/>
      <c r="WAL87" s="356"/>
      <c r="WAM87" s="356"/>
      <c r="WAN87" s="356"/>
      <c r="WAO87" s="356"/>
      <c r="WAP87" s="356"/>
      <c r="WAQ87" s="356"/>
      <c r="WAR87" s="356"/>
      <c r="WAS87" s="356"/>
      <c r="WAT87" s="356"/>
      <c r="WAU87" s="356"/>
      <c r="WAV87" s="356"/>
      <c r="WAW87" s="356"/>
      <c r="WAX87" s="356"/>
      <c r="WAY87" s="356"/>
      <c r="WAZ87" s="356"/>
      <c r="WBA87" s="356"/>
      <c r="WBB87" s="356"/>
      <c r="WBC87" s="356"/>
      <c r="WBD87" s="356"/>
      <c r="WBE87" s="356"/>
      <c r="WBF87" s="356"/>
      <c r="WBG87" s="356"/>
      <c r="WBH87" s="356"/>
      <c r="WBI87" s="356"/>
      <c r="WBJ87" s="356"/>
      <c r="WBK87" s="356"/>
      <c r="WBL87" s="356"/>
      <c r="WBM87" s="356"/>
      <c r="WBN87" s="356"/>
      <c r="WBO87" s="356"/>
      <c r="WBP87" s="356"/>
      <c r="WBQ87" s="356"/>
      <c r="WBR87" s="356"/>
      <c r="WBS87" s="356"/>
      <c r="WBT87" s="356"/>
      <c r="WBU87" s="356"/>
      <c r="WBV87" s="356"/>
      <c r="WBW87" s="356"/>
      <c r="WBX87" s="356"/>
      <c r="WBY87" s="356"/>
      <c r="WBZ87" s="356"/>
      <c r="WCA87" s="356"/>
      <c r="WCB87" s="356"/>
      <c r="WCC87" s="356"/>
      <c r="WCD87" s="356"/>
      <c r="WCE87" s="356"/>
      <c r="WCF87" s="356"/>
      <c r="WCG87" s="356"/>
      <c r="WCH87" s="356"/>
      <c r="WCI87" s="356"/>
      <c r="WCJ87" s="356"/>
      <c r="WCK87" s="356"/>
      <c r="WCL87" s="356"/>
      <c r="WCM87" s="356"/>
      <c r="WCN87" s="356"/>
      <c r="WCO87" s="356"/>
      <c r="WCP87" s="356"/>
      <c r="WCQ87" s="356"/>
      <c r="WCR87" s="356"/>
      <c r="WCS87" s="356"/>
      <c r="WCT87" s="356"/>
      <c r="WCU87" s="356"/>
      <c r="WCV87" s="356"/>
      <c r="WCW87" s="356"/>
      <c r="WCX87" s="356"/>
      <c r="WCY87" s="356"/>
      <c r="WCZ87" s="356"/>
      <c r="WDA87" s="356"/>
      <c r="WDB87" s="356"/>
      <c r="WDC87" s="356"/>
      <c r="WDD87" s="356"/>
      <c r="WDE87" s="356"/>
      <c r="WDF87" s="356"/>
      <c r="WDG87" s="356"/>
      <c r="WDH87" s="356"/>
      <c r="WDI87" s="356"/>
      <c r="WDJ87" s="356"/>
      <c r="WDK87" s="356"/>
      <c r="WDL87" s="356"/>
      <c r="WDM87" s="356"/>
      <c r="WDN87" s="356"/>
      <c r="WDO87" s="356"/>
      <c r="WDP87" s="356"/>
      <c r="WDQ87" s="356"/>
      <c r="WDR87" s="356"/>
      <c r="WDS87" s="356"/>
      <c r="WDT87" s="356"/>
      <c r="WDU87" s="356"/>
      <c r="WDV87" s="356"/>
      <c r="WDW87" s="356"/>
      <c r="WDX87" s="356"/>
      <c r="WDY87" s="356"/>
      <c r="WDZ87" s="356"/>
      <c r="WEA87" s="356"/>
      <c r="WEB87" s="356"/>
      <c r="WEC87" s="356"/>
      <c r="WED87" s="356"/>
      <c r="WEE87" s="356"/>
      <c r="WEF87" s="356"/>
      <c r="WEG87" s="356"/>
      <c r="WEH87" s="356"/>
      <c r="WEI87" s="356"/>
      <c r="WEJ87" s="356"/>
      <c r="WEK87" s="356"/>
      <c r="WEL87" s="356"/>
      <c r="WEM87" s="356"/>
      <c r="WEN87" s="356"/>
      <c r="WEO87" s="356"/>
      <c r="WEP87" s="356"/>
      <c r="WEQ87" s="356"/>
      <c r="WER87" s="356"/>
      <c r="WES87" s="356"/>
      <c r="WET87" s="356"/>
      <c r="WEU87" s="356"/>
      <c r="WEV87" s="356"/>
      <c r="WEW87" s="356"/>
      <c r="WEX87" s="356"/>
      <c r="WEY87" s="356"/>
      <c r="WEZ87" s="356"/>
      <c r="WFA87" s="356"/>
      <c r="WFB87" s="356"/>
      <c r="WFC87" s="356"/>
      <c r="WFD87" s="356"/>
      <c r="WFE87" s="356"/>
      <c r="WFF87" s="356"/>
      <c r="WFG87" s="356"/>
      <c r="WFH87" s="356"/>
      <c r="WFI87" s="356"/>
      <c r="WFJ87" s="356"/>
      <c r="WFK87" s="356"/>
      <c r="WFL87" s="356"/>
      <c r="WFM87" s="356"/>
      <c r="WFN87" s="356"/>
      <c r="WFO87" s="356"/>
      <c r="WFP87" s="356"/>
      <c r="WFQ87" s="356"/>
      <c r="WFR87" s="356"/>
      <c r="WFS87" s="356"/>
      <c r="WFT87" s="356"/>
      <c r="WFU87" s="356"/>
      <c r="WFV87" s="356"/>
      <c r="WFW87" s="356"/>
      <c r="WFX87" s="356"/>
      <c r="WFY87" s="356"/>
      <c r="WFZ87" s="356"/>
      <c r="WGA87" s="356"/>
      <c r="WGB87" s="356"/>
      <c r="WGC87" s="356"/>
      <c r="WGD87" s="356"/>
      <c r="WGE87" s="356"/>
      <c r="WGF87" s="356"/>
      <c r="WGG87" s="356"/>
      <c r="WGH87" s="356"/>
      <c r="WGI87" s="356"/>
      <c r="WGJ87" s="356"/>
      <c r="WGK87" s="356"/>
      <c r="WGL87" s="356"/>
      <c r="WGM87" s="356"/>
      <c r="WGN87" s="356"/>
      <c r="WGO87" s="356"/>
      <c r="WGP87" s="356"/>
      <c r="WGQ87" s="356"/>
      <c r="WGR87" s="356"/>
      <c r="WGS87" s="356"/>
      <c r="WGT87" s="356"/>
      <c r="WGU87" s="356"/>
      <c r="WGV87" s="356"/>
      <c r="WGW87" s="356"/>
      <c r="WGX87" s="356"/>
      <c r="WGY87" s="356"/>
      <c r="WGZ87" s="356"/>
      <c r="WHA87" s="356"/>
      <c r="WHB87" s="356"/>
      <c r="WHC87" s="356"/>
      <c r="WHD87" s="356"/>
      <c r="WHE87" s="356"/>
      <c r="WHF87" s="356"/>
      <c r="WHG87" s="356"/>
      <c r="WHH87" s="356"/>
      <c r="WHI87" s="356"/>
      <c r="WHJ87" s="356"/>
      <c r="WHK87" s="356"/>
      <c r="WHL87" s="356"/>
      <c r="WHM87" s="356"/>
      <c r="WHN87" s="356"/>
      <c r="WHO87" s="356"/>
      <c r="WHP87" s="356"/>
      <c r="WHQ87" s="356"/>
      <c r="WHR87" s="356"/>
      <c r="WHS87" s="356"/>
      <c r="WHT87" s="356"/>
      <c r="WHU87" s="356"/>
      <c r="WHV87" s="356"/>
      <c r="WHW87" s="356"/>
      <c r="WHX87" s="356"/>
      <c r="WHY87" s="356"/>
      <c r="WHZ87" s="356"/>
      <c r="WIA87" s="356"/>
      <c r="WIB87" s="356"/>
      <c r="WIC87" s="356"/>
      <c r="WID87" s="356"/>
      <c r="WIE87" s="356"/>
      <c r="WIF87" s="356"/>
      <c r="WIG87" s="356"/>
      <c r="WIH87" s="356"/>
      <c r="WII87" s="356"/>
      <c r="WIJ87" s="356"/>
      <c r="WIK87" s="356"/>
      <c r="WIL87" s="356"/>
      <c r="WIM87" s="356"/>
      <c r="WIN87" s="356"/>
      <c r="WIO87" s="356"/>
      <c r="WIP87" s="356"/>
      <c r="WIQ87" s="356"/>
      <c r="WIR87" s="356"/>
      <c r="WIS87" s="356"/>
      <c r="WIT87" s="356"/>
      <c r="WIU87" s="356"/>
      <c r="WIV87" s="356"/>
      <c r="WIW87" s="356"/>
      <c r="WIX87" s="356"/>
      <c r="WIY87" s="356"/>
      <c r="WIZ87" s="356"/>
      <c r="WJA87" s="356"/>
      <c r="WJB87" s="356"/>
      <c r="WJC87" s="356"/>
      <c r="WJD87" s="356"/>
      <c r="WJE87" s="356"/>
      <c r="WJF87" s="356"/>
      <c r="WJG87" s="356"/>
      <c r="WJH87" s="356"/>
      <c r="WJI87" s="356"/>
      <c r="WJJ87" s="356"/>
      <c r="WJK87" s="356"/>
      <c r="WJL87" s="356"/>
      <c r="WJM87" s="356"/>
      <c r="WJN87" s="356"/>
      <c r="WJO87" s="356"/>
      <c r="WJP87" s="356"/>
      <c r="WJQ87" s="356"/>
      <c r="WJR87" s="356"/>
      <c r="WJS87" s="356"/>
      <c r="WJT87" s="356"/>
      <c r="WJU87" s="356"/>
      <c r="WJV87" s="356"/>
      <c r="WJW87" s="356"/>
      <c r="WJX87" s="356"/>
      <c r="WJY87" s="356"/>
      <c r="WJZ87" s="356"/>
      <c r="WKA87" s="356"/>
      <c r="WKB87" s="356"/>
      <c r="WKC87" s="356"/>
      <c r="WKD87" s="356"/>
      <c r="WKE87" s="356"/>
      <c r="WKF87" s="356"/>
      <c r="WKG87" s="356"/>
      <c r="WKH87" s="356"/>
      <c r="WKI87" s="356"/>
      <c r="WKJ87" s="356"/>
      <c r="WKK87" s="356"/>
      <c r="WKL87" s="356"/>
      <c r="WKM87" s="356"/>
      <c r="WKN87" s="356"/>
      <c r="WKO87" s="356"/>
      <c r="WKP87" s="356"/>
      <c r="WKQ87" s="356"/>
      <c r="WKR87" s="356"/>
      <c r="WKS87" s="356"/>
      <c r="WKT87" s="356"/>
      <c r="WKU87" s="356"/>
      <c r="WKV87" s="356"/>
      <c r="WKW87" s="356"/>
      <c r="WKX87" s="356"/>
      <c r="WKY87" s="356"/>
      <c r="WKZ87" s="356"/>
      <c r="WLA87" s="356"/>
      <c r="WLB87" s="356"/>
      <c r="WLC87" s="356"/>
      <c r="WLD87" s="356"/>
      <c r="WLE87" s="356"/>
      <c r="WLF87" s="356"/>
      <c r="WLG87" s="356"/>
      <c r="WLH87" s="356"/>
      <c r="WLI87" s="356"/>
      <c r="WLJ87" s="356"/>
      <c r="WLK87" s="356"/>
      <c r="WLL87" s="356"/>
      <c r="WLM87" s="356"/>
      <c r="WLN87" s="356"/>
      <c r="WLO87" s="356"/>
      <c r="WLP87" s="356"/>
      <c r="WLQ87" s="356"/>
      <c r="WLR87" s="356"/>
      <c r="WLS87" s="356"/>
      <c r="WLT87" s="356"/>
      <c r="WLU87" s="356"/>
      <c r="WLV87" s="356"/>
      <c r="WLW87" s="356"/>
      <c r="WLX87" s="356"/>
      <c r="WLY87" s="356"/>
      <c r="WLZ87" s="356"/>
      <c r="WMA87" s="356"/>
      <c r="WMB87" s="356"/>
      <c r="WMC87" s="356"/>
      <c r="WMD87" s="356"/>
      <c r="WME87" s="356"/>
      <c r="WMF87" s="356"/>
      <c r="WMG87" s="356"/>
      <c r="WMH87" s="356"/>
      <c r="WMI87" s="356"/>
      <c r="WMJ87" s="356"/>
      <c r="WMK87" s="356"/>
      <c r="WML87" s="356"/>
      <c r="WMM87" s="356"/>
      <c r="WMN87" s="356"/>
      <c r="WMO87" s="356"/>
      <c r="WMP87" s="356"/>
      <c r="WMQ87" s="356"/>
      <c r="WMR87" s="356"/>
      <c r="WMS87" s="356"/>
      <c r="WMT87" s="356"/>
      <c r="WMU87" s="356"/>
      <c r="WMV87" s="356"/>
      <c r="WMW87" s="356"/>
      <c r="WMX87" s="356"/>
      <c r="WMY87" s="356"/>
      <c r="WMZ87" s="356"/>
      <c r="WNA87" s="356"/>
      <c r="WNB87" s="356"/>
      <c r="WNC87" s="356"/>
      <c r="WND87" s="356"/>
      <c r="WNE87" s="356"/>
      <c r="WNF87" s="356"/>
      <c r="WNG87" s="356"/>
      <c r="WNH87" s="356"/>
      <c r="WNI87" s="356"/>
      <c r="WNJ87" s="356"/>
      <c r="WNK87" s="356"/>
      <c r="WNL87" s="356"/>
      <c r="WNM87" s="356"/>
      <c r="WNN87" s="356"/>
      <c r="WNO87" s="356"/>
      <c r="WNP87" s="356"/>
      <c r="WNQ87" s="356"/>
      <c r="WNR87" s="356"/>
      <c r="WNS87" s="356"/>
      <c r="WNT87" s="356"/>
      <c r="WNU87" s="356"/>
      <c r="WNV87" s="356"/>
      <c r="WNW87" s="356"/>
      <c r="WNX87" s="356"/>
      <c r="WNY87" s="356"/>
      <c r="WNZ87" s="356"/>
      <c r="WOA87" s="356"/>
      <c r="WOB87" s="356"/>
      <c r="WOC87" s="356"/>
      <c r="WOD87" s="356"/>
      <c r="WOE87" s="356"/>
      <c r="WOF87" s="356"/>
      <c r="WOG87" s="356"/>
      <c r="WOH87" s="356"/>
      <c r="WOI87" s="356"/>
      <c r="WOJ87" s="356"/>
      <c r="WOK87" s="356"/>
      <c r="WOL87" s="356"/>
      <c r="WOM87" s="356"/>
      <c r="WON87" s="356"/>
      <c r="WOO87" s="356"/>
      <c r="WOP87" s="356"/>
      <c r="WOQ87" s="356"/>
      <c r="WOR87" s="356"/>
      <c r="WOS87" s="356"/>
      <c r="WOT87" s="356"/>
      <c r="WOU87" s="356"/>
      <c r="WOV87" s="356"/>
      <c r="WOW87" s="356"/>
      <c r="WOX87" s="356"/>
      <c r="WOY87" s="356"/>
      <c r="WOZ87" s="356"/>
      <c r="WPA87" s="356"/>
      <c r="WPB87" s="356"/>
      <c r="WPC87" s="356"/>
      <c r="WPD87" s="356"/>
      <c r="WPE87" s="356"/>
      <c r="WPF87" s="356"/>
      <c r="WPG87" s="356"/>
      <c r="WPH87" s="356"/>
      <c r="WPI87" s="356"/>
      <c r="WPJ87" s="356"/>
      <c r="WPK87" s="356"/>
      <c r="WPL87" s="356"/>
      <c r="WPM87" s="356"/>
      <c r="WPN87" s="356"/>
      <c r="WPO87" s="356"/>
      <c r="WPP87" s="356"/>
      <c r="WPQ87" s="356"/>
      <c r="WPR87" s="356"/>
      <c r="WPS87" s="356"/>
      <c r="WPT87" s="356"/>
      <c r="WPU87" s="356"/>
      <c r="WPV87" s="356"/>
      <c r="WPW87" s="356"/>
      <c r="WPX87" s="356"/>
      <c r="WPY87" s="356"/>
      <c r="WPZ87" s="356"/>
      <c r="WQA87" s="356"/>
      <c r="WQB87" s="356"/>
      <c r="WQC87" s="356"/>
      <c r="WQD87" s="356"/>
      <c r="WQE87" s="356"/>
      <c r="WQF87" s="356"/>
      <c r="WQG87" s="356"/>
      <c r="WQH87" s="356"/>
      <c r="WQI87" s="356"/>
      <c r="WQJ87" s="356"/>
      <c r="WQK87" s="356"/>
      <c r="WQL87" s="356"/>
      <c r="WQM87" s="356"/>
      <c r="WQN87" s="356"/>
      <c r="WQO87" s="356"/>
      <c r="WQP87" s="356"/>
      <c r="WQQ87" s="356"/>
      <c r="WQR87" s="356"/>
      <c r="WQS87" s="356"/>
      <c r="WQT87" s="356"/>
      <c r="WQU87" s="356"/>
      <c r="WQV87" s="356"/>
      <c r="WQW87" s="356"/>
      <c r="WQX87" s="356"/>
      <c r="WQY87" s="356"/>
      <c r="WQZ87" s="356"/>
      <c r="WRA87" s="356"/>
      <c r="WRB87" s="356"/>
      <c r="WRC87" s="356"/>
      <c r="WRD87" s="356"/>
      <c r="WRE87" s="356"/>
      <c r="WRF87" s="356"/>
      <c r="WRG87" s="356"/>
      <c r="WRH87" s="356"/>
      <c r="WRI87" s="356"/>
      <c r="WRJ87" s="356"/>
      <c r="WRK87" s="356"/>
      <c r="WRL87" s="356"/>
      <c r="WRM87" s="356"/>
      <c r="WRN87" s="356"/>
      <c r="WRO87" s="356"/>
      <c r="WRP87" s="356"/>
      <c r="WRQ87" s="356"/>
      <c r="WRR87" s="356"/>
      <c r="WRS87" s="356"/>
      <c r="WRT87" s="356"/>
      <c r="WRU87" s="356"/>
      <c r="WRV87" s="356"/>
      <c r="WRW87" s="356"/>
      <c r="WRX87" s="356"/>
      <c r="WRY87" s="356"/>
      <c r="WRZ87" s="356"/>
      <c r="WSA87" s="356"/>
      <c r="WSB87" s="356"/>
      <c r="WSC87" s="356"/>
      <c r="WSD87" s="356"/>
      <c r="WSE87" s="356"/>
      <c r="WSF87" s="356"/>
      <c r="WSG87" s="356"/>
      <c r="WSH87" s="356"/>
      <c r="WSI87" s="356"/>
      <c r="WSJ87" s="356"/>
      <c r="WSK87" s="356"/>
      <c r="WSL87" s="356"/>
      <c r="WSM87" s="356"/>
      <c r="WSN87" s="356"/>
      <c r="WSO87" s="356"/>
      <c r="WSP87" s="356"/>
      <c r="WSQ87" s="356"/>
      <c r="WSR87" s="356"/>
      <c r="WSS87" s="356"/>
      <c r="WST87" s="356"/>
      <c r="WSU87" s="356"/>
      <c r="WSV87" s="356"/>
      <c r="WSW87" s="356"/>
      <c r="WSX87" s="356"/>
      <c r="WSY87" s="356"/>
      <c r="WSZ87" s="356"/>
      <c r="WTA87" s="356"/>
      <c r="WTB87" s="356"/>
      <c r="WTC87" s="356"/>
      <c r="WTD87" s="356"/>
      <c r="WTE87" s="356"/>
      <c r="WTF87" s="356"/>
      <c r="WTG87" s="356"/>
      <c r="WTH87" s="356"/>
      <c r="WTI87" s="356"/>
      <c r="WTJ87" s="356"/>
      <c r="WTK87" s="356"/>
      <c r="WTL87" s="356"/>
      <c r="WTM87" s="356"/>
      <c r="WTN87" s="356"/>
      <c r="WTO87" s="356"/>
      <c r="WTP87" s="356"/>
      <c r="WTQ87" s="356"/>
      <c r="WTR87" s="356"/>
      <c r="WTS87" s="356"/>
      <c r="WTT87" s="356"/>
      <c r="WTU87" s="356"/>
      <c r="WTV87" s="356"/>
      <c r="WTW87" s="356"/>
      <c r="WTX87" s="356"/>
      <c r="WTY87" s="356"/>
      <c r="WTZ87" s="356"/>
      <c r="WUA87" s="356"/>
      <c r="WUB87" s="356"/>
      <c r="WUC87" s="356"/>
      <c r="WUD87" s="356"/>
      <c r="WUE87" s="356"/>
      <c r="WUF87" s="356"/>
      <c r="WUG87" s="356"/>
      <c r="WUH87" s="356"/>
      <c r="WUI87" s="356"/>
      <c r="WUJ87" s="356"/>
      <c r="WUK87" s="356"/>
      <c r="WUL87" s="356"/>
      <c r="WUM87" s="356"/>
      <c r="WUN87" s="356"/>
      <c r="WUO87" s="356"/>
      <c r="WUP87" s="356"/>
      <c r="WUQ87" s="356"/>
      <c r="WUR87" s="356"/>
      <c r="WUS87" s="356"/>
      <c r="WUT87" s="356"/>
      <c r="WUU87" s="356"/>
      <c r="WUV87" s="356"/>
      <c r="WUW87" s="356"/>
      <c r="WUX87" s="356"/>
      <c r="WUY87" s="356"/>
      <c r="WUZ87" s="356"/>
      <c r="WVA87" s="356"/>
      <c r="WVB87" s="356"/>
      <c r="WVC87" s="356"/>
      <c r="WVD87" s="356"/>
      <c r="WVE87" s="356"/>
      <c r="WVF87" s="356"/>
      <c r="WVG87" s="356"/>
      <c r="WVH87" s="356"/>
      <c r="WVI87" s="356"/>
      <c r="WVJ87" s="356"/>
      <c r="WVK87" s="356"/>
      <c r="WVL87" s="356"/>
      <c r="WVM87" s="356"/>
      <c r="WVN87" s="356"/>
      <c r="WVO87" s="356"/>
      <c r="WVP87" s="356"/>
      <c r="WVQ87" s="356"/>
      <c r="WVR87" s="356"/>
      <c r="WVS87" s="356"/>
      <c r="WVT87" s="356"/>
      <c r="WVU87" s="356"/>
      <c r="WVV87" s="356"/>
      <c r="WVW87" s="356"/>
      <c r="WVX87" s="356"/>
      <c r="WVY87" s="356"/>
      <c r="WVZ87" s="356"/>
      <c r="WWA87" s="356"/>
      <c r="WWB87" s="356"/>
      <c r="WWC87" s="356"/>
      <c r="WWD87" s="356"/>
      <c r="WWE87" s="356"/>
      <c r="WWF87" s="356"/>
      <c r="WWG87" s="356"/>
      <c r="WWH87" s="356"/>
      <c r="WWI87" s="356"/>
      <c r="WWJ87" s="356"/>
      <c r="WWK87" s="356"/>
      <c r="WWL87" s="356"/>
      <c r="WWM87" s="356"/>
      <c r="WWN87" s="356"/>
      <c r="WWO87" s="356"/>
      <c r="WWP87" s="356"/>
      <c r="WWQ87" s="356"/>
      <c r="WWR87" s="356"/>
      <c r="WWS87" s="356"/>
      <c r="WWT87" s="356"/>
      <c r="WWU87" s="356"/>
      <c r="WWV87" s="356"/>
      <c r="WWW87" s="356"/>
      <c r="WWX87" s="356"/>
      <c r="WWY87" s="356"/>
      <c r="WWZ87" s="356"/>
      <c r="WXA87" s="356"/>
      <c r="WXB87" s="356"/>
      <c r="WXC87" s="356"/>
      <c r="WXD87" s="356"/>
      <c r="WXE87" s="356"/>
      <c r="WXF87" s="356"/>
      <c r="WXG87" s="356"/>
      <c r="WXH87" s="356"/>
      <c r="WXI87" s="356"/>
      <c r="WXJ87" s="356"/>
      <c r="WXK87" s="356"/>
      <c r="WXL87" s="356"/>
      <c r="WXM87" s="356"/>
      <c r="WXN87" s="356"/>
      <c r="WXO87" s="356"/>
      <c r="WXP87" s="356"/>
      <c r="WXQ87" s="356"/>
      <c r="WXR87" s="356"/>
      <c r="WXS87" s="356"/>
      <c r="WXT87" s="356"/>
      <c r="WXU87" s="356"/>
      <c r="WXV87" s="356"/>
      <c r="WXW87" s="356"/>
      <c r="WXX87" s="356"/>
      <c r="WXY87" s="356"/>
      <c r="WXZ87" s="356"/>
      <c r="WYA87" s="356"/>
      <c r="WYB87" s="356"/>
      <c r="WYC87" s="356"/>
      <c r="WYD87" s="356"/>
      <c r="WYE87" s="356"/>
      <c r="WYF87" s="356"/>
      <c r="WYG87" s="356"/>
      <c r="WYH87" s="356"/>
      <c r="WYI87" s="356"/>
      <c r="WYJ87" s="356"/>
      <c r="WYK87" s="356"/>
      <c r="WYL87" s="356"/>
      <c r="WYM87" s="356"/>
      <c r="WYN87" s="356"/>
      <c r="WYO87" s="356"/>
      <c r="WYP87" s="356"/>
      <c r="WYQ87" s="356"/>
      <c r="WYR87" s="356"/>
      <c r="WYS87" s="356"/>
      <c r="WYT87" s="356"/>
      <c r="WYU87" s="356"/>
      <c r="WYV87" s="356"/>
      <c r="WYW87" s="356"/>
      <c r="WYX87" s="356"/>
      <c r="WYY87" s="356"/>
      <c r="WYZ87" s="356"/>
      <c r="WZA87" s="356"/>
      <c r="WZB87" s="356"/>
      <c r="WZC87" s="356"/>
      <c r="WZD87" s="356"/>
      <c r="WZE87" s="356"/>
      <c r="WZF87" s="356"/>
      <c r="WZG87" s="356"/>
      <c r="WZH87" s="356"/>
      <c r="WZI87" s="356"/>
      <c r="WZJ87" s="356"/>
      <c r="WZK87" s="356"/>
      <c r="WZL87" s="356"/>
      <c r="WZM87" s="356"/>
      <c r="WZN87" s="356"/>
      <c r="WZO87" s="356"/>
      <c r="WZP87" s="356"/>
      <c r="WZQ87" s="356"/>
      <c r="WZR87" s="356"/>
      <c r="WZS87" s="356"/>
      <c r="WZT87" s="356"/>
      <c r="WZU87" s="356"/>
      <c r="WZV87" s="356"/>
      <c r="WZW87" s="356"/>
      <c r="WZX87" s="356"/>
      <c r="WZY87" s="356"/>
      <c r="WZZ87" s="356"/>
      <c r="XAA87" s="356"/>
      <c r="XAB87" s="356"/>
      <c r="XAC87" s="356"/>
      <c r="XAD87" s="356"/>
      <c r="XAE87" s="356"/>
      <c r="XAF87" s="356"/>
      <c r="XAG87" s="356"/>
      <c r="XAH87" s="356"/>
      <c r="XAI87" s="356"/>
      <c r="XAJ87" s="356"/>
      <c r="XAK87" s="356"/>
      <c r="XAL87" s="356"/>
      <c r="XAM87" s="356"/>
      <c r="XAN87" s="356"/>
      <c r="XAO87" s="356"/>
      <c r="XAP87" s="356"/>
      <c r="XAQ87" s="356"/>
      <c r="XAR87" s="356"/>
      <c r="XAS87" s="356"/>
      <c r="XAT87" s="356"/>
      <c r="XAU87" s="356"/>
      <c r="XAV87" s="356"/>
      <c r="XAW87" s="356"/>
      <c r="XAX87" s="356"/>
      <c r="XAY87" s="356"/>
      <c r="XAZ87" s="356"/>
      <c r="XBA87" s="356"/>
      <c r="XBB87" s="356"/>
      <c r="XBC87" s="356"/>
      <c r="XBD87" s="356"/>
      <c r="XBE87" s="356"/>
      <c r="XBF87" s="356"/>
      <c r="XBG87" s="356"/>
      <c r="XBH87" s="356"/>
      <c r="XBI87" s="356"/>
      <c r="XBJ87" s="356"/>
      <c r="XBK87" s="356"/>
      <c r="XBL87" s="356"/>
      <c r="XBM87" s="356"/>
      <c r="XBN87" s="356"/>
      <c r="XBO87" s="356"/>
      <c r="XBP87" s="356"/>
      <c r="XBQ87" s="356"/>
      <c r="XBR87" s="356"/>
      <c r="XBS87" s="356"/>
      <c r="XBT87" s="356"/>
      <c r="XBU87" s="356"/>
      <c r="XBV87" s="356"/>
      <c r="XBW87" s="356"/>
      <c r="XBX87" s="356"/>
      <c r="XBY87" s="356"/>
      <c r="XBZ87" s="356"/>
      <c r="XCA87" s="356"/>
      <c r="XCB87" s="356"/>
      <c r="XCC87" s="356"/>
      <c r="XCD87" s="356"/>
      <c r="XCE87" s="356"/>
      <c r="XCF87" s="356"/>
      <c r="XCG87" s="356"/>
      <c r="XCH87" s="356"/>
      <c r="XCI87" s="356"/>
      <c r="XCJ87" s="356"/>
      <c r="XCK87" s="356"/>
      <c r="XCL87" s="356"/>
      <c r="XCM87" s="356"/>
      <c r="XCN87" s="356"/>
      <c r="XCO87" s="356"/>
      <c r="XCP87" s="356"/>
      <c r="XCQ87" s="356"/>
      <c r="XCR87" s="356"/>
      <c r="XCS87" s="356"/>
      <c r="XCT87" s="356"/>
      <c r="XCU87" s="356"/>
      <c r="XCV87" s="356"/>
      <c r="XCW87" s="356"/>
      <c r="XCX87" s="356"/>
      <c r="XCY87" s="356"/>
      <c r="XCZ87" s="356"/>
      <c r="XDA87" s="356"/>
      <c r="XDB87" s="356"/>
      <c r="XDC87" s="356"/>
      <c r="XDD87" s="356"/>
      <c r="XDE87" s="356"/>
      <c r="XDF87" s="356"/>
      <c r="XDG87" s="356"/>
      <c r="XDH87" s="356"/>
      <c r="XDI87" s="356"/>
      <c r="XDJ87" s="356"/>
      <c r="XDK87" s="356"/>
      <c r="XDL87" s="356"/>
      <c r="XDM87" s="356"/>
      <c r="XDN87" s="356"/>
      <c r="XDO87" s="356"/>
      <c r="XDP87" s="356"/>
      <c r="XDQ87" s="356"/>
      <c r="XDR87" s="356"/>
      <c r="XDS87" s="356"/>
      <c r="XDT87" s="356"/>
      <c r="XDU87" s="356"/>
      <c r="XDV87" s="356"/>
      <c r="XDW87" s="356"/>
      <c r="XDX87" s="356"/>
      <c r="XDY87" s="356"/>
      <c r="XDZ87" s="356"/>
      <c r="XEA87" s="356"/>
      <c r="XEB87" s="356"/>
      <c r="XEC87" s="356"/>
      <c r="XED87" s="356"/>
      <c r="XEE87" s="356"/>
      <c r="XEF87" s="356"/>
      <c r="XEG87" s="356"/>
      <c r="XEH87" s="356"/>
      <c r="XEI87" s="356"/>
      <c r="XEJ87" s="356"/>
      <c r="XEK87" s="356"/>
      <c r="XEL87" s="356"/>
      <c r="XEM87" s="356"/>
      <c r="XEN87" s="356"/>
      <c r="XEO87" s="356"/>
      <c r="XEP87" s="356"/>
      <c r="XEQ87" s="356"/>
      <c r="XER87" s="356"/>
      <c r="XES87" s="356"/>
      <c r="XET87" s="356"/>
      <c r="XEU87" s="356"/>
      <c r="XEV87" s="356"/>
      <c r="XEW87" s="356"/>
      <c r="XEX87" s="356"/>
      <c r="XEY87" s="356"/>
      <c r="XEZ87" s="356"/>
      <c r="XFA87" s="356"/>
      <c r="XFB87" s="356"/>
      <c r="XFC87" s="356"/>
      <c r="XFD87" s="356"/>
    </row>
    <row r="88" spans="2:16384" ht="13.5">
      <c r="B88" s="1216"/>
      <c r="C88" s="1197"/>
      <c r="D88" s="2063"/>
      <c r="E88" s="1309"/>
      <c r="F88" s="2204"/>
      <c r="G88" s="2190"/>
      <c r="H88" s="2190"/>
      <c r="I88" s="1220"/>
      <c r="J88" s="1579"/>
      <c r="K88" s="1238"/>
      <c r="M88" s="1481" t="s">
        <v>1836</v>
      </c>
      <c r="N88" s="1399"/>
      <c r="O88" s="1399"/>
      <c r="P88" s="1701">
        <f>S86</f>
        <v>754636.96616800001</v>
      </c>
      <c r="Q88" s="1702">
        <f>(S88/P88)^(1/R88)-1</f>
        <v>4.4591532995812866E-2</v>
      </c>
      <c r="R88" s="1703">
        <f>G18</f>
        <v>10</v>
      </c>
      <c r="S88" s="1704">
        <f>S85</f>
        <v>1167355.3783993484</v>
      </c>
      <c r="T88" s="1220"/>
      <c r="U88" s="356"/>
      <c r="V88" s="356"/>
      <c r="W88" s="356"/>
      <c r="X88" s="356"/>
      <c r="Y88" s="356"/>
      <c r="Z88" s="356"/>
      <c r="AA88" s="356"/>
      <c r="AB88" s="356"/>
      <c r="AC88" s="356"/>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356"/>
      <c r="BG88" s="356"/>
      <c r="BH88" s="356"/>
      <c r="BI88" s="356"/>
      <c r="BJ88" s="356"/>
      <c r="BK88" s="356"/>
      <c r="BL88" s="356"/>
      <c r="BM88" s="356"/>
      <c r="BN88" s="356"/>
      <c r="BO88" s="356"/>
      <c r="BP88" s="356"/>
      <c r="BQ88" s="356"/>
      <c r="BR88" s="356"/>
      <c r="BS88" s="356"/>
      <c r="BT88" s="356"/>
      <c r="BU88" s="356"/>
      <c r="BV88" s="356"/>
      <c r="BW88" s="356"/>
      <c r="BX88" s="356"/>
      <c r="BY88" s="356"/>
      <c r="BZ88" s="356"/>
      <c r="CA88" s="356"/>
      <c r="CB88" s="356"/>
      <c r="CC88" s="356"/>
      <c r="CD88" s="356"/>
      <c r="CE88" s="356"/>
      <c r="CF88" s="356"/>
      <c r="CG88" s="356"/>
      <c r="CH88" s="356"/>
      <c r="CI88" s="356"/>
      <c r="CJ88" s="356"/>
      <c r="CK88" s="356"/>
      <c r="CL88" s="356"/>
      <c r="CM88" s="356"/>
      <c r="CN88" s="356"/>
      <c r="CO88" s="356"/>
      <c r="CP88" s="356"/>
      <c r="CQ88" s="356"/>
      <c r="CR88" s="356"/>
      <c r="CS88" s="356"/>
      <c r="CT88" s="356"/>
      <c r="CU88" s="356"/>
      <c r="CV88" s="356"/>
      <c r="CW88" s="356"/>
      <c r="CX88" s="356"/>
      <c r="CY88" s="356"/>
      <c r="CZ88" s="356"/>
      <c r="DA88" s="356"/>
      <c r="DB88" s="356"/>
      <c r="DC88" s="356"/>
      <c r="DD88" s="356"/>
      <c r="DE88" s="356"/>
      <c r="DF88" s="356"/>
      <c r="DG88" s="356"/>
      <c r="DH88" s="356"/>
      <c r="DI88" s="356"/>
      <c r="DJ88" s="356"/>
      <c r="DK88" s="356"/>
      <c r="DL88" s="356"/>
      <c r="DM88" s="356"/>
      <c r="DN88" s="356"/>
      <c r="DO88" s="356"/>
      <c r="DP88" s="356"/>
      <c r="DQ88" s="356"/>
      <c r="DR88" s="356"/>
      <c r="DS88" s="356"/>
      <c r="DT88" s="356"/>
      <c r="DU88" s="356"/>
      <c r="DV88" s="356"/>
      <c r="DW88" s="356"/>
      <c r="DX88" s="356"/>
      <c r="DY88" s="356"/>
      <c r="DZ88" s="356"/>
      <c r="EA88" s="356"/>
      <c r="EB88" s="356"/>
      <c r="EC88" s="356"/>
      <c r="ED88" s="356"/>
      <c r="EE88" s="356"/>
      <c r="EF88" s="356"/>
      <c r="EG88" s="356"/>
      <c r="EH88" s="356"/>
      <c r="EI88" s="356"/>
      <c r="EJ88" s="356"/>
      <c r="EK88" s="356"/>
      <c r="EL88" s="356"/>
      <c r="EM88" s="356"/>
      <c r="EN88" s="356"/>
      <c r="EO88" s="356"/>
      <c r="EP88" s="356"/>
      <c r="EQ88" s="356"/>
      <c r="ER88" s="356"/>
      <c r="ES88" s="356"/>
      <c r="ET88" s="356"/>
      <c r="EU88" s="356"/>
      <c r="EV88" s="356"/>
      <c r="EW88" s="356"/>
      <c r="EX88" s="356"/>
      <c r="EY88" s="356"/>
      <c r="EZ88" s="356"/>
      <c r="FA88" s="356"/>
      <c r="FB88" s="356"/>
      <c r="FC88" s="356"/>
      <c r="FD88" s="356"/>
      <c r="FE88" s="356"/>
      <c r="FF88" s="356"/>
      <c r="FG88" s="356"/>
      <c r="FH88" s="356"/>
      <c r="FI88" s="356"/>
      <c r="FJ88" s="356"/>
      <c r="FK88" s="356"/>
      <c r="FL88" s="356"/>
      <c r="FM88" s="356"/>
      <c r="FN88" s="356"/>
      <c r="FO88" s="356"/>
      <c r="FP88" s="356"/>
      <c r="FQ88" s="356"/>
      <c r="FR88" s="356"/>
      <c r="FS88" s="356"/>
      <c r="FT88" s="356"/>
      <c r="FU88" s="356"/>
      <c r="FV88" s="356"/>
      <c r="FW88" s="356"/>
      <c r="FX88" s="356"/>
      <c r="FY88" s="356"/>
      <c r="FZ88" s="356"/>
      <c r="GA88" s="356"/>
      <c r="GB88" s="356"/>
      <c r="GC88" s="356"/>
      <c r="GD88" s="356"/>
      <c r="GE88" s="356"/>
      <c r="GF88" s="356"/>
      <c r="GG88" s="356"/>
      <c r="GH88" s="356"/>
      <c r="GI88" s="356"/>
      <c r="GJ88" s="356"/>
      <c r="GK88" s="356"/>
      <c r="GL88" s="356"/>
      <c r="GM88" s="356"/>
      <c r="GN88" s="356"/>
      <c r="GO88" s="356"/>
      <c r="GP88" s="356"/>
      <c r="GQ88" s="356"/>
      <c r="GR88" s="356"/>
      <c r="GS88" s="356"/>
      <c r="GT88" s="356"/>
      <c r="GU88" s="356"/>
      <c r="GV88" s="356"/>
      <c r="GW88" s="356"/>
      <c r="GX88" s="356"/>
      <c r="GY88" s="356"/>
      <c r="GZ88" s="356"/>
      <c r="HA88" s="356"/>
      <c r="HB88" s="356"/>
      <c r="HC88" s="356"/>
      <c r="HD88" s="356"/>
      <c r="HE88" s="356"/>
      <c r="HF88" s="356"/>
      <c r="HG88" s="356"/>
      <c r="HH88" s="356"/>
      <c r="HI88" s="356"/>
      <c r="HJ88" s="356"/>
      <c r="HK88" s="356"/>
      <c r="HL88" s="356"/>
      <c r="HM88" s="356"/>
      <c r="HN88" s="356"/>
      <c r="HO88" s="356"/>
      <c r="HP88" s="356"/>
      <c r="HQ88" s="356"/>
      <c r="HR88" s="356"/>
      <c r="HS88" s="356"/>
      <c r="HT88" s="356"/>
      <c r="HU88" s="356"/>
      <c r="HV88" s="356"/>
      <c r="HW88" s="356"/>
      <c r="HX88" s="356"/>
      <c r="HY88" s="356"/>
      <c r="HZ88" s="356"/>
      <c r="IA88" s="356"/>
      <c r="IB88" s="356"/>
      <c r="IC88" s="356"/>
      <c r="ID88" s="356"/>
      <c r="IE88" s="356"/>
      <c r="IF88" s="356"/>
      <c r="IG88" s="356"/>
      <c r="IH88" s="356"/>
      <c r="II88" s="356"/>
      <c r="IJ88" s="356"/>
      <c r="IK88" s="356"/>
      <c r="IL88" s="356"/>
      <c r="IM88" s="356"/>
      <c r="IN88" s="356"/>
      <c r="IO88" s="356"/>
      <c r="IP88" s="356"/>
      <c r="IQ88" s="356"/>
      <c r="IR88" s="356"/>
      <c r="IS88" s="356"/>
      <c r="IT88" s="356"/>
      <c r="IU88" s="356"/>
      <c r="IV88" s="356"/>
      <c r="IW88" s="356"/>
      <c r="IX88" s="356"/>
      <c r="IY88" s="356"/>
      <c r="IZ88" s="356"/>
      <c r="JA88" s="356"/>
      <c r="JB88" s="356"/>
      <c r="JC88" s="356"/>
      <c r="JD88" s="356"/>
      <c r="JE88" s="356"/>
      <c r="JF88" s="356"/>
      <c r="JG88" s="356"/>
      <c r="JH88" s="356"/>
      <c r="JI88" s="356"/>
      <c r="JJ88" s="356"/>
      <c r="JK88" s="356"/>
      <c r="JL88" s="356"/>
      <c r="JM88" s="356"/>
      <c r="JN88" s="356"/>
      <c r="JO88" s="356"/>
      <c r="JP88" s="356"/>
      <c r="JQ88" s="356"/>
      <c r="JR88" s="356"/>
      <c r="JS88" s="356"/>
      <c r="JT88" s="356"/>
      <c r="JU88" s="356"/>
      <c r="JV88" s="356"/>
      <c r="JW88" s="356"/>
      <c r="JX88" s="356"/>
      <c r="JY88" s="356"/>
      <c r="JZ88" s="356"/>
      <c r="KA88" s="356"/>
      <c r="KB88" s="356"/>
      <c r="KC88" s="356"/>
      <c r="KD88" s="356"/>
      <c r="KE88" s="356"/>
      <c r="KF88" s="356"/>
      <c r="KG88" s="356"/>
      <c r="KH88" s="356"/>
      <c r="KI88" s="356"/>
      <c r="KJ88" s="356"/>
      <c r="KK88" s="356"/>
      <c r="KL88" s="356"/>
      <c r="KM88" s="356"/>
      <c r="KN88" s="356"/>
      <c r="KO88" s="356"/>
      <c r="KP88" s="356"/>
      <c r="KQ88" s="356"/>
      <c r="KR88" s="356"/>
      <c r="KS88" s="356"/>
      <c r="KT88" s="356"/>
      <c r="KU88" s="356"/>
      <c r="KV88" s="356"/>
      <c r="KW88" s="356"/>
      <c r="KX88" s="356"/>
      <c r="KY88" s="356"/>
      <c r="KZ88" s="356"/>
      <c r="LA88" s="356"/>
      <c r="LB88" s="356"/>
      <c r="LC88" s="356"/>
      <c r="LD88" s="356"/>
      <c r="LE88" s="356"/>
      <c r="LF88" s="356"/>
      <c r="LG88" s="356"/>
      <c r="LH88" s="356"/>
      <c r="LI88" s="356"/>
      <c r="LJ88" s="356"/>
      <c r="LK88" s="356"/>
      <c r="LL88" s="356"/>
      <c r="LM88" s="356"/>
      <c r="LN88" s="356"/>
      <c r="LO88" s="356"/>
      <c r="LP88" s="356"/>
      <c r="LQ88" s="356"/>
      <c r="LR88" s="356"/>
      <c r="LS88" s="356"/>
      <c r="LT88" s="356"/>
      <c r="LU88" s="356"/>
      <c r="LV88" s="356"/>
      <c r="LW88" s="356"/>
      <c r="LX88" s="356"/>
      <c r="LY88" s="356"/>
      <c r="LZ88" s="356"/>
      <c r="MA88" s="356"/>
      <c r="MB88" s="356"/>
      <c r="MC88" s="356"/>
      <c r="MD88" s="356"/>
      <c r="ME88" s="356"/>
      <c r="MF88" s="356"/>
      <c r="MG88" s="356"/>
      <c r="MH88" s="356"/>
      <c r="MI88" s="356"/>
      <c r="MJ88" s="356"/>
      <c r="MK88" s="356"/>
      <c r="ML88" s="356"/>
      <c r="MM88" s="356"/>
      <c r="MN88" s="356"/>
      <c r="MO88" s="356"/>
      <c r="MP88" s="356"/>
      <c r="MQ88" s="356"/>
      <c r="MR88" s="356"/>
      <c r="MS88" s="356"/>
      <c r="MT88" s="356"/>
      <c r="MU88" s="356"/>
      <c r="MV88" s="356"/>
      <c r="MW88" s="356"/>
      <c r="MX88" s="356"/>
      <c r="MY88" s="356"/>
      <c r="MZ88" s="356"/>
      <c r="NA88" s="356"/>
      <c r="NB88" s="356"/>
      <c r="NC88" s="356"/>
      <c r="ND88" s="356"/>
      <c r="NE88" s="356"/>
      <c r="NF88" s="356"/>
      <c r="NG88" s="356"/>
      <c r="NH88" s="356"/>
      <c r="NI88" s="356"/>
      <c r="NJ88" s="356"/>
      <c r="NK88" s="356"/>
      <c r="NL88" s="356"/>
      <c r="NM88" s="356"/>
      <c r="NN88" s="356"/>
      <c r="NO88" s="356"/>
      <c r="NP88" s="356"/>
      <c r="NQ88" s="356"/>
      <c r="NR88" s="356"/>
      <c r="NS88" s="356"/>
      <c r="NT88" s="356"/>
      <c r="NU88" s="356"/>
      <c r="NV88" s="356"/>
      <c r="NW88" s="356"/>
      <c r="NX88" s="356"/>
      <c r="NY88" s="356"/>
      <c r="NZ88" s="356"/>
      <c r="OA88" s="356"/>
      <c r="OB88" s="356"/>
      <c r="OC88" s="356"/>
      <c r="OD88" s="356"/>
      <c r="OE88" s="356"/>
      <c r="OF88" s="356"/>
      <c r="OG88" s="356"/>
      <c r="OH88" s="356"/>
      <c r="OI88" s="356"/>
      <c r="OJ88" s="356"/>
      <c r="OK88" s="356"/>
      <c r="OL88" s="356"/>
      <c r="OM88" s="356"/>
      <c r="ON88" s="356"/>
      <c r="OO88" s="356"/>
      <c r="OP88" s="356"/>
      <c r="OQ88" s="356"/>
      <c r="OR88" s="356"/>
      <c r="OS88" s="356"/>
      <c r="OT88" s="356"/>
      <c r="OU88" s="356"/>
      <c r="OV88" s="356"/>
      <c r="OW88" s="356"/>
      <c r="OX88" s="356"/>
      <c r="OY88" s="356"/>
      <c r="OZ88" s="356"/>
      <c r="PA88" s="356"/>
      <c r="PB88" s="356"/>
      <c r="PC88" s="356"/>
      <c r="PD88" s="356"/>
      <c r="PE88" s="356"/>
      <c r="PF88" s="356"/>
      <c r="PG88" s="356"/>
      <c r="PH88" s="356"/>
      <c r="PI88" s="356"/>
      <c r="PJ88" s="356"/>
      <c r="PK88" s="356"/>
      <c r="PL88" s="356"/>
      <c r="PM88" s="356"/>
      <c r="PN88" s="356"/>
      <c r="PO88" s="356"/>
      <c r="PP88" s="356"/>
      <c r="PQ88" s="356"/>
      <c r="PR88" s="356"/>
      <c r="PS88" s="356"/>
      <c r="PT88" s="356"/>
      <c r="PU88" s="356"/>
      <c r="PV88" s="356"/>
      <c r="PW88" s="356"/>
      <c r="PX88" s="356"/>
      <c r="PY88" s="356"/>
      <c r="PZ88" s="356"/>
      <c r="QA88" s="356"/>
      <c r="QB88" s="356"/>
      <c r="QC88" s="356"/>
      <c r="QD88" s="356"/>
      <c r="QE88" s="356"/>
      <c r="QF88" s="356"/>
      <c r="QG88" s="356"/>
      <c r="QH88" s="356"/>
      <c r="QI88" s="356"/>
      <c r="QJ88" s="356"/>
      <c r="QK88" s="356"/>
      <c r="QL88" s="356"/>
      <c r="QM88" s="356"/>
      <c r="QN88" s="356"/>
      <c r="QO88" s="356"/>
      <c r="QP88" s="356"/>
      <c r="QQ88" s="356"/>
      <c r="QR88" s="356"/>
      <c r="QS88" s="356"/>
      <c r="QT88" s="356"/>
      <c r="QU88" s="356"/>
      <c r="QV88" s="356"/>
      <c r="QW88" s="356"/>
      <c r="QX88" s="356"/>
      <c r="QY88" s="356"/>
      <c r="QZ88" s="356"/>
      <c r="RA88" s="356"/>
      <c r="RB88" s="356"/>
      <c r="RC88" s="356"/>
      <c r="RD88" s="356"/>
      <c r="RE88" s="356"/>
      <c r="RF88" s="356"/>
      <c r="RG88" s="356"/>
      <c r="RH88" s="356"/>
      <c r="RI88" s="356"/>
      <c r="RJ88" s="356"/>
      <c r="RK88" s="356"/>
      <c r="RL88" s="356"/>
      <c r="RM88" s="356"/>
      <c r="RN88" s="356"/>
      <c r="RO88" s="356"/>
      <c r="RP88" s="356"/>
      <c r="RQ88" s="356"/>
      <c r="RR88" s="356"/>
      <c r="RS88" s="356"/>
      <c r="RT88" s="356"/>
      <c r="RU88" s="356"/>
      <c r="RV88" s="356"/>
      <c r="RW88" s="356"/>
      <c r="RX88" s="356"/>
      <c r="RY88" s="356"/>
      <c r="RZ88" s="356"/>
      <c r="SA88" s="356"/>
      <c r="SB88" s="356"/>
      <c r="SC88" s="356"/>
      <c r="SD88" s="356"/>
      <c r="SE88" s="356"/>
      <c r="SF88" s="356"/>
      <c r="SG88" s="356"/>
      <c r="SH88" s="356"/>
      <c r="SI88" s="356"/>
      <c r="SJ88" s="356"/>
      <c r="SK88" s="356"/>
      <c r="SL88" s="356"/>
      <c r="SM88" s="356"/>
      <c r="SN88" s="356"/>
      <c r="SO88" s="356"/>
      <c r="SP88" s="356"/>
      <c r="SQ88" s="356"/>
      <c r="SR88" s="356"/>
      <c r="SS88" s="356"/>
      <c r="ST88" s="356"/>
      <c r="SU88" s="356"/>
      <c r="SV88" s="356"/>
      <c r="SW88" s="356"/>
      <c r="SX88" s="356"/>
      <c r="SY88" s="356"/>
      <c r="SZ88" s="356"/>
      <c r="TA88" s="356"/>
      <c r="TB88" s="356"/>
      <c r="TC88" s="356"/>
      <c r="TD88" s="356"/>
      <c r="TE88" s="356"/>
      <c r="TF88" s="356"/>
      <c r="TG88" s="356"/>
      <c r="TH88" s="356"/>
      <c r="TI88" s="356"/>
      <c r="TJ88" s="356"/>
      <c r="TK88" s="356"/>
      <c r="TL88" s="356"/>
      <c r="TM88" s="356"/>
      <c r="TN88" s="356"/>
      <c r="TO88" s="356"/>
      <c r="TP88" s="356"/>
      <c r="TQ88" s="356"/>
      <c r="TR88" s="356"/>
      <c r="TS88" s="356"/>
      <c r="TT88" s="356"/>
      <c r="TU88" s="356"/>
      <c r="TV88" s="356"/>
      <c r="TW88" s="356"/>
      <c r="TX88" s="356"/>
      <c r="TY88" s="356"/>
      <c r="TZ88" s="356"/>
      <c r="UA88" s="356"/>
      <c r="UB88" s="356"/>
      <c r="UC88" s="356"/>
      <c r="UD88" s="356"/>
      <c r="UE88" s="356"/>
      <c r="UF88" s="356"/>
      <c r="UG88" s="356"/>
      <c r="UH88" s="356"/>
      <c r="UI88" s="356"/>
      <c r="UJ88" s="356"/>
      <c r="UK88" s="356"/>
      <c r="UL88" s="356"/>
      <c r="UM88" s="356"/>
      <c r="UN88" s="356"/>
      <c r="UO88" s="356"/>
      <c r="UP88" s="356"/>
      <c r="UQ88" s="356"/>
      <c r="UR88" s="356"/>
      <c r="US88" s="356"/>
      <c r="UT88" s="356"/>
      <c r="UU88" s="356"/>
      <c r="UV88" s="356"/>
      <c r="UW88" s="356"/>
      <c r="UX88" s="356"/>
      <c r="UY88" s="356"/>
      <c r="UZ88" s="356"/>
      <c r="VA88" s="356"/>
      <c r="VB88" s="356"/>
      <c r="VC88" s="356"/>
      <c r="VD88" s="356"/>
      <c r="VE88" s="356"/>
      <c r="VF88" s="356"/>
      <c r="VG88" s="356"/>
      <c r="VH88" s="356"/>
      <c r="VI88" s="356"/>
      <c r="VJ88" s="356"/>
      <c r="VK88" s="356"/>
      <c r="VL88" s="356"/>
      <c r="VM88" s="356"/>
      <c r="VN88" s="356"/>
      <c r="VO88" s="356"/>
      <c r="VP88" s="356"/>
      <c r="VQ88" s="356"/>
      <c r="VR88" s="356"/>
      <c r="VS88" s="356"/>
      <c r="VT88" s="356"/>
      <c r="VU88" s="356"/>
      <c r="VV88" s="356"/>
      <c r="VW88" s="356"/>
      <c r="VX88" s="356"/>
      <c r="VY88" s="356"/>
      <c r="VZ88" s="356"/>
      <c r="WA88" s="356"/>
      <c r="WB88" s="356"/>
      <c r="WC88" s="356"/>
      <c r="WD88" s="356"/>
      <c r="WE88" s="356"/>
      <c r="WF88" s="356"/>
      <c r="WG88" s="356"/>
      <c r="WH88" s="356"/>
      <c r="WI88" s="356"/>
      <c r="WJ88" s="356"/>
      <c r="WK88" s="356"/>
      <c r="WL88" s="356"/>
      <c r="WM88" s="356"/>
      <c r="WN88" s="356"/>
      <c r="WO88" s="356"/>
      <c r="WP88" s="356"/>
      <c r="WQ88" s="356"/>
      <c r="WR88" s="356"/>
      <c r="WS88" s="356"/>
      <c r="WT88" s="356"/>
      <c r="WU88" s="356"/>
      <c r="WV88" s="356"/>
      <c r="WW88" s="356"/>
      <c r="WX88" s="356"/>
      <c r="WY88" s="356"/>
      <c r="WZ88" s="356"/>
      <c r="XA88" s="356"/>
      <c r="XB88" s="356"/>
      <c r="XC88" s="356"/>
      <c r="XD88" s="356"/>
      <c r="XE88" s="356"/>
      <c r="XF88" s="356"/>
      <c r="XG88" s="356"/>
      <c r="XH88" s="356"/>
      <c r="XI88" s="356"/>
      <c r="XJ88" s="356"/>
      <c r="XK88" s="356"/>
      <c r="XL88" s="356"/>
      <c r="XM88" s="356"/>
      <c r="XN88" s="356"/>
      <c r="XO88" s="356"/>
      <c r="XP88" s="356"/>
      <c r="XQ88" s="356"/>
      <c r="XR88" s="356"/>
      <c r="XS88" s="356"/>
      <c r="XT88" s="356"/>
      <c r="XU88" s="356"/>
      <c r="XV88" s="356"/>
      <c r="XW88" s="356"/>
      <c r="XX88" s="356"/>
      <c r="XY88" s="356"/>
      <c r="XZ88" s="356"/>
      <c r="YA88" s="356"/>
      <c r="YB88" s="356"/>
      <c r="YC88" s="356"/>
      <c r="YD88" s="356"/>
      <c r="YE88" s="356"/>
      <c r="YF88" s="356"/>
      <c r="YG88" s="356"/>
      <c r="YH88" s="356"/>
      <c r="YI88" s="356"/>
      <c r="YJ88" s="356"/>
      <c r="YK88" s="356"/>
      <c r="YL88" s="356"/>
      <c r="YM88" s="356"/>
      <c r="YN88" s="356"/>
      <c r="YO88" s="356"/>
      <c r="YP88" s="356"/>
      <c r="YQ88" s="356"/>
      <c r="YR88" s="356"/>
      <c r="YS88" s="356"/>
      <c r="YT88" s="356"/>
      <c r="YU88" s="356"/>
      <c r="YV88" s="356"/>
      <c r="YW88" s="356"/>
      <c r="YX88" s="356"/>
      <c r="YY88" s="356"/>
      <c r="YZ88" s="356"/>
      <c r="ZA88" s="356"/>
      <c r="ZB88" s="356"/>
      <c r="ZC88" s="356"/>
      <c r="ZD88" s="356"/>
      <c r="ZE88" s="356"/>
      <c r="ZF88" s="356"/>
      <c r="ZG88" s="356"/>
      <c r="ZH88" s="356"/>
      <c r="ZI88" s="356"/>
      <c r="ZJ88" s="356"/>
      <c r="ZK88" s="356"/>
      <c r="ZL88" s="356"/>
      <c r="ZM88" s="356"/>
      <c r="ZN88" s="356"/>
      <c r="ZO88" s="356"/>
      <c r="ZP88" s="356"/>
      <c r="ZQ88" s="356"/>
      <c r="ZR88" s="356"/>
      <c r="ZS88" s="356"/>
      <c r="ZT88" s="356"/>
      <c r="ZU88" s="356"/>
      <c r="ZV88" s="356"/>
      <c r="ZW88" s="356"/>
      <c r="ZX88" s="356"/>
      <c r="ZY88" s="356"/>
      <c r="ZZ88" s="356"/>
      <c r="AAA88" s="356"/>
      <c r="AAB88" s="356"/>
      <c r="AAC88" s="356"/>
      <c r="AAD88" s="356"/>
      <c r="AAE88" s="356"/>
      <c r="AAF88" s="356"/>
      <c r="AAG88" s="356"/>
      <c r="AAH88" s="356"/>
      <c r="AAI88" s="356"/>
      <c r="AAJ88" s="356"/>
      <c r="AAK88" s="356"/>
      <c r="AAL88" s="356"/>
      <c r="AAM88" s="356"/>
      <c r="AAN88" s="356"/>
      <c r="AAO88" s="356"/>
      <c r="AAP88" s="356"/>
      <c r="AAQ88" s="356"/>
      <c r="AAR88" s="356"/>
      <c r="AAS88" s="356"/>
      <c r="AAT88" s="356"/>
      <c r="AAU88" s="356"/>
      <c r="AAV88" s="356"/>
      <c r="AAW88" s="356"/>
      <c r="AAX88" s="356"/>
      <c r="AAY88" s="356"/>
      <c r="AAZ88" s="356"/>
      <c r="ABA88" s="356"/>
      <c r="ABB88" s="356"/>
      <c r="ABC88" s="356"/>
      <c r="ABD88" s="356"/>
      <c r="ABE88" s="356"/>
      <c r="ABF88" s="356"/>
      <c r="ABG88" s="356"/>
      <c r="ABH88" s="356"/>
      <c r="ABI88" s="356"/>
      <c r="ABJ88" s="356"/>
      <c r="ABK88" s="356"/>
      <c r="ABL88" s="356"/>
      <c r="ABM88" s="356"/>
      <c r="ABN88" s="356"/>
      <c r="ABO88" s="356"/>
      <c r="ABP88" s="356"/>
      <c r="ABQ88" s="356"/>
      <c r="ABR88" s="356"/>
      <c r="ABS88" s="356"/>
      <c r="ABT88" s="356"/>
      <c r="ABU88" s="356"/>
      <c r="ABV88" s="356"/>
      <c r="ABW88" s="356"/>
      <c r="ABX88" s="356"/>
      <c r="ABY88" s="356"/>
      <c r="ABZ88" s="356"/>
      <c r="ACA88" s="356"/>
      <c r="ACB88" s="356"/>
      <c r="ACC88" s="356"/>
      <c r="ACD88" s="356"/>
      <c r="ACE88" s="356"/>
      <c r="ACF88" s="356"/>
      <c r="ACG88" s="356"/>
      <c r="ACH88" s="356"/>
      <c r="ACI88" s="356"/>
      <c r="ACJ88" s="356"/>
      <c r="ACK88" s="356"/>
      <c r="ACL88" s="356"/>
      <c r="ACM88" s="356"/>
      <c r="ACN88" s="356"/>
      <c r="ACO88" s="356"/>
      <c r="ACP88" s="356"/>
      <c r="ACQ88" s="356"/>
      <c r="ACR88" s="356"/>
      <c r="ACS88" s="356"/>
      <c r="ACT88" s="356"/>
      <c r="ACU88" s="356"/>
      <c r="ACV88" s="356"/>
      <c r="ACW88" s="356"/>
      <c r="ACX88" s="356"/>
      <c r="ACY88" s="356"/>
      <c r="ACZ88" s="356"/>
      <c r="ADA88" s="356"/>
      <c r="ADB88" s="356"/>
      <c r="ADC88" s="356"/>
      <c r="ADD88" s="356"/>
      <c r="ADE88" s="356"/>
      <c r="ADF88" s="356"/>
      <c r="ADG88" s="356"/>
      <c r="ADH88" s="356"/>
      <c r="ADI88" s="356"/>
      <c r="ADJ88" s="356"/>
      <c r="ADK88" s="356"/>
      <c r="ADL88" s="356"/>
      <c r="ADM88" s="356"/>
      <c r="ADN88" s="356"/>
      <c r="ADO88" s="356"/>
      <c r="ADP88" s="356"/>
      <c r="ADQ88" s="356"/>
      <c r="ADR88" s="356"/>
      <c r="ADS88" s="356"/>
      <c r="ADT88" s="356"/>
      <c r="ADU88" s="356"/>
      <c r="ADV88" s="356"/>
      <c r="ADW88" s="356"/>
      <c r="ADX88" s="356"/>
      <c r="ADY88" s="356"/>
      <c r="ADZ88" s="356"/>
      <c r="AEA88" s="356"/>
      <c r="AEB88" s="356"/>
      <c r="AEC88" s="356"/>
      <c r="AED88" s="356"/>
      <c r="AEE88" s="356"/>
      <c r="AEF88" s="356"/>
      <c r="AEG88" s="356"/>
      <c r="AEH88" s="356"/>
      <c r="AEI88" s="356"/>
      <c r="AEJ88" s="356"/>
      <c r="AEK88" s="356"/>
      <c r="AEL88" s="356"/>
      <c r="AEM88" s="356"/>
      <c r="AEN88" s="356"/>
      <c r="AEO88" s="356"/>
      <c r="AEP88" s="356"/>
      <c r="AEQ88" s="356"/>
      <c r="AER88" s="356"/>
      <c r="AES88" s="356"/>
      <c r="AET88" s="356"/>
      <c r="AEU88" s="356"/>
      <c r="AEV88" s="356"/>
      <c r="AEW88" s="356"/>
      <c r="AEX88" s="356"/>
      <c r="AEY88" s="356"/>
      <c r="AEZ88" s="356"/>
      <c r="AFA88" s="356"/>
      <c r="AFB88" s="356"/>
      <c r="AFC88" s="356"/>
      <c r="AFD88" s="356"/>
      <c r="AFE88" s="356"/>
      <c r="AFF88" s="356"/>
      <c r="AFG88" s="356"/>
      <c r="AFH88" s="356"/>
      <c r="AFI88" s="356"/>
      <c r="AFJ88" s="356"/>
      <c r="AFK88" s="356"/>
      <c r="AFL88" s="356"/>
      <c r="AFM88" s="356"/>
      <c r="AFN88" s="356"/>
      <c r="AFO88" s="356"/>
      <c r="AFP88" s="356"/>
      <c r="AFQ88" s="356"/>
      <c r="AFR88" s="356"/>
      <c r="AFS88" s="356"/>
      <c r="AFT88" s="356"/>
      <c r="AFU88" s="356"/>
      <c r="AFV88" s="356"/>
      <c r="AFW88" s="356"/>
      <c r="AFX88" s="356"/>
      <c r="AFY88" s="356"/>
      <c r="AFZ88" s="356"/>
      <c r="AGA88" s="356"/>
      <c r="AGB88" s="356"/>
      <c r="AGC88" s="356"/>
      <c r="AGD88" s="356"/>
      <c r="AGE88" s="356"/>
      <c r="AGF88" s="356"/>
      <c r="AGG88" s="356"/>
      <c r="AGH88" s="356"/>
      <c r="AGI88" s="356"/>
      <c r="AGJ88" s="356"/>
      <c r="AGK88" s="356"/>
      <c r="AGL88" s="356"/>
      <c r="AGM88" s="356"/>
      <c r="AGN88" s="356"/>
      <c r="AGO88" s="356"/>
      <c r="AGP88" s="356"/>
      <c r="AGQ88" s="356"/>
      <c r="AGR88" s="356"/>
      <c r="AGS88" s="356"/>
      <c r="AGT88" s="356"/>
      <c r="AGU88" s="356"/>
      <c r="AGV88" s="356"/>
      <c r="AGW88" s="356"/>
      <c r="AGX88" s="356"/>
      <c r="AGY88" s="356"/>
      <c r="AGZ88" s="356"/>
      <c r="AHA88" s="356"/>
      <c r="AHB88" s="356"/>
      <c r="AHC88" s="356"/>
      <c r="AHD88" s="356"/>
      <c r="AHE88" s="356"/>
      <c r="AHF88" s="356"/>
      <c r="AHG88" s="356"/>
      <c r="AHH88" s="356"/>
      <c r="AHI88" s="356"/>
      <c r="AHJ88" s="356"/>
      <c r="AHK88" s="356"/>
      <c r="AHL88" s="356"/>
      <c r="AHM88" s="356"/>
      <c r="AHN88" s="356"/>
      <c r="AHO88" s="356"/>
      <c r="AHP88" s="356"/>
      <c r="AHQ88" s="356"/>
      <c r="AHR88" s="356"/>
      <c r="AHS88" s="356"/>
      <c r="AHT88" s="356"/>
      <c r="AHU88" s="356"/>
      <c r="AHV88" s="356"/>
      <c r="AHW88" s="356"/>
      <c r="AHX88" s="356"/>
      <c r="AHY88" s="356"/>
      <c r="AHZ88" s="356"/>
      <c r="AIA88" s="356"/>
      <c r="AIB88" s="356"/>
      <c r="AIC88" s="356"/>
      <c r="AID88" s="356"/>
      <c r="AIE88" s="356"/>
      <c r="AIF88" s="356"/>
      <c r="AIG88" s="356"/>
      <c r="AIH88" s="356"/>
      <c r="AII88" s="356"/>
      <c r="AIJ88" s="356"/>
      <c r="AIK88" s="356"/>
      <c r="AIL88" s="356"/>
      <c r="AIM88" s="356"/>
      <c r="AIN88" s="356"/>
      <c r="AIO88" s="356"/>
      <c r="AIP88" s="356"/>
      <c r="AIQ88" s="356"/>
      <c r="AIR88" s="356"/>
      <c r="AIS88" s="356"/>
      <c r="AIT88" s="356"/>
      <c r="AIU88" s="356"/>
      <c r="AIV88" s="356"/>
      <c r="AIW88" s="356"/>
      <c r="AIX88" s="356"/>
      <c r="AIY88" s="356"/>
      <c r="AIZ88" s="356"/>
      <c r="AJA88" s="356"/>
      <c r="AJB88" s="356"/>
      <c r="AJC88" s="356"/>
      <c r="AJD88" s="356"/>
      <c r="AJE88" s="356"/>
      <c r="AJF88" s="356"/>
      <c r="AJG88" s="356"/>
      <c r="AJH88" s="356"/>
      <c r="AJI88" s="356"/>
      <c r="AJJ88" s="356"/>
      <c r="AJK88" s="356"/>
      <c r="AJL88" s="356"/>
      <c r="AJM88" s="356"/>
      <c r="AJN88" s="356"/>
      <c r="AJO88" s="356"/>
      <c r="AJP88" s="356"/>
      <c r="AJQ88" s="356"/>
      <c r="AJR88" s="356"/>
      <c r="AJS88" s="356"/>
      <c r="AJT88" s="356"/>
      <c r="AJU88" s="356"/>
      <c r="AJV88" s="356"/>
      <c r="AJW88" s="356"/>
      <c r="AJX88" s="356"/>
      <c r="AJY88" s="356"/>
      <c r="AJZ88" s="356"/>
      <c r="AKA88" s="356"/>
      <c r="AKB88" s="356"/>
      <c r="AKC88" s="356"/>
      <c r="AKD88" s="356"/>
      <c r="AKE88" s="356"/>
      <c r="AKF88" s="356"/>
      <c r="AKG88" s="356"/>
      <c r="AKH88" s="356"/>
      <c r="AKI88" s="356"/>
      <c r="AKJ88" s="356"/>
      <c r="AKK88" s="356"/>
      <c r="AKL88" s="356"/>
      <c r="AKM88" s="356"/>
      <c r="AKN88" s="356"/>
      <c r="AKO88" s="356"/>
      <c r="AKP88" s="356"/>
      <c r="AKQ88" s="356"/>
      <c r="AKR88" s="356"/>
      <c r="AKS88" s="356"/>
      <c r="AKT88" s="356"/>
      <c r="AKU88" s="356"/>
      <c r="AKV88" s="356"/>
      <c r="AKW88" s="356"/>
      <c r="AKX88" s="356"/>
      <c r="AKY88" s="356"/>
      <c r="AKZ88" s="356"/>
      <c r="ALA88" s="356"/>
      <c r="ALB88" s="356"/>
      <c r="ALC88" s="356"/>
      <c r="ALD88" s="356"/>
      <c r="ALE88" s="356"/>
      <c r="ALF88" s="356"/>
      <c r="ALG88" s="356"/>
      <c r="ALH88" s="356"/>
      <c r="ALI88" s="356"/>
      <c r="ALJ88" s="356"/>
      <c r="ALK88" s="356"/>
      <c r="ALL88" s="356"/>
      <c r="ALM88" s="356"/>
      <c r="ALN88" s="356"/>
      <c r="ALO88" s="356"/>
      <c r="ALP88" s="356"/>
      <c r="ALQ88" s="356"/>
      <c r="ALR88" s="356"/>
      <c r="ALS88" s="356"/>
      <c r="ALT88" s="356"/>
      <c r="ALU88" s="356"/>
      <c r="ALV88" s="356"/>
      <c r="ALW88" s="356"/>
      <c r="ALX88" s="356"/>
      <c r="ALY88" s="356"/>
      <c r="ALZ88" s="356"/>
      <c r="AMA88" s="356"/>
      <c r="AMB88" s="356"/>
      <c r="AMC88" s="356"/>
      <c r="AMD88" s="356"/>
      <c r="AME88" s="356"/>
      <c r="AMF88" s="356"/>
      <c r="AMG88" s="356"/>
      <c r="AMH88" s="356"/>
      <c r="AMI88" s="356"/>
      <c r="AMJ88" s="356"/>
      <c r="AMK88" s="356"/>
      <c r="AML88" s="356"/>
      <c r="AMM88" s="356"/>
      <c r="AMN88" s="356"/>
      <c r="AMO88" s="356"/>
      <c r="AMP88" s="356"/>
      <c r="AMQ88" s="356"/>
      <c r="AMR88" s="356"/>
      <c r="AMS88" s="356"/>
      <c r="AMT88" s="356"/>
      <c r="AMU88" s="356"/>
      <c r="AMV88" s="356"/>
      <c r="AMW88" s="356"/>
      <c r="AMX88" s="356"/>
      <c r="AMY88" s="356"/>
      <c r="AMZ88" s="356"/>
      <c r="ANA88" s="356"/>
      <c r="ANB88" s="356"/>
      <c r="ANC88" s="356"/>
      <c r="AND88" s="356"/>
      <c r="ANE88" s="356"/>
      <c r="ANF88" s="356"/>
      <c r="ANG88" s="356"/>
      <c r="ANH88" s="356"/>
      <c r="ANI88" s="356"/>
      <c r="ANJ88" s="356"/>
      <c r="ANK88" s="356"/>
      <c r="ANL88" s="356"/>
      <c r="ANM88" s="356"/>
      <c r="ANN88" s="356"/>
      <c r="ANO88" s="356"/>
      <c r="ANP88" s="356"/>
      <c r="ANQ88" s="356"/>
      <c r="ANR88" s="356"/>
      <c r="ANS88" s="356"/>
      <c r="ANT88" s="356"/>
      <c r="ANU88" s="356"/>
      <c r="ANV88" s="356"/>
      <c r="ANW88" s="356"/>
      <c r="ANX88" s="356"/>
      <c r="ANY88" s="356"/>
      <c r="ANZ88" s="356"/>
      <c r="AOA88" s="356"/>
      <c r="AOB88" s="356"/>
      <c r="AOC88" s="356"/>
      <c r="AOD88" s="356"/>
      <c r="AOE88" s="356"/>
      <c r="AOF88" s="356"/>
      <c r="AOG88" s="356"/>
      <c r="AOH88" s="356"/>
      <c r="AOI88" s="356"/>
      <c r="AOJ88" s="356"/>
      <c r="AOK88" s="356"/>
      <c r="AOL88" s="356"/>
      <c r="AOM88" s="356"/>
      <c r="AON88" s="356"/>
      <c r="AOO88" s="356"/>
      <c r="AOP88" s="356"/>
      <c r="AOQ88" s="356"/>
      <c r="AOR88" s="356"/>
      <c r="AOS88" s="356"/>
      <c r="AOT88" s="356"/>
      <c r="AOU88" s="356"/>
      <c r="AOV88" s="356"/>
      <c r="AOW88" s="356"/>
      <c r="AOX88" s="356"/>
      <c r="AOY88" s="356"/>
      <c r="AOZ88" s="356"/>
      <c r="APA88" s="356"/>
      <c r="APB88" s="356"/>
      <c r="APC88" s="356"/>
      <c r="APD88" s="356"/>
      <c r="APE88" s="356"/>
      <c r="APF88" s="356"/>
      <c r="APG88" s="356"/>
      <c r="APH88" s="356"/>
      <c r="API88" s="356"/>
      <c r="APJ88" s="356"/>
      <c r="APK88" s="356"/>
      <c r="APL88" s="356"/>
      <c r="APM88" s="356"/>
      <c r="APN88" s="356"/>
      <c r="APO88" s="356"/>
      <c r="APP88" s="356"/>
      <c r="APQ88" s="356"/>
      <c r="APR88" s="356"/>
      <c r="APS88" s="356"/>
      <c r="APT88" s="356"/>
      <c r="APU88" s="356"/>
      <c r="APV88" s="356"/>
      <c r="APW88" s="356"/>
      <c r="APX88" s="356"/>
      <c r="APY88" s="356"/>
      <c r="APZ88" s="356"/>
      <c r="AQA88" s="356"/>
      <c r="AQB88" s="356"/>
      <c r="AQC88" s="356"/>
      <c r="AQD88" s="356"/>
      <c r="AQE88" s="356"/>
      <c r="AQF88" s="356"/>
      <c r="AQG88" s="356"/>
      <c r="AQH88" s="356"/>
      <c r="AQI88" s="356"/>
      <c r="AQJ88" s="356"/>
      <c r="AQK88" s="356"/>
      <c r="AQL88" s="356"/>
      <c r="AQM88" s="356"/>
      <c r="AQN88" s="356"/>
      <c r="AQO88" s="356"/>
      <c r="AQP88" s="356"/>
      <c r="AQQ88" s="356"/>
      <c r="AQR88" s="356"/>
      <c r="AQS88" s="356"/>
      <c r="AQT88" s="356"/>
      <c r="AQU88" s="356"/>
      <c r="AQV88" s="356"/>
      <c r="AQW88" s="356"/>
      <c r="AQX88" s="356"/>
      <c r="AQY88" s="356"/>
      <c r="AQZ88" s="356"/>
      <c r="ARA88" s="356"/>
      <c r="ARB88" s="356"/>
      <c r="ARC88" s="356"/>
      <c r="ARD88" s="356"/>
      <c r="ARE88" s="356"/>
      <c r="ARF88" s="356"/>
      <c r="ARG88" s="356"/>
      <c r="ARH88" s="356"/>
      <c r="ARI88" s="356"/>
      <c r="ARJ88" s="356"/>
      <c r="ARK88" s="356"/>
      <c r="ARL88" s="356"/>
      <c r="ARM88" s="356"/>
      <c r="ARN88" s="356"/>
      <c r="ARO88" s="356"/>
      <c r="ARP88" s="356"/>
      <c r="ARQ88" s="356"/>
      <c r="ARR88" s="356"/>
      <c r="ARS88" s="356"/>
      <c r="ART88" s="356"/>
      <c r="ARU88" s="356"/>
      <c r="ARV88" s="356"/>
      <c r="ARW88" s="356"/>
      <c r="ARX88" s="356"/>
      <c r="ARY88" s="356"/>
      <c r="ARZ88" s="356"/>
      <c r="ASA88" s="356"/>
      <c r="ASB88" s="356"/>
      <c r="ASC88" s="356"/>
      <c r="ASD88" s="356"/>
      <c r="ASE88" s="356"/>
      <c r="ASF88" s="356"/>
      <c r="ASG88" s="356"/>
      <c r="ASH88" s="356"/>
      <c r="ASI88" s="356"/>
      <c r="ASJ88" s="356"/>
      <c r="ASK88" s="356"/>
      <c r="ASL88" s="356"/>
      <c r="ASM88" s="356"/>
      <c r="ASN88" s="356"/>
      <c r="ASO88" s="356"/>
      <c r="ASP88" s="356"/>
      <c r="ASQ88" s="356"/>
      <c r="ASR88" s="356"/>
      <c r="ASS88" s="356"/>
      <c r="AST88" s="356"/>
      <c r="ASU88" s="356"/>
      <c r="ASV88" s="356"/>
      <c r="ASW88" s="356"/>
      <c r="ASX88" s="356"/>
      <c r="ASY88" s="356"/>
      <c r="ASZ88" s="356"/>
      <c r="ATA88" s="356"/>
      <c r="ATB88" s="356"/>
      <c r="ATC88" s="356"/>
      <c r="ATD88" s="356"/>
      <c r="ATE88" s="356"/>
      <c r="ATF88" s="356"/>
      <c r="ATG88" s="356"/>
      <c r="ATH88" s="356"/>
      <c r="ATI88" s="356"/>
      <c r="ATJ88" s="356"/>
      <c r="ATK88" s="356"/>
      <c r="ATL88" s="356"/>
      <c r="ATM88" s="356"/>
      <c r="ATN88" s="356"/>
      <c r="ATO88" s="356"/>
      <c r="ATP88" s="356"/>
      <c r="ATQ88" s="356"/>
      <c r="ATR88" s="356"/>
      <c r="ATS88" s="356"/>
      <c r="ATT88" s="356"/>
      <c r="ATU88" s="356"/>
      <c r="ATV88" s="356"/>
      <c r="ATW88" s="356"/>
      <c r="ATX88" s="356"/>
      <c r="ATY88" s="356"/>
      <c r="ATZ88" s="356"/>
      <c r="AUA88" s="356"/>
      <c r="AUB88" s="356"/>
      <c r="AUC88" s="356"/>
      <c r="AUD88" s="356"/>
      <c r="AUE88" s="356"/>
      <c r="AUF88" s="356"/>
      <c r="AUG88" s="356"/>
      <c r="AUH88" s="356"/>
      <c r="AUI88" s="356"/>
      <c r="AUJ88" s="356"/>
      <c r="AUK88" s="356"/>
      <c r="AUL88" s="356"/>
      <c r="AUM88" s="356"/>
      <c r="AUN88" s="356"/>
      <c r="AUO88" s="356"/>
      <c r="AUP88" s="356"/>
      <c r="AUQ88" s="356"/>
      <c r="AUR88" s="356"/>
      <c r="AUS88" s="356"/>
      <c r="AUT88" s="356"/>
      <c r="AUU88" s="356"/>
      <c r="AUV88" s="356"/>
      <c r="AUW88" s="356"/>
      <c r="AUX88" s="356"/>
      <c r="AUY88" s="356"/>
      <c r="AUZ88" s="356"/>
      <c r="AVA88" s="356"/>
      <c r="AVB88" s="356"/>
      <c r="AVC88" s="356"/>
      <c r="AVD88" s="356"/>
      <c r="AVE88" s="356"/>
      <c r="AVF88" s="356"/>
      <c r="AVG88" s="356"/>
      <c r="AVH88" s="356"/>
      <c r="AVI88" s="356"/>
      <c r="AVJ88" s="356"/>
      <c r="AVK88" s="356"/>
      <c r="AVL88" s="356"/>
      <c r="AVM88" s="356"/>
      <c r="AVN88" s="356"/>
      <c r="AVO88" s="356"/>
      <c r="AVP88" s="356"/>
      <c r="AVQ88" s="356"/>
      <c r="AVR88" s="356"/>
      <c r="AVS88" s="356"/>
      <c r="AVT88" s="356"/>
      <c r="AVU88" s="356"/>
      <c r="AVV88" s="356"/>
      <c r="AVW88" s="356"/>
      <c r="AVX88" s="356"/>
      <c r="AVY88" s="356"/>
      <c r="AVZ88" s="356"/>
      <c r="AWA88" s="356"/>
      <c r="AWB88" s="356"/>
      <c r="AWC88" s="356"/>
      <c r="AWD88" s="356"/>
      <c r="AWE88" s="356"/>
      <c r="AWF88" s="356"/>
      <c r="AWG88" s="356"/>
      <c r="AWH88" s="356"/>
      <c r="AWI88" s="356"/>
      <c r="AWJ88" s="356"/>
      <c r="AWK88" s="356"/>
      <c r="AWL88" s="356"/>
      <c r="AWM88" s="356"/>
      <c r="AWN88" s="356"/>
      <c r="AWO88" s="356"/>
      <c r="AWP88" s="356"/>
      <c r="AWQ88" s="356"/>
      <c r="AWR88" s="356"/>
      <c r="AWS88" s="356"/>
      <c r="AWT88" s="356"/>
      <c r="AWU88" s="356"/>
      <c r="AWV88" s="356"/>
      <c r="AWW88" s="356"/>
      <c r="AWX88" s="356"/>
      <c r="AWY88" s="356"/>
      <c r="AWZ88" s="356"/>
      <c r="AXA88" s="356"/>
      <c r="AXB88" s="356"/>
      <c r="AXC88" s="356"/>
      <c r="AXD88" s="356"/>
      <c r="AXE88" s="356"/>
      <c r="AXF88" s="356"/>
      <c r="AXG88" s="356"/>
      <c r="AXH88" s="356"/>
      <c r="AXI88" s="356"/>
      <c r="AXJ88" s="356"/>
      <c r="AXK88" s="356"/>
      <c r="AXL88" s="356"/>
      <c r="AXM88" s="356"/>
      <c r="AXN88" s="356"/>
      <c r="AXO88" s="356"/>
      <c r="AXP88" s="356"/>
      <c r="AXQ88" s="356"/>
      <c r="AXR88" s="356"/>
      <c r="AXS88" s="356"/>
      <c r="AXT88" s="356"/>
      <c r="AXU88" s="356"/>
      <c r="AXV88" s="356"/>
      <c r="AXW88" s="356"/>
      <c r="AXX88" s="356"/>
      <c r="AXY88" s="356"/>
      <c r="AXZ88" s="356"/>
      <c r="AYA88" s="356"/>
      <c r="AYB88" s="356"/>
      <c r="AYC88" s="356"/>
      <c r="AYD88" s="356"/>
      <c r="AYE88" s="356"/>
      <c r="AYF88" s="356"/>
      <c r="AYG88" s="356"/>
      <c r="AYH88" s="356"/>
      <c r="AYI88" s="356"/>
      <c r="AYJ88" s="356"/>
      <c r="AYK88" s="356"/>
      <c r="AYL88" s="356"/>
      <c r="AYM88" s="356"/>
      <c r="AYN88" s="356"/>
      <c r="AYO88" s="356"/>
      <c r="AYP88" s="356"/>
      <c r="AYQ88" s="356"/>
      <c r="AYR88" s="356"/>
      <c r="AYS88" s="356"/>
      <c r="AYT88" s="356"/>
      <c r="AYU88" s="356"/>
      <c r="AYV88" s="356"/>
      <c r="AYW88" s="356"/>
      <c r="AYX88" s="356"/>
      <c r="AYY88" s="356"/>
      <c r="AYZ88" s="356"/>
      <c r="AZA88" s="356"/>
      <c r="AZB88" s="356"/>
      <c r="AZC88" s="356"/>
      <c r="AZD88" s="356"/>
      <c r="AZE88" s="356"/>
      <c r="AZF88" s="356"/>
      <c r="AZG88" s="356"/>
      <c r="AZH88" s="356"/>
      <c r="AZI88" s="356"/>
      <c r="AZJ88" s="356"/>
      <c r="AZK88" s="356"/>
      <c r="AZL88" s="356"/>
      <c r="AZM88" s="356"/>
      <c r="AZN88" s="356"/>
      <c r="AZO88" s="356"/>
      <c r="AZP88" s="356"/>
      <c r="AZQ88" s="356"/>
      <c r="AZR88" s="356"/>
      <c r="AZS88" s="356"/>
      <c r="AZT88" s="356"/>
      <c r="AZU88" s="356"/>
      <c r="AZV88" s="356"/>
      <c r="AZW88" s="356"/>
      <c r="AZX88" s="356"/>
      <c r="AZY88" s="356"/>
      <c r="AZZ88" s="356"/>
      <c r="BAA88" s="356"/>
      <c r="BAB88" s="356"/>
      <c r="BAC88" s="356"/>
      <c r="BAD88" s="356"/>
      <c r="BAE88" s="356"/>
      <c r="BAF88" s="356"/>
      <c r="BAG88" s="356"/>
      <c r="BAH88" s="356"/>
      <c r="BAI88" s="356"/>
      <c r="BAJ88" s="356"/>
      <c r="BAK88" s="356"/>
      <c r="BAL88" s="356"/>
      <c r="BAM88" s="356"/>
      <c r="BAN88" s="356"/>
      <c r="BAO88" s="356"/>
      <c r="BAP88" s="356"/>
      <c r="BAQ88" s="356"/>
      <c r="BAR88" s="356"/>
      <c r="BAS88" s="356"/>
      <c r="BAT88" s="356"/>
      <c r="BAU88" s="356"/>
      <c r="BAV88" s="356"/>
      <c r="BAW88" s="356"/>
      <c r="BAX88" s="356"/>
      <c r="BAY88" s="356"/>
      <c r="BAZ88" s="356"/>
      <c r="BBA88" s="356"/>
      <c r="BBB88" s="356"/>
      <c r="BBC88" s="356"/>
      <c r="BBD88" s="356"/>
      <c r="BBE88" s="356"/>
      <c r="BBF88" s="356"/>
      <c r="BBG88" s="356"/>
      <c r="BBH88" s="356"/>
      <c r="BBI88" s="356"/>
      <c r="BBJ88" s="356"/>
      <c r="BBK88" s="356"/>
      <c r="BBL88" s="356"/>
      <c r="BBM88" s="356"/>
      <c r="BBN88" s="356"/>
      <c r="BBO88" s="356"/>
      <c r="BBP88" s="356"/>
      <c r="BBQ88" s="356"/>
      <c r="BBR88" s="356"/>
      <c r="BBS88" s="356"/>
      <c r="BBT88" s="356"/>
      <c r="BBU88" s="356"/>
      <c r="BBV88" s="356"/>
      <c r="BBW88" s="356"/>
      <c r="BBX88" s="356"/>
      <c r="BBY88" s="356"/>
      <c r="BBZ88" s="356"/>
      <c r="BCA88" s="356"/>
      <c r="BCB88" s="356"/>
      <c r="BCC88" s="356"/>
      <c r="BCD88" s="356"/>
      <c r="BCE88" s="356"/>
      <c r="BCF88" s="356"/>
      <c r="BCG88" s="356"/>
      <c r="BCH88" s="356"/>
      <c r="BCI88" s="356"/>
      <c r="BCJ88" s="356"/>
      <c r="BCK88" s="356"/>
      <c r="BCL88" s="356"/>
      <c r="BCM88" s="356"/>
      <c r="BCN88" s="356"/>
      <c r="BCO88" s="356"/>
      <c r="BCP88" s="356"/>
      <c r="BCQ88" s="356"/>
      <c r="BCR88" s="356"/>
      <c r="BCS88" s="356"/>
      <c r="BCT88" s="356"/>
      <c r="BCU88" s="356"/>
      <c r="BCV88" s="356"/>
      <c r="BCW88" s="356"/>
      <c r="BCX88" s="356"/>
      <c r="BCY88" s="356"/>
      <c r="BCZ88" s="356"/>
      <c r="BDA88" s="356"/>
      <c r="BDB88" s="356"/>
      <c r="BDC88" s="356"/>
      <c r="BDD88" s="356"/>
      <c r="BDE88" s="356"/>
      <c r="BDF88" s="356"/>
      <c r="BDG88" s="356"/>
      <c r="BDH88" s="356"/>
      <c r="BDI88" s="356"/>
      <c r="BDJ88" s="356"/>
      <c r="BDK88" s="356"/>
      <c r="BDL88" s="356"/>
      <c r="BDM88" s="356"/>
      <c r="BDN88" s="356"/>
      <c r="BDO88" s="356"/>
      <c r="BDP88" s="356"/>
      <c r="BDQ88" s="356"/>
      <c r="BDR88" s="356"/>
      <c r="BDS88" s="356"/>
      <c r="BDT88" s="356"/>
      <c r="BDU88" s="356"/>
      <c r="BDV88" s="356"/>
      <c r="BDW88" s="356"/>
      <c r="BDX88" s="356"/>
      <c r="BDY88" s="356"/>
      <c r="BDZ88" s="356"/>
      <c r="BEA88" s="356"/>
      <c r="BEB88" s="356"/>
      <c r="BEC88" s="356"/>
      <c r="BED88" s="356"/>
      <c r="BEE88" s="356"/>
      <c r="BEF88" s="356"/>
      <c r="BEG88" s="356"/>
      <c r="BEH88" s="356"/>
      <c r="BEI88" s="356"/>
      <c r="BEJ88" s="356"/>
      <c r="BEK88" s="356"/>
      <c r="BEL88" s="356"/>
      <c r="BEM88" s="356"/>
      <c r="BEN88" s="356"/>
      <c r="BEO88" s="356"/>
      <c r="BEP88" s="356"/>
      <c r="BEQ88" s="356"/>
      <c r="BER88" s="356"/>
      <c r="BES88" s="356"/>
      <c r="BET88" s="356"/>
      <c r="BEU88" s="356"/>
      <c r="BEV88" s="356"/>
      <c r="BEW88" s="356"/>
      <c r="BEX88" s="356"/>
      <c r="BEY88" s="356"/>
      <c r="BEZ88" s="356"/>
      <c r="BFA88" s="356"/>
      <c r="BFB88" s="356"/>
      <c r="BFC88" s="356"/>
      <c r="BFD88" s="356"/>
      <c r="BFE88" s="356"/>
      <c r="BFF88" s="356"/>
      <c r="BFG88" s="356"/>
      <c r="BFH88" s="356"/>
      <c r="BFI88" s="356"/>
      <c r="BFJ88" s="356"/>
      <c r="BFK88" s="356"/>
      <c r="BFL88" s="356"/>
      <c r="BFM88" s="356"/>
      <c r="BFN88" s="356"/>
      <c r="BFO88" s="356"/>
      <c r="BFP88" s="356"/>
      <c r="BFQ88" s="356"/>
      <c r="BFR88" s="356"/>
      <c r="BFS88" s="356"/>
      <c r="BFT88" s="356"/>
      <c r="BFU88" s="356"/>
      <c r="BFV88" s="356"/>
      <c r="BFW88" s="356"/>
      <c r="BFX88" s="356"/>
      <c r="BFY88" s="356"/>
      <c r="BFZ88" s="356"/>
      <c r="BGA88" s="356"/>
      <c r="BGB88" s="356"/>
      <c r="BGC88" s="356"/>
      <c r="BGD88" s="356"/>
      <c r="BGE88" s="356"/>
      <c r="BGF88" s="356"/>
      <c r="BGG88" s="356"/>
      <c r="BGH88" s="356"/>
      <c r="BGI88" s="356"/>
      <c r="BGJ88" s="356"/>
      <c r="BGK88" s="356"/>
      <c r="BGL88" s="356"/>
      <c r="BGM88" s="356"/>
      <c r="BGN88" s="356"/>
      <c r="BGO88" s="356"/>
      <c r="BGP88" s="356"/>
      <c r="BGQ88" s="356"/>
      <c r="BGR88" s="356"/>
      <c r="BGS88" s="356"/>
      <c r="BGT88" s="356"/>
      <c r="BGU88" s="356"/>
      <c r="BGV88" s="356"/>
      <c r="BGW88" s="356"/>
      <c r="BGX88" s="356"/>
      <c r="BGY88" s="356"/>
      <c r="BGZ88" s="356"/>
      <c r="BHA88" s="356"/>
      <c r="BHB88" s="356"/>
      <c r="BHC88" s="356"/>
      <c r="BHD88" s="356"/>
      <c r="BHE88" s="356"/>
      <c r="BHF88" s="356"/>
      <c r="BHG88" s="356"/>
      <c r="BHH88" s="356"/>
      <c r="BHI88" s="356"/>
      <c r="BHJ88" s="356"/>
      <c r="BHK88" s="356"/>
      <c r="BHL88" s="356"/>
      <c r="BHM88" s="356"/>
      <c r="BHN88" s="356"/>
      <c r="BHO88" s="356"/>
      <c r="BHP88" s="356"/>
      <c r="BHQ88" s="356"/>
      <c r="BHR88" s="356"/>
      <c r="BHS88" s="356"/>
      <c r="BHT88" s="356"/>
      <c r="BHU88" s="356"/>
      <c r="BHV88" s="356"/>
      <c r="BHW88" s="356"/>
      <c r="BHX88" s="356"/>
      <c r="BHY88" s="356"/>
      <c r="BHZ88" s="356"/>
      <c r="BIA88" s="356"/>
      <c r="BIB88" s="356"/>
      <c r="BIC88" s="356"/>
      <c r="BID88" s="356"/>
      <c r="BIE88" s="356"/>
      <c r="BIF88" s="356"/>
      <c r="BIG88" s="356"/>
      <c r="BIH88" s="356"/>
      <c r="BII88" s="356"/>
      <c r="BIJ88" s="356"/>
      <c r="BIK88" s="356"/>
      <c r="BIL88" s="356"/>
      <c r="BIM88" s="356"/>
      <c r="BIN88" s="356"/>
      <c r="BIO88" s="356"/>
      <c r="BIP88" s="356"/>
      <c r="BIQ88" s="356"/>
      <c r="BIR88" s="356"/>
      <c r="BIS88" s="356"/>
      <c r="BIT88" s="356"/>
      <c r="BIU88" s="356"/>
      <c r="BIV88" s="356"/>
      <c r="BIW88" s="356"/>
      <c r="BIX88" s="356"/>
      <c r="BIY88" s="356"/>
      <c r="BIZ88" s="356"/>
      <c r="BJA88" s="356"/>
      <c r="BJB88" s="356"/>
      <c r="BJC88" s="356"/>
      <c r="BJD88" s="356"/>
      <c r="BJE88" s="356"/>
      <c r="BJF88" s="356"/>
      <c r="BJG88" s="356"/>
      <c r="BJH88" s="356"/>
      <c r="BJI88" s="356"/>
      <c r="BJJ88" s="356"/>
      <c r="BJK88" s="356"/>
      <c r="BJL88" s="356"/>
      <c r="BJM88" s="356"/>
      <c r="BJN88" s="356"/>
      <c r="BJO88" s="356"/>
      <c r="BJP88" s="356"/>
      <c r="BJQ88" s="356"/>
      <c r="BJR88" s="356"/>
      <c r="BJS88" s="356"/>
      <c r="BJT88" s="356"/>
      <c r="BJU88" s="356"/>
      <c r="BJV88" s="356"/>
      <c r="BJW88" s="356"/>
      <c r="BJX88" s="356"/>
      <c r="BJY88" s="356"/>
      <c r="BJZ88" s="356"/>
      <c r="BKA88" s="356"/>
      <c r="BKB88" s="356"/>
      <c r="BKC88" s="356"/>
      <c r="BKD88" s="356"/>
      <c r="BKE88" s="356"/>
      <c r="BKF88" s="356"/>
      <c r="BKG88" s="356"/>
      <c r="BKH88" s="356"/>
      <c r="BKI88" s="356"/>
      <c r="BKJ88" s="356"/>
      <c r="BKK88" s="356"/>
      <c r="BKL88" s="356"/>
      <c r="BKM88" s="356"/>
      <c r="BKN88" s="356"/>
      <c r="BKO88" s="356"/>
      <c r="BKP88" s="356"/>
      <c r="BKQ88" s="356"/>
      <c r="BKR88" s="356"/>
      <c r="BKS88" s="356"/>
      <c r="BKT88" s="356"/>
      <c r="BKU88" s="356"/>
      <c r="BKV88" s="356"/>
      <c r="BKW88" s="356"/>
      <c r="BKX88" s="356"/>
      <c r="BKY88" s="356"/>
      <c r="BKZ88" s="356"/>
      <c r="BLA88" s="356"/>
      <c r="BLB88" s="356"/>
      <c r="BLC88" s="356"/>
      <c r="BLD88" s="356"/>
      <c r="BLE88" s="356"/>
      <c r="BLF88" s="356"/>
      <c r="BLG88" s="356"/>
      <c r="BLH88" s="356"/>
      <c r="BLI88" s="356"/>
      <c r="BLJ88" s="356"/>
      <c r="BLK88" s="356"/>
      <c r="BLL88" s="356"/>
      <c r="BLM88" s="356"/>
      <c r="BLN88" s="356"/>
      <c r="BLO88" s="356"/>
      <c r="BLP88" s="356"/>
      <c r="BLQ88" s="356"/>
      <c r="BLR88" s="356"/>
      <c r="BLS88" s="356"/>
      <c r="BLT88" s="356"/>
      <c r="BLU88" s="356"/>
      <c r="BLV88" s="356"/>
      <c r="BLW88" s="356"/>
      <c r="BLX88" s="356"/>
      <c r="BLY88" s="356"/>
      <c r="BLZ88" s="356"/>
      <c r="BMA88" s="356"/>
      <c r="BMB88" s="356"/>
      <c r="BMC88" s="356"/>
      <c r="BMD88" s="356"/>
      <c r="BME88" s="356"/>
      <c r="BMF88" s="356"/>
      <c r="BMG88" s="356"/>
      <c r="BMH88" s="356"/>
      <c r="BMI88" s="356"/>
      <c r="BMJ88" s="356"/>
      <c r="BMK88" s="356"/>
      <c r="BML88" s="356"/>
      <c r="BMM88" s="356"/>
      <c r="BMN88" s="356"/>
      <c r="BMO88" s="356"/>
      <c r="BMP88" s="356"/>
      <c r="BMQ88" s="356"/>
      <c r="BMR88" s="356"/>
      <c r="BMS88" s="356"/>
      <c r="BMT88" s="356"/>
      <c r="BMU88" s="356"/>
      <c r="BMV88" s="356"/>
      <c r="BMW88" s="356"/>
      <c r="BMX88" s="356"/>
      <c r="BMY88" s="356"/>
      <c r="BMZ88" s="356"/>
      <c r="BNA88" s="356"/>
      <c r="BNB88" s="356"/>
      <c r="BNC88" s="356"/>
      <c r="BND88" s="356"/>
      <c r="BNE88" s="356"/>
      <c r="BNF88" s="356"/>
      <c r="BNG88" s="356"/>
      <c r="BNH88" s="356"/>
      <c r="BNI88" s="356"/>
      <c r="BNJ88" s="356"/>
      <c r="BNK88" s="356"/>
      <c r="BNL88" s="356"/>
      <c r="BNM88" s="356"/>
      <c r="BNN88" s="356"/>
      <c r="BNO88" s="356"/>
      <c r="BNP88" s="356"/>
      <c r="BNQ88" s="356"/>
      <c r="BNR88" s="356"/>
      <c r="BNS88" s="356"/>
      <c r="BNT88" s="356"/>
      <c r="BNU88" s="356"/>
      <c r="BNV88" s="356"/>
      <c r="BNW88" s="356"/>
      <c r="BNX88" s="356"/>
      <c r="BNY88" s="356"/>
      <c r="BNZ88" s="356"/>
      <c r="BOA88" s="356"/>
      <c r="BOB88" s="356"/>
      <c r="BOC88" s="356"/>
      <c r="BOD88" s="356"/>
      <c r="BOE88" s="356"/>
      <c r="BOF88" s="356"/>
      <c r="BOG88" s="356"/>
      <c r="BOH88" s="356"/>
      <c r="BOI88" s="356"/>
      <c r="BOJ88" s="356"/>
      <c r="BOK88" s="356"/>
      <c r="BOL88" s="356"/>
      <c r="BOM88" s="356"/>
      <c r="BON88" s="356"/>
      <c r="BOO88" s="356"/>
      <c r="BOP88" s="356"/>
      <c r="BOQ88" s="356"/>
      <c r="BOR88" s="356"/>
      <c r="BOS88" s="356"/>
      <c r="BOT88" s="356"/>
      <c r="BOU88" s="356"/>
      <c r="BOV88" s="356"/>
      <c r="BOW88" s="356"/>
      <c r="BOX88" s="356"/>
      <c r="BOY88" s="356"/>
      <c r="BOZ88" s="356"/>
      <c r="BPA88" s="356"/>
      <c r="BPB88" s="356"/>
      <c r="BPC88" s="356"/>
      <c r="BPD88" s="356"/>
      <c r="BPE88" s="356"/>
      <c r="BPF88" s="356"/>
      <c r="BPG88" s="356"/>
      <c r="BPH88" s="356"/>
      <c r="BPI88" s="356"/>
      <c r="BPJ88" s="356"/>
      <c r="BPK88" s="356"/>
      <c r="BPL88" s="356"/>
      <c r="BPM88" s="356"/>
      <c r="BPN88" s="356"/>
      <c r="BPO88" s="356"/>
      <c r="BPP88" s="356"/>
      <c r="BPQ88" s="356"/>
      <c r="BPR88" s="356"/>
      <c r="BPS88" s="356"/>
      <c r="BPT88" s="356"/>
      <c r="BPU88" s="356"/>
      <c r="BPV88" s="356"/>
      <c r="BPW88" s="356"/>
      <c r="BPX88" s="356"/>
      <c r="BPY88" s="356"/>
      <c r="BPZ88" s="356"/>
      <c r="BQA88" s="356"/>
      <c r="BQB88" s="356"/>
      <c r="BQC88" s="356"/>
      <c r="BQD88" s="356"/>
      <c r="BQE88" s="356"/>
      <c r="BQF88" s="356"/>
      <c r="BQG88" s="356"/>
      <c r="BQH88" s="356"/>
      <c r="BQI88" s="356"/>
      <c r="BQJ88" s="356"/>
      <c r="BQK88" s="356"/>
      <c r="BQL88" s="356"/>
      <c r="BQM88" s="356"/>
      <c r="BQN88" s="356"/>
      <c r="BQO88" s="356"/>
      <c r="BQP88" s="356"/>
      <c r="BQQ88" s="356"/>
      <c r="BQR88" s="356"/>
      <c r="BQS88" s="356"/>
      <c r="BQT88" s="356"/>
      <c r="BQU88" s="356"/>
      <c r="BQV88" s="356"/>
      <c r="BQW88" s="356"/>
      <c r="BQX88" s="356"/>
      <c r="BQY88" s="356"/>
      <c r="BQZ88" s="356"/>
      <c r="BRA88" s="356"/>
      <c r="BRB88" s="356"/>
      <c r="BRC88" s="356"/>
      <c r="BRD88" s="356"/>
      <c r="BRE88" s="356"/>
      <c r="BRF88" s="356"/>
      <c r="BRG88" s="356"/>
      <c r="BRH88" s="356"/>
      <c r="BRI88" s="356"/>
      <c r="BRJ88" s="356"/>
      <c r="BRK88" s="356"/>
      <c r="BRL88" s="356"/>
      <c r="BRM88" s="356"/>
      <c r="BRN88" s="356"/>
      <c r="BRO88" s="356"/>
      <c r="BRP88" s="356"/>
      <c r="BRQ88" s="356"/>
      <c r="BRR88" s="356"/>
      <c r="BRS88" s="356"/>
      <c r="BRT88" s="356"/>
      <c r="BRU88" s="356"/>
      <c r="BRV88" s="356"/>
      <c r="BRW88" s="356"/>
      <c r="BRX88" s="356"/>
      <c r="BRY88" s="356"/>
      <c r="BRZ88" s="356"/>
      <c r="BSA88" s="356"/>
      <c r="BSB88" s="356"/>
      <c r="BSC88" s="356"/>
      <c r="BSD88" s="356"/>
      <c r="BSE88" s="356"/>
      <c r="BSF88" s="356"/>
      <c r="BSG88" s="356"/>
      <c r="BSH88" s="356"/>
      <c r="BSI88" s="356"/>
      <c r="BSJ88" s="356"/>
      <c r="BSK88" s="356"/>
      <c r="BSL88" s="356"/>
      <c r="BSM88" s="356"/>
      <c r="BSN88" s="356"/>
      <c r="BSO88" s="356"/>
      <c r="BSP88" s="356"/>
      <c r="BSQ88" s="356"/>
      <c r="BSR88" s="356"/>
      <c r="BSS88" s="356"/>
      <c r="BST88" s="356"/>
      <c r="BSU88" s="356"/>
      <c r="BSV88" s="356"/>
      <c r="BSW88" s="356"/>
      <c r="BSX88" s="356"/>
      <c r="BSY88" s="356"/>
      <c r="BSZ88" s="356"/>
      <c r="BTA88" s="356"/>
      <c r="BTB88" s="356"/>
      <c r="BTC88" s="356"/>
      <c r="BTD88" s="356"/>
      <c r="BTE88" s="356"/>
      <c r="BTF88" s="356"/>
      <c r="BTG88" s="356"/>
      <c r="BTH88" s="356"/>
      <c r="BTI88" s="356"/>
      <c r="BTJ88" s="356"/>
      <c r="BTK88" s="356"/>
      <c r="BTL88" s="356"/>
      <c r="BTM88" s="356"/>
      <c r="BTN88" s="356"/>
      <c r="BTO88" s="356"/>
      <c r="BTP88" s="356"/>
      <c r="BTQ88" s="356"/>
      <c r="BTR88" s="356"/>
      <c r="BTS88" s="356"/>
      <c r="BTT88" s="356"/>
      <c r="BTU88" s="356"/>
      <c r="BTV88" s="356"/>
      <c r="BTW88" s="356"/>
      <c r="BTX88" s="356"/>
      <c r="BTY88" s="356"/>
      <c r="BTZ88" s="356"/>
      <c r="BUA88" s="356"/>
      <c r="BUB88" s="356"/>
      <c r="BUC88" s="356"/>
      <c r="BUD88" s="356"/>
      <c r="BUE88" s="356"/>
      <c r="BUF88" s="356"/>
      <c r="BUG88" s="356"/>
      <c r="BUH88" s="356"/>
      <c r="BUI88" s="356"/>
      <c r="BUJ88" s="356"/>
      <c r="BUK88" s="356"/>
      <c r="BUL88" s="356"/>
      <c r="BUM88" s="356"/>
      <c r="BUN88" s="356"/>
      <c r="BUO88" s="356"/>
      <c r="BUP88" s="356"/>
      <c r="BUQ88" s="356"/>
      <c r="BUR88" s="356"/>
      <c r="BUS88" s="356"/>
      <c r="BUT88" s="356"/>
      <c r="BUU88" s="356"/>
      <c r="BUV88" s="356"/>
      <c r="BUW88" s="356"/>
      <c r="BUX88" s="356"/>
      <c r="BUY88" s="356"/>
      <c r="BUZ88" s="356"/>
      <c r="BVA88" s="356"/>
      <c r="BVB88" s="356"/>
      <c r="BVC88" s="356"/>
      <c r="BVD88" s="356"/>
      <c r="BVE88" s="356"/>
      <c r="BVF88" s="356"/>
      <c r="BVG88" s="356"/>
      <c r="BVH88" s="356"/>
      <c r="BVI88" s="356"/>
      <c r="BVJ88" s="356"/>
      <c r="BVK88" s="356"/>
      <c r="BVL88" s="356"/>
      <c r="BVM88" s="356"/>
      <c r="BVN88" s="356"/>
      <c r="BVO88" s="356"/>
      <c r="BVP88" s="356"/>
      <c r="BVQ88" s="356"/>
      <c r="BVR88" s="356"/>
      <c r="BVS88" s="356"/>
      <c r="BVT88" s="356"/>
      <c r="BVU88" s="356"/>
      <c r="BVV88" s="356"/>
      <c r="BVW88" s="356"/>
      <c r="BVX88" s="356"/>
      <c r="BVY88" s="356"/>
      <c r="BVZ88" s="356"/>
      <c r="BWA88" s="356"/>
      <c r="BWB88" s="356"/>
      <c r="BWC88" s="356"/>
      <c r="BWD88" s="356"/>
      <c r="BWE88" s="356"/>
      <c r="BWF88" s="356"/>
      <c r="BWG88" s="356"/>
      <c r="BWH88" s="356"/>
      <c r="BWI88" s="356"/>
      <c r="BWJ88" s="356"/>
      <c r="BWK88" s="356"/>
      <c r="BWL88" s="356"/>
      <c r="BWM88" s="356"/>
      <c r="BWN88" s="356"/>
      <c r="BWO88" s="356"/>
      <c r="BWP88" s="356"/>
      <c r="BWQ88" s="356"/>
      <c r="BWR88" s="356"/>
      <c r="BWS88" s="356"/>
      <c r="BWT88" s="356"/>
      <c r="BWU88" s="356"/>
      <c r="BWV88" s="356"/>
      <c r="BWW88" s="356"/>
      <c r="BWX88" s="356"/>
      <c r="BWY88" s="356"/>
      <c r="BWZ88" s="356"/>
      <c r="BXA88" s="356"/>
      <c r="BXB88" s="356"/>
      <c r="BXC88" s="356"/>
      <c r="BXD88" s="356"/>
      <c r="BXE88" s="356"/>
      <c r="BXF88" s="356"/>
      <c r="BXG88" s="356"/>
      <c r="BXH88" s="356"/>
      <c r="BXI88" s="356"/>
      <c r="BXJ88" s="356"/>
      <c r="BXK88" s="356"/>
      <c r="BXL88" s="356"/>
      <c r="BXM88" s="356"/>
      <c r="BXN88" s="356"/>
      <c r="BXO88" s="356"/>
      <c r="BXP88" s="356"/>
      <c r="BXQ88" s="356"/>
      <c r="BXR88" s="356"/>
      <c r="BXS88" s="356"/>
      <c r="BXT88" s="356"/>
      <c r="BXU88" s="356"/>
      <c r="BXV88" s="356"/>
      <c r="BXW88" s="356"/>
      <c r="BXX88" s="356"/>
      <c r="BXY88" s="356"/>
      <c r="BXZ88" s="356"/>
      <c r="BYA88" s="356"/>
      <c r="BYB88" s="356"/>
      <c r="BYC88" s="356"/>
      <c r="BYD88" s="356"/>
      <c r="BYE88" s="356"/>
      <c r="BYF88" s="356"/>
      <c r="BYG88" s="356"/>
      <c r="BYH88" s="356"/>
      <c r="BYI88" s="356"/>
      <c r="BYJ88" s="356"/>
      <c r="BYK88" s="356"/>
      <c r="BYL88" s="356"/>
      <c r="BYM88" s="356"/>
      <c r="BYN88" s="356"/>
      <c r="BYO88" s="356"/>
      <c r="BYP88" s="356"/>
      <c r="BYQ88" s="356"/>
      <c r="BYR88" s="356"/>
      <c r="BYS88" s="356"/>
      <c r="BYT88" s="356"/>
      <c r="BYU88" s="356"/>
      <c r="BYV88" s="356"/>
      <c r="BYW88" s="356"/>
      <c r="BYX88" s="356"/>
      <c r="BYY88" s="356"/>
      <c r="BYZ88" s="356"/>
      <c r="BZA88" s="356"/>
      <c r="BZB88" s="356"/>
      <c r="BZC88" s="356"/>
      <c r="BZD88" s="356"/>
      <c r="BZE88" s="356"/>
      <c r="BZF88" s="356"/>
      <c r="BZG88" s="356"/>
      <c r="BZH88" s="356"/>
      <c r="BZI88" s="356"/>
      <c r="BZJ88" s="356"/>
      <c r="BZK88" s="356"/>
      <c r="BZL88" s="356"/>
      <c r="BZM88" s="356"/>
      <c r="BZN88" s="356"/>
      <c r="BZO88" s="356"/>
      <c r="BZP88" s="356"/>
      <c r="BZQ88" s="356"/>
      <c r="BZR88" s="356"/>
      <c r="BZS88" s="356"/>
      <c r="BZT88" s="356"/>
      <c r="BZU88" s="356"/>
      <c r="BZV88" s="356"/>
      <c r="BZW88" s="356"/>
      <c r="BZX88" s="356"/>
      <c r="BZY88" s="356"/>
      <c r="BZZ88" s="356"/>
      <c r="CAA88" s="356"/>
      <c r="CAB88" s="356"/>
      <c r="CAC88" s="356"/>
      <c r="CAD88" s="356"/>
      <c r="CAE88" s="356"/>
      <c r="CAF88" s="356"/>
      <c r="CAG88" s="356"/>
      <c r="CAH88" s="356"/>
      <c r="CAI88" s="356"/>
      <c r="CAJ88" s="356"/>
      <c r="CAK88" s="356"/>
      <c r="CAL88" s="356"/>
      <c r="CAM88" s="356"/>
      <c r="CAN88" s="356"/>
      <c r="CAO88" s="356"/>
      <c r="CAP88" s="356"/>
      <c r="CAQ88" s="356"/>
      <c r="CAR88" s="356"/>
      <c r="CAS88" s="356"/>
      <c r="CAT88" s="356"/>
      <c r="CAU88" s="356"/>
      <c r="CAV88" s="356"/>
      <c r="CAW88" s="356"/>
      <c r="CAX88" s="356"/>
      <c r="CAY88" s="356"/>
      <c r="CAZ88" s="356"/>
      <c r="CBA88" s="356"/>
      <c r="CBB88" s="356"/>
      <c r="CBC88" s="356"/>
      <c r="CBD88" s="356"/>
      <c r="CBE88" s="356"/>
      <c r="CBF88" s="356"/>
      <c r="CBG88" s="356"/>
      <c r="CBH88" s="356"/>
      <c r="CBI88" s="356"/>
      <c r="CBJ88" s="356"/>
      <c r="CBK88" s="356"/>
      <c r="CBL88" s="356"/>
      <c r="CBM88" s="356"/>
      <c r="CBN88" s="356"/>
      <c r="CBO88" s="356"/>
      <c r="CBP88" s="356"/>
      <c r="CBQ88" s="356"/>
      <c r="CBR88" s="356"/>
      <c r="CBS88" s="356"/>
      <c r="CBT88" s="356"/>
      <c r="CBU88" s="356"/>
      <c r="CBV88" s="356"/>
      <c r="CBW88" s="356"/>
      <c r="CBX88" s="356"/>
      <c r="CBY88" s="356"/>
      <c r="CBZ88" s="356"/>
      <c r="CCA88" s="356"/>
      <c r="CCB88" s="356"/>
      <c r="CCC88" s="356"/>
      <c r="CCD88" s="356"/>
      <c r="CCE88" s="356"/>
      <c r="CCF88" s="356"/>
      <c r="CCG88" s="356"/>
      <c r="CCH88" s="356"/>
      <c r="CCI88" s="356"/>
      <c r="CCJ88" s="356"/>
      <c r="CCK88" s="356"/>
      <c r="CCL88" s="356"/>
      <c r="CCM88" s="356"/>
      <c r="CCN88" s="356"/>
      <c r="CCO88" s="356"/>
      <c r="CCP88" s="356"/>
      <c r="CCQ88" s="356"/>
      <c r="CCR88" s="356"/>
      <c r="CCS88" s="356"/>
      <c r="CCT88" s="356"/>
      <c r="CCU88" s="356"/>
      <c r="CCV88" s="356"/>
      <c r="CCW88" s="356"/>
      <c r="CCX88" s="356"/>
      <c r="CCY88" s="356"/>
      <c r="CCZ88" s="356"/>
      <c r="CDA88" s="356"/>
      <c r="CDB88" s="356"/>
      <c r="CDC88" s="356"/>
      <c r="CDD88" s="356"/>
      <c r="CDE88" s="356"/>
      <c r="CDF88" s="356"/>
      <c r="CDG88" s="356"/>
      <c r="CDH88" s="356"/>
      <c r="CDI88" s="356"/>
      <c r="CDJ88" s="356"/>
      <c r="CDK88" s="356"/>
      <c r="CDL88" s="356"/>
      <c r="CDM88" s="356"/>
      <c r="CDN88" s="356"/>
      <c r="CDO88" s="356"/>
      <c r="CDP88" s="356"/>
      <c r="CDQ88" s="356"/>
      <c r="CDR88" s="356"/>
      <c r="CDS88" s="356"/>
      <c r="CDT88" s="356"/>
      <c r="CDU88" s="356"/>
      <c r="CDV88" s="356"/>
      <c r="CDW88" s="356"/>
      <c r="CDX88" s="356"/>
      <c r="CDY88" s="356"/>
      <c r="CDZ88" s="356"/>
      <c r="CEA88" s="356"/>
      <c r="CEB88" s="356"/>
      <c r="CEC88" s="356"/>
      <c r="CED88" s="356"/>
      <c r="CEE88" s="356"/>
      <c r="CEF88" s="356"/>
      <c r="CEG88" s="356"/>
      <c r="CEH88" s="356"/>
      <c r="CEI88" s="356"/>
      <c r="CEJ88" s="356"/>
      <c r="CEK88" s="356"/>
      <c r="CEL88" s="356"/>
      <c r="CEM88" s="356"/>
      <c r="CEN88" s="356"/>
      <c r="CEO88" s="356"/>
      <c r="CEP88" s="356"/>
      <c r="CEQ88" s="356"/>
      <c r="CER88" s="356"/>
      <c r="CES88" s="356"/>
      <c r="CET88" s="356"/>
      <c r="CEU88" s="356"/>
      <c r="CEV88" s="356"/>
      <c r="CEW88" s="356"/>
      <c r="CEX88" s="356"/>
      <c r="CEY88" s="356"/>
      <c r="CEZ88" s="356"/>
      <c r="CFA88" s="356"/>
      <c r="CFB88" s="356"/>
      <c r="CFC88" s="356"/>
      <c r="CFD88" s="356"/>
      <c r="CFE88" s="356"/>
      <c r="CFF88" s="356"/>
      <c r="CFG88" s="356"/>
      <c r="CFH88" s="356"/>
      <c r="CFI88" s="356"/>
      <c r="CFJ88" s="356"/>
      <c r="CFK88" s="356"/>
      <c r="CFL88" s="356"/>
      <c r="CFM88" s="356"/>
      <c r="CFN88" s="356"/>
      <c r="CFO88" s="356"/>
      <c r="CFP88" s="356"/>
      <c r="CFQ88" s="356"/>
      <c r="CFR88" s="356"/>
      <c r="CFS88" s="356"/>
      <c r="CFT88" s="356"/>
      <c r="CFU88" s="356"/>
      <c r="CFV88" s="356"/>
      <c r="CFW88" s="356"/>
      <c r="CFX88" s="356"/>
      <c r="CFY88" s="356"/>
      <c r="CFZ88" s="356"/>
      <c r="CGA88" s="356"/>
      <c r="CGB88" s="356"/>
      <c r="CGC88" s="356"/>
      <c r="CGD88" s="356"/>
      <c r="CGE88" s="356"/>
      <c r="CGF88" s="356"/>
      <c r="CGG88" s="356"/>
      <c r="CGH88" s="356"/>
      <c r="CGI88" s="356"/>
      <c r="CGJ88" s="356"/>
      <c r="CGK88" s="356"/>
      <c r="CGL88" s="356"/>
      <c r="CGM88" s="356"/>
      <c r="CGN88" s="356"/>
      <c r="CGO88" s="356"/>
      <c r="CGP88" s="356"/>
      <c r="CGQ88" s="356"/>
      <c r="CGR88" s="356"/>
      <c r="CGS88" s="356"/>
      <c r="CGT88" s="356"/>
      <c r="CGU88" s="356"/>
      <c r="CGV88" s="356"/>
      <c r="CGW88" s="356"/>
      <c r="CGX88" s="356"/>
      <c r="CGY88" s="356"/>
      <c r="CGZ88" s="356"/>
      <c r="CHA88" s="356"/>
      <c r="CHB88" s="356"/>
      <c r="CHC88" s="356"/>
      <c r="CHD88" s="356"/>
      <c r="CHE88" s="356"/>
      <c r="CHF88" s="356"/>
      <c r="CHG88" s="356"/>
      <c r="CHH88" s="356"/>
      <c r="CHI88" s="356"/>
      <c r="CHJ88" s="356"/>
      <c r="CHK88" s="356"/>
      <c r="CHL88" s="356"/>
      <c r="CHM88" s="356"/>
      <c r="CHN88" s="356"/>
      <c r="CHO88" s="356"/>
      <c r="CHP88" s="356"/>
      <c r="CHQ88" s="356"/>
      <c r="CHR88" s="356"/>
      <c r="CHS88" s="356"/>
      <c r="CHT88" s="356"/>
      <c r="CHU88" s="356"/>
      <c r="CHV88" s="356"/>
      <c r="CHW88" s="356"/>
      <c r="CHX88" s="356"/>
      <c r="CHY88" s="356"/>
      <c r="CHZ88" s="356"/>
      <c r="CIA88" s="356"/>
      <c r="CIB88" s="356"/>
      <c r="CIC88" s="356"/>
      <c r="CID88" s="356"/>
      <c r="CIE88" s="356"/>
      <c r="CIF88" s="356"/>
      <c r="CIG88" s="356"/>
      <c r="CIH88" s="356"/>
      <c r="CII88" s="356"/>
      <c r="CIJ88" s="356"/>
      <c r="CIK88" s="356"/>
      <c r="CIL88" s="356"/>
      <c r="CIM88" s="356"/>
      <c r="CIN88" s="356"/>
      <c r="CIO88" s="356"/>
      <c r="CIP88" s="356"/>
      <c r="CIQ88" s="356"/>
      <c r="CIR88" s="356"/>
      <c r="CIS88" s="356"/>
      <c r="CIT88" s="356"/>
      <c r="CIU88" s="356"/>
      <c r="CIV88" s="356"/>
      <c r="CIW88" s="356"/>
      <c r="CIX88" s="356"/>
      <c r="CIY88" s="356"/>
      <c r="CIZ88" s="356"/>
      <c r="CJA88" s="356"/>
      <c r="CJB88" s="356"/>
      <c r="CJC88" s="356"/>
      <c r="CJD88" s="356"/>
      <c r="CJE88" s="356"/>
      <c r="CJF88" s="356"/>
      <c r="CJG88" s="356"/>
      <c r="CJH88" s="356"/>
      <c r="CJI88" s="356"/>
      <c r="CJJ88" s="356"/>
      <c r="CJK88" s="356"/>
      <c r="CJL88" s="356"/>
      <c r="CJM88" s="356"/>
      <c r="CJN88" s="356"/>
      <c r="CJO88" s="356"/>
      <c r="CJP88" s="356"/>
      <c r="CJQ88" s="356"/>
      <c r="CJR88" s="356"/>
      <c r="CJS88" s="356"/>
      <c r="CJT88" s="356"/>
      <c r="CJU88" s="356"/>
      <c r="CJV88" s="356"/>
      <c r="CJW88" s="356"/>
      <c r="CJX88" s="356"/>
      <c r="CJY88" s="356"/>
      <c r="CJZ88" s="356"/>
      <c r="CKA88" s="356"/>
      <c r="CKB88" s="356"/>
      <c r="CKC88" s="356"/>
      <c r="CKD88" s="356"/>
      <c r="CKE88" s="356"/>
      <c r="CKF88" s="356"/>
      <c r="CKG88" s="356"/>
      <c r="CKH88" s="356"/>
      <c r="CKI88" s="356"/>
      <c r="CKJ88" s="356"/>
      <c r="CKK88" s="356"/>
      <c r="CKL88" s="356"/>
      <c r="CKM88" s="356"/>
      <c r="CKN88" s="356"/>
      <c r="CKO88" s="356"/>
      <c r="CKP88" s="356"/>
      <c r="CKQ88" s="356"/>
      <c r="CKR88" s="356"/>
      <c r="CKS88" s="356"/>
      <c r="CKT88" s="356"/>
      <c r="CKU88" s="356"/>
      <c r="CKV88" s="356"/>
      <c r="CKW88" s="356"/>
      <c r="CKX88" s="356"/>
      <c r="CKY88" s="356"/>
      <c r="CKZ88" s="356"/>
      <c r="CLA88" s="356"/>
      <c r="CLB88" s="356"/>
      <c r="CLC88" s="356"/>
      <c r="CLD88" s="356"/>
      <c r="CLE88" s="356"/>
      <c r="CLF88" s="356"/>
      <c r="CLG88" s="356"/>
      <c r="CLH88" s="356"/>
      <c r="CLI88" s="356"/>
      <c r="CLJ88" s="356"/>
      <c r="CLK88" s="356"/>
      <c r="CLL88" s="356"/>
      <c r="CLM88" s="356"/>
      <c r="CLN88" s="356"/>
      <c r="CLO88" s="356"/>
      <c r="CLP88" s="356"/>
      <c r="CLQ88" s="356"/>
      <c r="CLR88" s="356"/>
      <c r="CLS88" s="356"/>
      <c r="CLT88" s="356"/>
      <c r="CLU88" s="356"/>
      <c r="CLV88" s="356"/>
      <c r="CLW88" s="356"/>
      <c r="CLX88" s="356"/>
      <c r="CLY88" s="356"/>
      <c r="CLZ88" s="356"/>
      <c r="CMA88" s="356"/>
      <c r="CMB88" s="356"/>
      <c r="CMC88" s="356"/>
      <c r="CMD88" s="356"/>
      <c r="CME88" s="356"/>
      <c r="CMF88" s="356"/>
      <c r="CMG88" s="356"/>
      <c r="CMH88" s="356"/>
      <c r="CMI88" s="356"/>
      <c r="CMJ88" s="356"/>
      <c r="CMK88" s="356"/>
      <c r="CML88" s="356"/>
      <c r="CMM88" s="356"/>
      <c r="CMN88" s="356"/>
      <c r="CMO88" s="356"/>
      <c r="CMP88" s="356"/>
      <c r="CMQ88" s="356"/>
      <c r="CMR88" s="356"/>
      <c r="CMS88" s="356"/>
      <c r="CMT88" s="356"/>
      <c r="CMU88" s="356"/>
      <c r="CMV88" s="356"/>
      <c r="CMW88" s="356"/>
      <c r="CMX88" s="356"/>
      <c r="CMY88" s="356"/>
      <c r="CMZ88" s="356"/>
      <c r="CNA88" s="356"/>
      <c r="CNB88" s="356"/>
      <c r="CNC88" s="356"/>
      <c r="CND88" s="356"/>
      <c r="CNE88" s="356"/>
      <c r="CNF88" s="356"/>
      <c r="CNG88" s="356"/>
      <c r="CNH88" s="356"/>
      <c r="CNI88" s="356"/>
      <c r="CNJ88" s="356"/>
      <c r="CNK88" s="356"/>
      <c r="CNL88" s="356"/>
      <c r="CNM88" s="356"/>
      <c r="CNN88" s="356"/>
      <c r="CNO88" s="356"/>
      <c r="CNP88" s="356"/>
      <c r="CNQ88" s="356"/>
      <c r="CNR88" s="356"/>
      <c r="CNS88" s="356"/>
      <c r="CNT88" s="356"/>
      <c r="CNU88" s="356"/>
      <c r="CNV88" s="356"/>
      <c r="CNW88" s="356"/>
      <c r="CNX88" s="356"/>
      <c r="CNY88" s="356"/>
      <c r="CNZ88" s="356"/>
      <c r="COA88" s="356"/>
      <c r="COB88" s="356"/>
      <c r="COC88" s="356"/>
      <c r="COD88" s="356"/>
      <c r="COE88" s="356"/>
      <c r="COF88" s="356"/>
      <c r="COG88" s="356"/>
      <c r="COH88" s="356"/>
      <c r="COI88" s="356"/>
      <c r="COJ88" s="356"/>
      <c r="COK88" s="356"/>
      <c r="COL88" s="356"/>
      <c r="COM88" s="356"/>
      <c r="CON88" s="356"/>
      <c r="COO88" s="356"/>
      <c r="COP88" s="356"/>
      <c r="COQ88" s="356"/>
      <c r="COR88" s="356"/>
      <c r="COS88" s="356"/>
      <c r="COT88" s="356"/>
      <c r="COU88" s="356"/>
      <c r="COV88" s="356"/>
      <c r="COW88" s="356"/>
      <c r="COX88" s="356"/>
      <c r="COY88" s="356"/>
      <c r="COZ88" s="356"/>
      <c r="CPA88" s="356"/>
      <c r="CPB88" s="356"/>
      <c r="CPC88" s="356"/>
      <c r="CPD88" s="356"/>
      <c r="CPE88" s="356"/>
      <c r="CPF88" s="356"/>
      <c r="CPG88" s="356"/>
      <c r="CPH88" s="356"/>
      <c r="CPI88" s="356"/>
      <c r="CPJ88" s="356"/>
      <c r="CPK88" s="356"/>
      <c r="CPL88" s="356"/>
      <c r="CPM88" s="356"/>
      <c r="CPN88" s="356"/>
      <c r="CPO88" s="356"/>
      <c r="CPP88" s="356"/>
      <c r="CPQ88" s="356"/>
      <c r="CPR88" s="356"/>
      <c r="CPS88" s="356"/>
      <c r="CPT88" s="356"/>
      <c r="CPU88" s="356"/>
      <c r="CPV88" s="356"/>
      <c r="CPW88" s="356"/>
      <c r="CPX88" s="356"/>
      <c r="CPY88" s="356"/>
      <c r="CPZ88" s="356"/>
      <c r="CQA88" s="356"/>
      <c r="CQB88" s="356"/>
      <c r="CQC88" s="356"/>
      <c r="CQD88" s="356"/>
      <c r="CQE88" s="356"/>
      <c r="CQF88" s="356"/>
      <c r="CQG88" s="356"/>
      <c r="CQH88" s="356"/>
      <c r="CQI88" s="356"/>
      <c r="CQJ88" s="356"/>
      <c r="CQK88" s="356"/>
      <c r="CQL88" s="356"/>
      <c r="CQM88" s="356"/>
      <c r="CQN88" s="356"/>
      <c r="CQO88" s="356"/>
      <c r="CQP88" s="356"/>
      <c r="CQQ88" s="356"/>
      <c r="CQR88" s="356"/>
      <c r="CQS88" s="356"/>
      <c r="CQT88" s="356"/>
      <c r="CQU88" s="356"/>
      <c r="CQV88" s="356"/>
      <c r="CQW88" s="356"/>
      <c r="CQX88" s="356"/>
      <c r="CQY88" s="356"/>
      <c r="CQZ88" s="356"/>
      <c r="CRA88" s="356"/>
      <c r="CRB88" s="356"/>
      <c r="CRC88" s="356"/>
      <c r="CRD88" s="356"/>
      <c r="CRE88" s="356"/>
      <c r="CRF88" s="356"/>
      <c r="CRG88" s="356"/>
      <c r="CRH88" s="356"/>
      <c r="CRI88" s="356"/>
      <c r="CRJ88" s="356"/>
      <c r="CRK88" s="356"/>
      <c r="CRL88" s="356"/>
      <c r="CRM88" s="356"/>
      <c r="CRN88" s="356"/>
      <c r="CRO88" s="356"/>
      <c r="CRP88" s="356"/>
      <c r="CRQ88" s="356"/>
      <c r="CRR88" s="356"/>
      <c r="CRS88" s="356"/>
      <c r="CRT88" s="356"/>
      <c r="CRU88" s="356"/>
      <c r="CRV88" s="356"/>
      <c r="CRW88" s="356"/>
      <c r="CRX88" s="356"/>
      <c r="CRY88" s="356"/>
      <c r="CRZ88" s="356"/>
      <c r="CSA88" s="356"/>
      <c r="CSB88" s="356"/>
      <c r="CSC88" s="356"/>
      <c r="CSD88" s="356"/>
      <c r="CSE88" s="356"/>
      <c r="CSF88" s="356"/>
      <c r="CSG88" s="356"/>
      <c r="CSH88" s="356"/>
      <c r="CSI88" s="356"/>
      <c r="CSJ88" s="356"/>
      <c r="CSK88" s="356"/>
      <c r="CSL88" s="356"/>
      <c r="CSM88" s="356"/>
      <c r="CSN88" s="356"/>
      <c r="CSO88" s="356"/>
      <c r="CSP88" s="356"/>
      <c r="CSQ88" s="356"/>
      <c r="CSR88" s="356"/>
      <c r="CSS88" s="356"/>
      <c r="CST88" s="356"/>
      <c r="CSU88" s="356"/>
      <c r="CSV88" s="356"/>
      <c r="CSW88" s="356"/>
      <c r="CSX88" s="356"/>
      <c r="CSY88" s="356"/>
      <c r="CSZ88" s="356"/>
      <c r="CTA88" s="356"/>
      <c r="CTB88" s="356"/>
      <c r="CTC88" s="356"/>
      <c r="CTD88" s="356"/>
      <c r="CTE88" s="356"/>
      <c r="CTF88" s="356"/>
      <c r="CTG88" s="356"/>
      <c r="CTH88" s="356"/>
      <c r="CTI88" s="356"/>
      <c r="CTJ88" s="356"/>
      <c r="CTK88" s="356"/>
      <c r="CTL88" s="356"/>
      <c r="CTM88" s="356"/>
      <c r="CTN88" s="356"/>
      <c r="CTO88" s="356"/>
      <c r="CTP88" s="356"/>
      <c r="CTQ88" s="356"/>
      <c r="CTR88" s="356"/>
      <c r="CTS88" s="356"/>
      <c r="CTT88" s="356"/>
      <c r="CTU88" s="356"/>
      <c r="CTV88" s="356"/>
      <c r="CTW88" s="356"/>
      <c r="CTX88" s="356"/>
      <c r="CTY88" s="356"/>
      <c r="CTZ88" s="356"/>
      <c r="CUA88" s="356"/>
      <c r="CUB88" s="356"/>
      <c r="CUC88" s="356"/>
      <c r="CUD88" s="356"/>
      <c r="CUE88" s="356"/>
      <c r="CUF88" s="356"/>
      <c r="CUG88" s="356"/>
      <c r="CUH88" s="356"/>
      <c r="CUI88" s="356"/>
      <c r="CUJ88" s="356"/>
      <c r="CUK88" s="356"/>
      <c r="CUL88" s="356"/>
      <c r="CUM88" s="356"/>
      <c r="CUN88" s="356"/>
      <c r="CUO88" s="356"/>
      <c r="CUP88" s="356"/>
      <c r="CUQ88" s="356"/>
      <c r="CUR88" s="356"/>
      <c r="CUS88" s="356"/>
      <c r="CUT88" s="356"/>
      <c r="CUU88" s="356"/>
      <c r="CUV88" s="356"/>
      <c r="CUW88" s="356"/>
      <c r="CUX88" s="356"/>
      <c r="CUY88" s="356"/>
      <c r="CUZ88" s="356"/>
      <c r="CVA88" s="356"/>
      <c r="CVB88" s="356"/>
      <c r="CVC88" s="356"/>
      <c r="CVD88" s="356"/>
      <c r="CVE88" s="356"/>
      <c r="CVF88" s="356"/>
      <c r="CVG88" s="356"/>
      <c r="CVH88" s="356"/>
      <c r="CVI88" s="356"/>
      <c r="CVJ88" s="356"/>
      <c r="CVK88" s="356"/>
      <c r="CVL88" s="356"/>
      <c r="CVM88" s="356"/>
      <c r="CVN88" s="356"/>
      <c r="CVO88" s="356"/>
      <c r="CVP88" s="356"/>
      <c r="CVQ88" s="356"/>
      <c r="CVR88" s="356"/>
      <c r="CVS88" s="356"/>
      <c r="CVT88" s="356"/>
      <c r="CVU88" s="356"/>
      <c r="CVV88" s="356"/>
      <c r="CVW88" s="356"/>
      <c r="CVX88" s="356"/>
      <c r="CVY88" s="356"/>
      <c r="CVZ88" s="356"/>
      <c r="CWA88" s="356"/>
      <c r="CWB88" s="356"/>
      <c r="CWC88" s="356"/>
      <c r="CWD88" s="356"/>
      <c r="CWE88" s="356"/>
      <c r="CWF88" s="356"/>
      <c r="CWG88" s="356"/>
      <c r="CWH88" s="356"/>
      <c r="CWI88" s="356"/>
      <c r="CWJ88" s="356"/>
      <c r="CWK88" s="356"/>
      <c r="CWL88" s="356"/>
      <c r="CWM88" s="356"/>
      <c r="CWN88" s="356"/>
      <c r="CWO88" s="356"/>
      <c r="CWP88" s="356"/>
      <c r="CWQ88" s="356"/>
      <c r="CWR88" s="356"/>
      <c r="CWS88" s="356"/>
      <c r="CWT88" s="356"/>
      <c r="CWU88" s="356"/>
      <c r="CWV88" s="356"/>
      <c r="CWW88" s="356"/>
      <c r="CWX88" s="356"/>
      <c r="CWY88" s="356"/>
      <c r="CWZ88" s="356"/>
      <c r="CXA88" s="356"/>
      <c r="CXB88" s="356"/>
      <c r="CXC88" s="356"/>
      <c r="CXD88" s="356"/>
      <c r="CXE88" s="356"/>
      <c r="CXF88" s="356"/>
      <c r="CXG88" s="356"/>
      <c r="CXH88" s="356"/>
      <c r="CXI88" s="356"/>
      <c r="CXJ88" s="356"/>
      <c r="CXK88" s="356"/>
      <c r="CXL88" s="356"/>
      <c r="CXM88" s="356"/>
      <c r="CXN88" s="356"/>
      <c r="CXO88" s="356"/>
      <c r="CXP88" s="356"/>
      <c r="CXQ88" s="356"/>
      <c r="CXR88" s="356"/>
      <c r="CXS88" s="356"/>
      <c r="CXT88" s="356"/>
      <c r="CXU88" s="356"/>
      <c r="CXV88" s="356"/>
      <c r="CXW88" s="356"/>
      <c r="CXX88" s="356"/>
      <c r="CXY88" s="356"/>
      <c r="CXZ88" s="356"/>
      <c r="CYA88" s="356"/>
      <c r="CYB88" s="356"/>
      <c r="CYC88" s="356"/>
      <c r="CYD88" s="356"/>
      <c r="CYE88" s="356"/>
      <c r="CYF88" s="356"/>
      <c r="CYG88" s="356"/>
      <c r="CYH88" s="356"/>
      <c r="CYI88" s="356"/>
      <c r="CYJ88" s="356"/>
      <c r="CYK88" s="356"/>
      <c r="CYL88" s="356"/>
      <c r="CYM88" s="356"/>
      <c r="CYN88" s="356"/>
      <c r="CYO88" s="356"/>
      <c r="CYP88" s="356"/>
      <c r="CYQ88" s="356"/>
      <c r="CYR88" s="356"/>
      <c r="CYS88" s="356"/>
      <c r="CYT88" s="356"/>
      <c r="CYU88" s="356"/>
      <c r="CYV88" s="356"/>
      <c r="CYW88" s="356"/>
      <c r="CYX88" s="356"/>
      <c r="CYY88" s="356"/>
      <c r="CYZ88" s="356"/>
      <c r="CZA88" s="356"/>
      <c r="CZB88" s="356"/>
      <c r="CZC88" s="356"/>
      <c r="CZD88" s="356"/>
      <c r="CZE88" s="356"/>
      <c r="CZF88" s="356"/>
      <c r="CZG88" s="356"/>
      <c r="CZH88" s="356"/>
      <c r="CZI88" s="356"/>
      <c r="CZJ88" s="356"/>
      <c r="CZK88" s="356"/>
      <c r="CZL88" s="356"/>
      <c r="CZM88" s="356"/>
      <c r="CZN88" s="356"/>
      <c r="CZO88" s="356"/>
      <c r="CZP88" s="356"/>
      <c r="CZQ88" s="356"/>
      <c r="CZR88" s="356"/>
      <c r="CZS88" s="356"/>
      <c r="CZT88" s="356"/>
      <c r="CZU88" s="356"/>
      <c r="CZV88" s="356"/>
      <c r="CZW88" s="356"/>
      <c r="CZX88" s="356"/>
      <c r="CZY88" s="356"/>
      <c r="CZZ88" s="356"/>
      <c r="DAA88" s="356"/>
      <c r="DAB88" s="356"/>
      <c r="DAC88" s="356"/>
      <c r="DAD88" s="356"/>
      <c r="DAE88" s="356"/>
      <c r="DAF88" s="356"/>
      <c r="DAG88" s="356"/>
      <c r="DAH88" s="356"/>
      <c r="DAI88" s="356"/>
      <c r="DAJ88" s="356"/>
      <c r="DAK88" s="356"/>
      <c r="DAL88" s="356"/>
      <c r="DAM88" s="356"/>
      <c r="DAN88" s="356"/>
      <c r="DAO88" s="356"/>
      <c r="DAP88" s="356"/>
      <c r="DAQ88" s="356"/>
      <c r="DAR88" s="356"/>
      <c r="DAS88" s="356"/>
      <c r="DAT88" s="356"/>
      <c r="DAU88" s="356"/>
      <c r="DAV88" s="356"/>
      <c r="DAW88" s="356"/>
      <c r="DAX88" s="356"/>
      <c r="DAY88" s="356"/>
      <c r="DAZ88" s="356"/>
      <c r="DBA88" s="356"/>
      <c r="DBB88" s="356"/>
      <c r="DBC88" s="356"/>
      <c r="DBD88" s="356"/>
      <c r="DBE88" s="356"/>
      <c r="DBF88" s="356"/>
      <c r="DBG88" s="356"/>
      <c r="DBH88" s="356"/>
      <c r="DBI88" s="356"/>
      <c r="DBJ88" s="356"/>
      <c r="DBK88" s="356"/>
      <c r="DBL88" s="356"/>
      <c r="DBM88" s="356"/>
      <c r="DBN88" s="356"/>
      <c r="DBO88" s="356"/>
      <c r="DBP88" s="356"/>
      <c r="DBQ88" s="356"/>
      <c r="DBR88" s="356"/>
      <c r="DBS88" s="356"/>
      <c r="DBT88" s="356"/>
      <c r="DBU88" s="356"/>
      <c r="DBV88" s="356"/>
      <c r="DBW88" s="356"/>
      <c r="DBX88" s="356"/>
      <c r="DBY88" s="356"/>
      <c r="DBZ88" s="356"/>
      <c r="DCA88" s="356"/>
      <c r="DCB88" s="356"/>
      <c r="DCC88" s="356"/>
      <c r="DCD88" s="356"/>
      <c r="DCE88" s="356"/>
      <c r="DCF88" s="356"/>
      <c r="DCG88" s="356"/>
      <c r="DCH88" s="356"/>
      <c r="DCI88" s="356"/>
      <c r="DCJ88" s="356"/>
      <c r="DCK88" s="356"/>
      <c r="DCL88" s="356"/>
      <c r="DCM88" s="356"/>
      <c r="DCN88" s="356"/>
      <c r="DCO88" s="356"/>
      <c r="DCP88" s="356"/>
      <c r="DCQ88" s="356"/>
      <c r="DCR88" s="356"/>
      <c r="DCS88" s="356"/>
      <c r="DCT88" s="356"/>
      <c r="DCU88" s="356"/>
      <c r="DCV88" s="356"/>
      <c r="DCW88" s="356"/>
      <c r="DCX88" s="356"/>
      <c r="DCY88" s="356"/>
      <c r="DCZ88" s="356"/>
      <c r="DDA88" s="356"/>
      <c r="DDB88" s="356"/>
      <c r="DDC88" s="356"/>
      <c r="DDD88" s="356"/>
      <c r="DDE88" s="356"/>
      <c r="DDF88" s="356"/>
      <c r="DDG88" s="356"/>
      <c r="DDH88" s="356"/>
      <c r="DDI88" s="356"/>
      <c r="DDJ88" s="356"/>
      <c r="DDK88" s="356"/>
      <c r="DDL88" s="356"/>
      <c r="DDM88" s="356"/>
      <c r="DDN88" s="356"/>
      <c r="DDO88" s="356"/>
      <c r="DDP88" s="356"/>
      <c r="DDQ88" s="356"/>
      <c r="DDR88" s="356"/>
      <c r="DDS88" s="356"/>
      <c r="DDT88" s="356"/>
      <c r="DDU88" s="356"/>
      <c r="DDV88" s="356"/>
      <c r="DDW88" s="356"/>
      <c r="DDX88" s="356"/>
      <c r="DDY88" s="356"/>
      <c r="DDZ88" s="356"/>
      <c r="DEA88" s="356"/>
      <c r="DEB88" s="356"/>
      <c r="DEC88" s="356"/>
      <c r="DED88" s="356"/>
      <c r="DEE88" s="356"/>
      <c r="DEF88" s="356"/>
      <c r="DEG88" s="356"/>
      <c r="DEH88" s="356"/>
      <c r="DEI88" s="356"/>
      <c r="DEJ88" s="356"/>
      <c r="DEK88" s="356"/>
      <c r="DEL88" s="356"/>
      <c r="DEM88" s="356"/>
      <c r="DEN88" s="356"/>
      <c r="DEO88" s="356"/>
      <c r="DEP88" s="356"/>
      <c r="DEQ88" s="356"/>
      <c r="DER88" s="356"/>
      <c r="DES88" s="356"/>
      <c r="DET88" s="356"/>
      <c r="DEU88" s="356"/>
      <c r="DEV88" s="356"/>
      <c r="DEW88" s="356"/>
      <c r="DEX88" s="356"/>
      <c r="DEY88" s="356"/>
      <c r="DEZ88" s="356"/>
      <c r="DFA88" s="356"/>
      <c r="DFB88" s="356"/>
      <c r="DFC88" s="356"/>
      <c r="DFD88" s="356"/>
      <c r="DFE88" s="356"/>
      <c r="DFF88" s="356"/>
      <c r="DFG88" s="356"/>
      <c r="DFH88" s="356"/>
      <c r="DFI88" s="356"/>
      <c r="DFJ88" s="356"/>
      <c r="DFK88" s="356"/>
      <c r="DFL88" s="356"/>
      <c r="DFM88" s="356"/>
      <c r="DFN88" s="356"/>
      <c r="DFO88" s="356"/>
      <c r="DFP88" s="356"/>
      <c r="DFQ88" s="356"/>
      <c r="DFR88" s="356"/>
      <c r="DFS88" s="356"/>
      <c r="DFT88" s="356"/>
      <c r="DFU88" s="356"/>
      <c r="DFV88" s="356"/>
      <c r="DFW88" s="356"/>
      <c r="DFX88" s="356"/>
      <c r="DFY88" s="356"/>
      <c r="DFZ88" s="356"/>
      <c r="DGA88" s="356"/>
      <c r="DGB88" s="356"/>
      <c r="DGC88" s="356"/>
      <c r="DGD88" s="356"/>
      <c r="DGE88" s="356"/>
      <c r="DGF88" s="356"/>
      <c r="DGG88" s="356"/>
      <c r="DGH88" s="356"/>
      <c r="DGI88" s="356"/>
      <c r="DGJ88" s="356"/>
      <c r="DGK88" s="356"/>
      <c r="DGL88" s="356"/>
      <c r="DGM88" s="356"/>
      <c r="DGN88" s="356"/>
      <c r="DGO88" s="356"/>
      <c r="DGP88" s="356"/>
      <c r="DGQ88" s="356"/>
      <c r="DGR88" s="356"/>
      <c r="DGS88" s="356"/>
      <c r="DGT88" s="356"/>
      <c r="DGU88" s="356"/>
      <c r="DGV88" s="356"/>
      <c r="DGW88" s="356"/>
      <c r="DGX88" s="356"/>
      <c r="DGY88" s="356"/>
      <c r="DGZ88" s="356"/>
      <c r="DHA88" s="356"/>
      <c r="DHB88" s="356"/>
      <c r="DHC88" s="356"/>
      <c r="DHD88" s="356"/>
      <c r="DHE88" s="356"/>
      <c r="DHF88" s="356"/>
      <c r="DHG88" s="356"/>
      <c r="DHH88" s="356"/>
      <c r="DHI88" s="356"/>
      <c r="DHJ88" s="356"/>
      <c r="DHK88" s="356"/>
      <c r="DHL88" s="356"/>
      <c r="DHM88" s="356"/>
      <c r="DHN88" s="356"/>
      <c r="DHO88" s="356"/>
      <c r="DHP88" s="356"/>
      <c r="DHQ88" s="356"/>
      <c r="DHR88" s="356"/>
      <c r="DHS88" s="356"/>
      <c r="DHT88" s="356"/>
      <c r="DHU88" s="356"/>
      <c r="DHV88" s="356"/>
      <c r="DHW88" s="356"/>
      <c r="DHX88" s="356"/>
      <c r="DHY88" s="356"/>
      <c r="DHZ88" s="356"/>
      <c r="DIA88" s="356"/>
      <c r="DIB88" s="356"/>
      <c r="DIC88" s="356"/>
      <c r="DID88" s="356"/>
      <c r="DIE88" s="356"/>
      <c r="DIF88" s="356"/>
      <c r="DIG88" s="356"/>
      <c r="DIH88" s="356"/>
      <c r="DII88" s="356"/>
      <c r="DIJ88" s="356"/>
      <c r="DIK88" s="356"/>
      <c r="DIL88" s="356"/>
      <c r="DIM88" s="356"/>
      <c r="DIN88" s="356"/>
      <c r="DIO88" s="356"/>
      <c r="DIP88" s="356"/>
      <c r="DIQ88" s="356"/>
      <c r="DIR88" s="356"/>
      <c r="DIS88" s="356"/>
      <c r="DIT88" s="356"/>
      <c r="DIU88" s="356"/>
      <c r="DIV88" s="356"/>
      <c r="DIW88" s="356"/>
      <c r="DIX88" s="356"/>
      <c r="DIY88" s="356"/>
      <c r="DIZ88" s="356"/>
      <c r="DJA88" s="356"/>
      <c r="DJB88" s="356"/>
      <c r="DJC88" s="356"/>
      <c r="DJD88" s="356"/>
      <c r="DJE88" s="356"/>
      <c r="DJF88" s="356"/>
      <c r="DJG88" s="356"/>
      <c r="DJH88" s="356"/>
      <c r="DJI88" s="356"/>
      <c r="DJJ88" s="356"/>
      <c r="DJK88" s="356"/>
      <c r="DJL88" s="356"/>
      <c r="DJM88" s="356"/>
      <c r="DJN88" s="356"/>
      <c r="DJO88" s="356"/>
      <c r="DJP88" s="356"/>
      <c r="DJQ88" s="356"/>
      <c r="DJR88" s="356"/>
      <c r="DJS88" s="356"/>
      <c r="DJT88" s="356"/>
      <c r="DJU88" s="356"/>
      <c r="DJV88" s="356"/>
      <c r="DJW88" s="356"/>
      <c r="DJX88" s="356"/>
      <c r="DJY88" s="356"/>
      <c r="DJZ88" s="356"/>
      <c r="DKA88" s="356"/>
      <c r="DKB88" s="356"/>
      <c r="DKC88" s="356"/>
      <c r="DKD88" s="356"/>
      <c r="DKE88" s="356"/>
      <c r="DKF88" s="356"/>
      <c r="DKG88" s="356"/>
      <c r="DKH88" s="356"/>
      <c r="DKI88" s="356"/>
      <c r="DKJ88" s="356"/>
      <c r="DKK88" s="356"/>
      <c r="DKL88" s="356"/>
      <c r="DKM88" s="356"/>
      <c r="DKN88" s="356"/>
      <c r="DKO88" s="356"/>
      <c r="DKP88" s="356"/>
      <c r="DKQ88" s="356"/>
      <c r="DKR88" s="356"/>
      <c r="DKS88" s="356"/>
      <c r="DKT88" s="356"/>
      <c r="DKU88" s="356"/>
      <c r="DKV88" s="356"/>
      <c r="DKW88" s="356"/>
      <c r="DKX88" s="356"/>
      <c r="DKY88" s="356"/>
      <c r="DKZ88" s="356"/>
      <c r="DLA88" s="356"/>
      <c r="DLB88" s="356"/>
      <c r="DLC88" s="356"/>
      <c r="DLD88" s="356"/>
      <c r="DLE88" s="356"/>
      <c r="DLF88" s="356"/>
      <c r="DLG88" s="356"/>
      <c r="DLH88" s="356"/>
      <c r="DLI88" s="356"/>
      <c r="DLJ88" s="356"/>
      <c r="DLK88" s="356"/>
      <c r="DLL88" s="356"/>
      <c r="DLM88" s="356"/>
      <c r="DLN88" s="356"/>
      <c r="DLO88" s="356"/>
      <c r="DLP88" s="356"/>
      <c r="DLQ88" s="356"/>
      <c r="DLR88" s="356"/>
      <c r="DLS88" s="356"/>
      <c r="DLT88" s="356"/>
      <c r="DLU88" s="356"/>
      <c r="DLV88" s="356"/>
      <c r="DLW88" s="356"/>
      <c r="DLX88" s="356"/>
      <c r="DLY88" s="356"/>
      <c r="DLZ88" s="356"/>
      <c r="DMA88" s="356"/>
      <c r="DMB88" s="356"/>
      <c r="DMC88" s="356"/>
      <c r="DMD88" s="356"/>
      <c r="DME88" s="356"/>
      <c r="DMF88" s="356"/>
      <c r="DMG88" s="356"/>
      <c r="DMH88" s="356"/>
      <c r="DMI88" s="356"/>
      <c r="DMJ88" s="356"/>
      <c r="DMK88" s="356"/>
      <c r="DML88" s="356"/>
      <c r="DMM88" s="356"/>
      <c r="DMN88" s="356"/>
      <c r="DMO88" s="356"/>
      <c r="DMP88" s="356"/>
      <c r="DMQ88" s="356"/>
      <c r="DMR88" s="356"/>
      <c r="DMS88" s="356"/>
      <c r="DMT88" s="356"/>
      <c r="DMU88" s="356"/>
      <c r="DMV88" s="356"/>
      <c r="DMW88" s="356"/>
      <c r="DMX88" s="356"/>
      <c r="DMY88" s="356"/>
      <c r="DMZ88" s="356"/>
      <c r="DNA88" s="356"/>
      <c r="DNB88" s="356"/>
      <c r="DNC88" s="356"/>
      <c r="DND88" s="356"/>
      <c r="DNE88" s="356"/>
      <c r="DNF88" s="356"/>
      <c r="DNG88" s="356"/>
      <c r="DNH88" s="356"/>
      <c r="DNI88" s="356"/>
      <c r="DNJ88" s="356"/>
      <c r="DNK88" s="356"/>
      <c r="DNL88" s="356"/>
      <c r="DNM88" s="356"/>
      <c r="DNN88" s="356"/>
      <c r="DNO88" s="356"/>
      <c r="DNP88" s="356"/>
      <c r="DNQ88" s="356"/>
      <c r="DNR88" s="356"/>
      <c r="DNS88" s="356"/>
      <c r="DNT88" s="356"/>
      <c r="DNU88" s="356"/>
      <c r="DNV88" s="356"/>
      <c r="DNW88" s="356"/>
      <c r="DNX88" s="356"/>
      <c r="DNY88" s="356"/>
      <c r="DNZ88" s="356"/>
      <c r="DOA88" s="356"/>
      <c r="DOB88" s="356"/>
      <c r="DOC88" s="356"/>
      <c r="DOD88" s="356"/>
      <c r="DOE88" s="356"/>
      <c r="DOF88" s="356"/>
      <c r="DOG88" s="356"/>
      <c r="DOH88" s="356"/>
      <c r="DOI88" s="356"/>
      <c r="DOJ88" s="356"/>
      <c r="DOK88" s="356"/>
      <c r="DOL88" s="356"/>
      <c r="DOM88" s="356"/>
      <c r="DON88" s="356"/>
      <c r="DOO88" s="356"/>
      <c r="DOP88" s="356"/>
      <c r="DOQ88" s="356"/>
      <c r="DOR88" s="356"/>
      <c r="DOS88" s="356"/>
      <c r="DOT88" s="356"/>
      <c r="DOU88" s="356"/>
      <c r="DOV88" s="356"/>
      <c r="DOW88" s="356"/>
      <c r="DOX88" s="356"/>
      <c r="DOY88" s="356"/>
      <c r="DOZ88" s="356"/>
      <c r="DPA88" s="356"/>
      <c r="DPB88" s="356"/>
      <c r="DPC88" s="356"/>
      <c r="DPD88" s="356"/>
      <c r="DPE88" s="356"/>
      <c r="DPF88" s="356"/>
      <c r="DPG88" s="356"/>
      <c r="DPH88" s="356"/>
      <c r="DPI88" s="356"/>
      <c r="DPJ88" s="356"/>
      <c r="DPK88" s="356"/>
      <c r="DPL88" s="356"/>
      <c r="DPM88" s="356"/>
      <c r="DPN88" s="356"/>
      <c r="DPO88" s="356"/>
      <c r="DPP88" s="356"/>
      <c r="DPQ88" s="356"/>
      <c r="DPR88" s="356"/>
      <c r="DPS88" s="356"/>
      <c r="DPT88" s="356"/>
      <c r="DPU88" s="356"/>
      <c r="DPV88" s="356"/>
      <c r="DPW88" s="356"/>
      <c r="DPX88" s="356"/>
      <c r="DPY88" s="356"/>
      <c r="DPZ88" s="356"/>
      <c r="DQA88" s="356"/>
      <c r="DQB88" s="356"/>
      <c r="DQC88" s="356"/>
      <c r="DQD88" s="356"/>
      <c r="DQE88" s="356"/>
      <c r="DQF88" s="356"/>
      <c r="DQG88" s="356"/>
      <c r="DQH88" s="356"/>
      <c r="DQI88" s="356"/>
      <c r="DQJ88" s="356"/>
      <c r="DQK88" s="356"/>
      <c r="DQL88" s="356"/>
      <c r="DQM88" s="356"/>
      <c r="DQN88" s="356"/>
      <c r="DQO88" s="356"/>
      <c r="DQP88" s="356"/>
      <c r="DQQ88" s="356"/>
      <c r="DQR88" s="356"/>
      <c r="DQS88" s="356"/>
      <c r="DQT88" s="356"/>
      <c r="DQU88" s="356"/>
      <c r="DQV88" s="356"/>
      <c r="DQW88" s="356"/>
      <c r="DQX88" s="356"/>
      <c r="DQY88" s="356"/>
      <c r="DQZ88" s="356"/>
      <c r="DRA88" s="356"/>
      <c r="DRB88" s="356"/>
      <c r="DRC88" s="356"/>
      <c r="DRD88" s="356"/>
      <c r="DRE88" s="356"/>
      <c r="DRF88" s="356"/>
      <c r="DRG88" s="356"/>
      <c r="DRH88" s="356"/>
      <c r="DRI88" s="356"/>
      <c r="DRJ88" s="356"/>
      <c r="DRK88" s="356"/>
      <c r="DRL88" s="356"/>
      <c r="DRM88" s="356"/>
      <c r="DRN88" s="356"/>
      <c r="DRO88" s="356"/>
      <c r="DRP88" s="356"/>
      <c r="DRQ88" s="356"/>
      <c r="DRR88" s="356"/>
      <c r="DRS88" s="356"/>
      <c r="DRT88" s="356"/>
      <c r="DRU88" s="356"/>
      <c r="DRV88" s="356"/>
      <c r="DRW88" s="356"/>
      <c r="DRX88" s="356"/>
      <c r="DRY88" s="356"/>
      <c r="DRZ88" s="356"/>
      <c r="DSA88" s="356"/>
      <c r="DSB88" s="356"/>
      <c r="DSC88" s="356"/>
      <c r="DSD88" s="356"/>
      <c r="DSE88" s="356"/>
      <c r="DSF88" s="356"/>
      <c r="DSG88" s="356"/>
      <c r="DSH88" s="356"/>
      <c r="DSI88" s="356"/>
      <c r="DSJ88" s="356"/>
      <c r="DSK88" s="356"/>
      <c r="DSL88" s="356"/>
      <c r="DSM88" s="356"/>
      <c r="DSN88" s="356"/>
      <c r="DSO88" s="356"/>
      <c r="DSP88" s="356"/>
      <c r="DSQ88" s="356"/>
      <c r="DSR88" s="356"/>
      <c r="DSS88" s="356"/>
      <c r="DST88" s="356"/>
      <c r="DSU88" s="356"/>
      <c r="DSV88" s="356"/>
      <c r="DSW88" s="356"/>
      <c r="DSX88" s="356"/>
      <c r="DSY88" s="356"/>
      <c r="DSZ88" s="356"/>
      <c r="DTA88" s="356"/>
      <c r="DTB88" s="356"/>
      <c r="DTC88" s="356"/>
      <c r="DTD88" s="356"/>
      <c r="DTE88" s="356"/>
      <c r="DTF88" s="356"/>
      <c r="DTG88" s="356"/>
      <c r="DTH88" s="356"/>
      <c r="DTI88" s="356"/>
      <c r="DTJ88" s="356"/>
      <c r="DTK88" s="356"/>
      <c r="DTL88" s="356"/>
      <c r="DTM88" s="356"/>
      <c r="DTN88" s="356"/>
      <c r="DTO88" s="356"/>
      <c r="DTP88" s="356"/>
      <c r="DTQ88" s="356"/>
      <c r="DTR88" s="356"/>
      <c r="DTS88" s="356"/>
      <c r="DTT88" s="356"/>
      <c r="DTU88" s="356"/>
      <c r="DTV88" s="356"/>
      <c r="DTW88" s="356"/>
      <c r="DTX88" s="356"/>
      <c r="DTY88" s="356"/>
      <c r="DTZ88" s="356"/>
      <c r="DUA88" s="356"/>
      <c r="DUB88" s="356"/>
      <c r="DUC88" s="356"/>
      <c r="DUD88" s="356"/>
      <c r="DUE88" s="356"/>
      <c r="DUF88" s="356"/>
      <c r="DUG88" s="356"/>
      <c r="DUH88" s="356"/>
      <c r="DUI88" s="356"/>
      <c r="DUJ88" s="356"/>
      <c r="DUK88" s="356"/>
      <c r="DUL88" s="356"/>
      <c r="DUM88" s="356"/>
      <c r="DUN88" s="356"/>
      <c r="DUO88" s="356"/>
      <c r="DUP88" s="356"/>
      <c r="DUQ88" s="356"/>
      <c r="DUR88" s="356"/>
      <c r="DUS88" s="356"/>
      <c r="DUT88" s="356"/>
      <c r="DUU88" s="356"/>
      <c r="DUV88" s="356"/>
      <c r="DUW88" s="356"/>
      <c r="DUX88" s="356"/>
      <c r="DUY88" s="356"/>
      <c r="DUZ88" s="356"/>
      <c r="DVA88" s="356"/>
      <c r="DVB88" s="356"/>
      <c r="DVC88" s="356"/>
      <c r="DVD88" s="356"/>
      <c r="DVE88" s="356"/>
      <c r="DVF88" s="356"/>
      <c r="DVG88" s="356"/>
      <c r="DVH88" s="356"/>
      <c r="DVI88" s="356"/>
      <c r="DVJ88" s="356"/>
      <c r="DVK88" s="356"/>
      <c r="DVL88" s="356"/>
      <c r="DVM88" s="356"/>
      <c r="DVN88" s="356"/>
      <c r="DVO88" s="356"/>
      <c r="DVP88" s="356"/>
      <c r="DVQ88" s="356"/>
      <c r="DVR88" s="356"/>
      <c r="DVS88" s="356"/>
      <c r="DVT88" s="356"/>
      <c r="DVU88" s="356"/>
      <c r="DVV88" s="356"/>
      <c r="DVW88" s="356"/>
      <c r="DVX88" s="356"/>
      <c r="DVY88" s="356"/>
      <c r="DVZ88" s="356"/>
      <c r="DWA88" s="356"/>
      <c r="DWB88" s="356"/>
      <c r="DWC88" s="356"/>
      <c r="DWD88" s="356"/>
      <c r="DWE88" s="356"/>
      <c r="DWF88" s="356"/>
      <c r="DWG88" s="356"/>
      <c r="DWH88" s="356"/>
      <c r="DWI88" s="356"/>
      <c r="DWJ88" s="356"/>
      <c r="DWK88" s="356"/>
      <c r="DWL88" s="356"/>
      <c r="DWM88" s="356"/>
      <c r="DWN88" s="356"/>
      <c r="DWO88" s="356"/>
      <c r="DWP88" s="356"/>
      <c r="DWQ88" s="356"/>
      <c r="DWR88" s="356"/>
      <c r="DWS88" s="356"/>
      <c r="DWT88" s="356"/>
      <c r="DWU88" s="356"/>
      <c r="DWV88" s="356"/>
      <c r="DWW88" s="356"/>
      <c r="DWX88" s="356"/>
      <c r="DWY88" s="356"/>
      <c r="DWZ88" s="356"/>
      <c r="DXA88" s="356"/>
      <c r="DXB88" s="356"/>
      <c r="DXC88" s="356"/>
      <c r="DXD88" s="356"/>
      <c r="DXE88" s="356"/>
      <c r="DXF88" s="356"/>
      <c r="DXG88" s="356"/>
      <c r="DXH88" s="356"/>
      <c r="DXI88" s="356"/>
      <c r="DXJ88" s="356"/>
      <c r="DXK88" s="356"/>
      <c r="DXL88" s="356"/>
      <c r="DXM88" s="356"/>
      <c r="DXN88" s="356"/>
      <c r="DXO88" s="356"/>
      <c r="DXP88" s="356"/>
      <c r="DXQ88" s="356"/>
      <c r="DXR88" s="356"/>
      <c r="DXS88" s="356"/>
      <c r="DXT88" s="356"/>
      <c r="DXU88" s="356"/>
      <c r="DXV88" s="356"/>
      <c r="DXW88" s="356"/>
      <c r="DXX88" s="356"/>
      <c r="DXY88" s="356"/>
      <c r="DXZ88" s="356"/>
      <c r="DYA88" s="356"/>
      <c r="DYB88" s="356"/>
      <c r="DYC88" s="356"/>
      <c r="DYD88" s="356"/>
      <c r="DYE88" s="356"/>
      <c r="DYF88" s="356"/>
      <c r="DYG88" s="356"/>
      <c r="DYH88" s="356"/>
      <c r="DYI88" s="356"/>
      <c r="DYJ88" s="356"/>
      <c r="DYK88" s="356"/>
      <c r="DYL88" s="356"/>
      <c r="DYM88" s="356"/>
      <c r="DYN88" s="356"/>
      <c r="DYO88" s="356"/>
      <c r="DYP88" s="356"/>
      <c r="DYQ88" s="356"/>
      <c r="DYR88" s="356"/>
      <c r="DYS88" s="356"/>
      <c r="DYT88" s="356"/>
      <c r="DYU88" s="356"/>
      <c r="DYV88" s="356"/>
      <c r="DYW88" s="356"/>
      <c r="DYX88" s="356"/>
      <c r="DYY88" s="356"/>
      <c r="DYZ88" s="356"/>
      <c r="DZA88" s="356"/>
      <c r="DZB88" s="356"/>
      <c r="DZC88" s="356"/>
      <c r="DZD88" s="356"/>
      <c r="DZE88" s="356"/>
      <c r="DZF88" s="356"/>
      <c r="DZG88" s="356"/>
      <c r="DZH88" s="356"/>
      <c r="DZI88" s="356"/>
      <c r="DZJ88" s="356"/>
      <c r="DZK88" s="356"/>
      <c r="DZL88" s="356"/>
      <c r="DZM88" s="356"/>
      <c r="DZN88" s="356"/>
      <c r="DZO88" s="356"/>
      <c r="DZP88" s="356"/>
      <c r="DZQ88" s="356"/>
      <c r="DZR88" s="356"/>
      <c r="DZS88" s="356"/>
      <c r="DZT88" s="356"/>
      <c r="DZU88" s="356"/>
      <c r="DZV88" s="356"/>
      <c r="DZW88" s="356"/>
      <c r="DZX88" s="356"/>
      <c r="DZY88" s="356"/>
      <c r="DZZ88" s="356"/>
      <c r="EAA88" s="356"/>
      <c r="EAB88" s="356"/>
      <c r="EAC88" s="356"/>
      <c r="EAD88" s="356"/>
      <c r="EAE88" s="356"/>
      <c r="EAF88" s="356"/>
      <c r="EAG88" s="356"/>
      <c r="EAH88" s="356"/>
      <c r="EAI88" s="356"/>
      <c r="EAJ88" s="356"/>
      <c r="EAK88" s="356"/>
      <c r="EAL88" s="356"/>
      <c r="EAM88" s="356"/>
      <c r="EAN88" s="356"/>
      <c r="EAO88" s="356"/>
      <c r="EAP88" s="356"/>
      <c r="EAQ88" s="356"/>
      <c r="EAR88" s="356"/>
      <c r="EAS88" s="356"/>
      <c r="EAT88" s="356"/>
      <c r="EAU88" s="356"/>
      <c r="EAV88" s="356"/>
      <c r="EAW88" s="356"/>
      <c r="EAX88" s="356"/>
      <c r="EAY88" s="356"/>
      <c r="EAZ88" s="356"/>
      <c r="EBA88" s="356"/>
      <c r="EBB88" s="356"/>
      <c r="EBC88" s="356"/>
      <c r="EBD88" s="356"/>
      <c r="EBE88" s="356"/>
      <c r="EBF88" s="356"/>
      <c r="EBG88" s="356"/>
      <c r="EBH88" s="356"/>
      <c r="EBI88" s="356"/>
      <c r="EBJ88" s="356"/>
      <c r="EBK88" s="356"/>
      <c r="EBL88" s="356"/>
      <c r="EBM88" s="356"/>
      <c r="EBN88" s="356"/>
      <c r="EBO88" s="356"/>
      <c r="EBP88" s="356"/>
      <c r="EBQ88" s="356"/>
      <c r="EBR88" s="356"/>
      <c r="EBS88" s="356"/>
      <c r="EBT88" s="356"/>
      <c r="EBU88" s="356"/>
      <c r="EBV88" s="356"/>
      <c r="EBW88" s="356"/>
      <c r="EBX88" s="356"/>
      <c r="EBY88" s="356"/>
      <c r="EBZ88" s="356"/>
      <c r="ECA88" s="356"/>
      <c r="ECB88" s="356"/>
      <c r="ECC88" s="356"/>
      <c r="ECD88" s="356"/>
      <c r="ECE88" s="356"/>
      <c r="ECF88" s="356"/>
      <c r="ECG88" s="356"/>
      <c r="ECH88" s="356"/>
      <c r="ECI88" s="356"/>
      <c r="ECJ88" s="356"/>
      <c r="ECK88" s="356"/>
      <c r="ECL88" s="356"/>
      <c r="ECM88" s="356"/>
      <c r="ECN88" s="356"/>
      <c r="ECO88" s="356"/>
      <c r="ECP88" s="356"/>
      <c r="ECQ88" s="356"/>
      <c r="ECR88" s="356"/>
      <c r="ECS88" s="356"/>
      <c r="ECT88" s="356"/>
      <c r="ECU88" s="356"/>
      <c r="ECV88" s="356"/>
      <c r="ECW88" s="356"/>
      <c r="ECX88" s="356"/>
      <c r="ECY88" s="356"/>
      <c r="ECZ88" s="356"/>
      <c r="EDA88" s="356"/>
      <c r="EDB88" s="356"/>
      <c r="EDC88" s="356"/>
      <c r="EDD88" s="356"/>
      <c r="EDE88" s="356"/>
      <c r="EDF88" s="356"/>
      <c r="EDG88" s="356"/>
      <c r="EDH88" s="356"/>
      <c r="EDI88" s="356"/>
      <c r="EDJ88" s="356"/>
      <c r="EDK88" s="356"/>
      <c r="EDL88" s="356"/>
      <c r="EDM88" s="356"/>
      <c r="EDN88" s="356"/>
      <c r="EDO88" s="356"/>
      <c r="EDP88" s="356"/>
      <c r="EDQ88" s="356"/>
      <c r="EDR88" s="356"/>
      <c r="EDS88" s="356"/>
      <c r="EDT88" s="356"/>
      <c r="EDU88" s="356"/>
      <c r="EDV88" s="356"/>
      <c r="EDW88" s="356"/>
      <c r="EDX88" s="356"/>
      <c r="EDY88" s="356"/>
      <c r="EDZ88" s="356"/>
      <c r="EEA88" s="356"/>
      <c r="EEB88" s="356"/>
      <c r="EEC88" s="356"/>
      <c r="EED88" s="356"/>
      <c r="EEE88" s="356"/>
      <c r="EEF88" s="356"/>
      <c r="EEG88" s="356"/>
      <c r="EEH88" s="356"/>
      <c r="EEI88" s="356"/>
      <c r="EEJ88" s="356"/>
      <c r="EEK88" s="356"/>
      <c r="EEL88" s="356"/>
      <c r="EEM88" s="356"/>
      <c r="EEN88" s="356"/>
      <c r="EEO88" s="356"/>
      <c r="EEP88" s="356"/>
      <c r="EEQ88" s="356"/>
      <c r="EER88" s="356"/>
      <c r="EES88" s="356"/>
      <c r="EET88" s="356"/>
      <c r="EEU88" s="356"/>
      <c r="EEV88" s="356"/>
      <c r="EEW88" s="356"/>
      <c r="EEX88" s="356"/>
      <c r="EEY88" s="356"/>
      <c r="EEZ88" s="356"/>
      <c r="EFA88" s="356"/>
      <c r="EFB88" s="356"/>
      <c r="EFC88" s="356"/>
      <c r="EFD88" s="356"/>
      <c r="EFE88" s="356"/>
      <c r="EFF88" s="356"/>
      <c r="EFG88" s="356"/>
      <c r="EFH88" s="356"/>
      <c r="EFI88" s="356"/>
      <c r="EFJ88" s="356"/>
      <c r="EFK88" s="356"/>
      <c r="EFL88" s="356"/>
      <c r="EFM88" s="356"/>
      <c r="EFN88" s="356"/>
      <c r="EFO88" s="356"/>
      <c r="EFP88" s="356"/>
      <c r="EFQ88" s="356"/>
      <c r="EFR88" s="356"/>
      <c r="EFS88" s="356"/>
      <c r="EFT88" s="356"/>
      <c r="EFU88" s="356"/>
      <c r="EFV88" s="356"/>
      <c r="EFW88" s="356"/>
      <c r="EFX88" s="356"/>
      <c r="EFY88" s="356"/>
      <c r="EFZ88" s="356"/>
      <c r="EGA88" s="356"/>
      <c r="EGB88" s="356"/>
      <c r="EGC88" s="356"/>
      <c r="EGD88" s="356"/>
      <c r="EGE88" s="356"/>
      <c r="EGF88" s="356"/>
      <c r="EGG88" s="356"/>
      <c r="EGH88" s="356"/>
      <c r="EGI88" s="356"/>
      <c r="EGJ88" s="356"/>
      <c r="EGK88" s="356"/>
      <c r="EGL88" s="356"/>
      <c r="EGM88" s="356"/>
      <c r="EGN88" s="356"/>
      <c r="EGO88" s="356"/>
      <c r="EGP88" s="356"/>
      <c r="EGQ88" s="356"/>
      <c r="EGR88" s="356"/>
      <c r="EGS88" s="356"/>
      <c r="EGT88" s="356"/>
      <c r="EGU88" s="356"/>
      <c r="EGV88" s="356"/>
      <c r="EGW88" s="356"/>
      <c r="EGX88" s="356"/>
      <c r="EGY88" s="356"/>
      <c r="EGZ88" s="356"/>
      <c r="EHA88" s="356"/>
      <c r="EHB88" s="356"/>
      <c r="EHC88" s="356"/>
      <c r="EHD88" s="356"/>
      <c r="EHE88" s="356"/>
      <c r="EHF88" s="356"/>
      <c r="EHG88" s="356"/>
      <c r="EHH88" s="356"/>
      <c r="EHI88" s="356"/>
      <c r="EHJ88" s="356"/>
      <c r="EHK88" s="356"/>
      <c r="EHL88" s="356"/>
      <c r="EHM88" s="356"/>
      <c r="EHN88" s="356"/>
      <c r="EHO88" s="356"/>
      <c r="EHP88" s="356"/>
      <c r="EHQ88" s="356"/>
      <c r="EHR88" s="356"/>
      <c r="EHS88" s="356"/>
      <c r="EHT88" s="356"/>
      <c r="EHU88" s="356"/>
      <c r="EHV88" s="356"/>
      <c r="EHW88" s="356"/>
      <c r="EHX88" s="356"/>
      <c r="EHY88" s="356"/>
      <c r="EHZ88" s="356"/>
      <c r="EIA88" s="356"/>
      <c r="EIB88" s="356"/>
      <c r="EIC88" s="356"/>
      <c r="EID88" s="356"/>
      <c r="EIE88" s="356"/>
      <c r="EIF88" s="356"/>
      <c r="EIG88" s="356"/>
      <c r="EIH88" s="356"/>
      <c r="EII88" s="356"/>
      <c r="EIJ88" s="356"/>
      <c r="EIK88" s="356"/>
      <c r="EIL88" s="356"/>
      <c r="EIM88" s="356"/>
      <c r="EIN88" s="356"/>
      <c r="EIO88" s="356"/>
      <c r="EIP88" s="356"/>
      <c r="EIQ88" s="356"/>
      <c r="EIR88" s="356"/>
      <c r="EIS88" s="356"/>
      <c r="EIT88" s="356"/>
      <c r="EIU88" s="356"/>
      <c r="EIV88" s="356"/>
      <c r="EIW88" s="356"/>
      <c r="EIX88" s="356"/>
      <c r="EIY88" s="356"/>
      <c r="EIZ88" s="356"/>
      <c r="EJA88" s="356"/>
      <c r="EJB88" s="356"/>
      <c r="EJC88" s="356"/>
      <c r="EJD88" s="356"/>
      <c r="EJE88" s="356"/>
      <c r="EJF88" s="356"/>
      <c r="EJG88" s="356"/>
      <c r="EJH88" s="356"/>
      <c r="EJI88" s="356"/>
      <c r="EJJ88" s="356"/>
      <c r="EJK88" s="356"/>
      <c r="EJL88" s="356"/>
      <c r="EJM88" s="356"/>
      <c r="EJN88" s="356"/>
      <c r="EJO88" s="356"/>
      <c r="EJP88" s="356"/>
      <c r="EJQ88" s="356"/>
      <c r="EJR88" s="356"/>
      <c r="EJS88" s="356"/>
      <c r="EJT88" s="356"/>
      <c r="EJU88" s="356"/>
      <c r="EJV88" s="356"/>
      <c r="EJW88" s="356"/>
      <c r="EJX88" s="356"/>
      <c r="EJY88" s="356"/>
      <c r="EJZ88" s="356"/>
      <c r="EKA88" s="356"/>
      <c r="EKB88" s="356"/>
      <c r="EKC88" s="356"/>
      <c r="EKD88" s="356"/>
      <c r="EKE88" s="356"/>
      <c r="EKF88" s="356"/>
      <c r="EKG88" s="356"/>
      <c r="EKH88" s="356"/>
      <c r="EKI88" s="356"/>
      <c r="EKJ88" s="356"/>
      <c r="EKK88" s="356"/>
      <c r="EKL88" s="356"/>
      <c r="EKM88" s="356"/>
      <c r="EKN88" s="356"/>
      <c r="EKO88" s="356"/>
      <c r="EKP88" s="356"/>
      <c r="EKQ88" s="356"/>
      <c r="EKR88" s="356"/>
      <c r="EKS88" s="356"/>
      <c r="EKT88" s="356"/>
      <c r="EKU88" s="356"/>
      <c r="EKV88" s="356"/>
      <c r="EKW88" s="356"/>
      <c r="EKX88" s="356"/>
      <c r="EKY88" s="356"/>
      <c r="EKZ88" s="356"/>
      <c r="ELA88" s="356"/>
      <c r="ELB88" s="356"/>
      <c r="ELC88" s="356"/>
      <c r="ELD88" s="356"/>
      <c r="ELE88" s="356"/>
      <c r="ELF88" s="356"/>
      <c r="ELG88" s="356"/>
      <c r="ELH88" s="356"/>
      <c r="ELI88" s="356"/>
      <c r="ELJ88" s="356"/>
      <c r="ELK88" s="356"/>
      <c r="ELL88" s="356"/>
      <c r="ELM88" s="356"/>
      <c r="ELN88" s="356"/>
      <c r="ELO88" s="356"/>
      <c r="ELP88" s="356"/>
      <c r="ELQ88" s="356"/>
      <c r="ELR88" s="356"/>
      <c r="ELS88" s="356"/>
      <c r="ELT88" s="356"/>
      <c r="ELU88" s="356"/>
      <c r="ELV88" s="356"/>
      <c r="ELW88" s="356"/>
      <c r="ELX88" s="356"/>
      <c r="ELY88" s="356"/>
      <c r="ELZ88" s="356"/>
      <c r="EMA88" s="356"/>
      <c r="EMB88" s="356"/>
      <c r="EMC88" s="356"/>
      <c r="EMD88" s="356"/>
      <c r="EME88" s="356"/>
      <c r="EMF88" s="356"/>
      <c r="EMG88" s="356"/>
      <c r="EMH88" s="356"/>
      <c r="EMI88" s="356"/>
      <c r="EMJ88" s="356"/>
      <c r="EMK88" s="356"/>
      <c r="EML88" s="356"/>
      <c r="EMM88" s="356"/>
      <c r="EMN88" s="356"/>
      <c r="EMO88" s="356"/>
      <c r="EMP88" s="356"/>
      <c r="EMQ88" s="356"/>
      <c r="EMR88" s="356"/>
      <c r="EMS88" s="356"/>
      <c r="EMT88" s="356"/>
      <c r="EMU88" s="356"/>
      <c r="EMV88" s="356"/>
      <c r="EMW88" s="356"/>
      <c r="EMX88" s="356"/>
      <c r="EMY88" s="356"/>
      <c r="EMZ88" s="356"/>
      <c r="ENA88" s="356"/>
      <c r="ENB88" s="356"/>
      <c r="ENC88" s="356"/>
      <c r="END88" s="356"/>
      <c r="ENE88" s="356"/>
      <c r="ENF88" s="356"/>
      <c r="ENG88" s="356"/>
      <c r="ENH88" s="356"/>
      <c r="ENI88" s="356"/>
      <c r="ENJ88" s="356"/>
      <c r="ENK88" s="356"/>
      <c r="ENL88" s="356"/>
      <c r="ENM88" s="356"/>
      <c r="ENN88" s="356"/>
      <c r="ENO88" s="356"/>
      <c r="ENP88" s="356"/>
      <c r="ENQ88" s="356"/>
      <c r="ENR88" s="356"/>
      <c r="ENS88" s="356"/>
      <c r="ENT88" s="356"/>
      <c r="ENU88" s="356"/>
      <c r="ENV88" s="356"/>
      <c r="ENW88" s="356"/>
      <c r="ENX88" s="356"/>
      <c r="ENY88" s="356"/>
      <c r="ENZ88" s="356"/>
      <c r="EOA88" s="356"/>
      <c r="EOB88" s="356"/>
      <c r="EOC88" s="356"/>
      <c r="EOD88" s="356"/>
      <c r="EOE88" s="356"/>
      <c r="EOF88" s="356"/>
      <c r="EOG88" s="356"/>
      <c r="EOH88" s="356"/>
      <c r="EOI88" s="356"/>
      <c r="EOJ88" s="356"/>
      <c r="EOK88" s="356"/>
      <c r="EOL88" s="356"/>
      <c r="EOM88" s="356"/>
      <c r="EON88" s="356"/>
      <c r="EOO88" s="356"/>
      <c r="EOP88" s="356"/>
      <c r="EOQ88" s="356"/>
      <c r="EOR88" s="356"/>
      <c r="EOS88" s="356"/>
      <c r="EOT88" s="356"/>
      <c r="EOU88" s="356"/>
      <c r="EOV88" s="356"/>
      <c r="EOW88" s="356"/>
      <c r="EOX88" s="356"/>
      <c r="EOY88" s="356"/>
      <c r="EOZ88" s="356"/>
      <c r="EPA88" s="356"/>
      <c r="EPB88" s="356"/>
      <c r="EPC88" s="356"/>
      <c r="EPD88" s="356"/>
      <c r="EPE88" s="356"/>
      <c r="EPF88" s="356"/>
      <c r="EPG88" s="356"/>
      <c r="EPH88" s="356"/>
      <c r="EPI88" s="356"/>
      <c r="EPJ88" s="356"/>
      <c r="EPK88" s="356"/>
      <c r="EPL88" s="356"/>
      <c r="EPM88" s="356"/>
      <c r="EPN88" s="356"/>
      <c r="EPO88" s="356"/>
      <c r="EPP88" s="356"/>
      <c r="EPQ88" s="356"/>
      <c r="EPR88" s="356"/>
      <c r="EPS88" s="356"/>
      <c r="EPT88" s="356"/>
      <c r="EPU88" s="356"/>
      <c r="EPV88" s="356"/>
      <c r="EPW88" s="356"/>
      <c r="EPX88" s="356"/>
      <c r="EPY88" s="356"/>
      <c r="EPZ88" s="356"/>
      <c r="EQA88" s="356"/>
      <c r="EQB88" s="356"/>
      <c r="EQC88" s="356"/>
      <c r="EQD88" s="356"/>
      <c r="EQE88" s="356"/>
      <c r="EQF88" s="356"/>
      <c r="EQG88" s="356"/>
      <c r="EQH88" s="356"/>
      <c r="EQI88" s="356"/>
      <c r="EQJ88" s="356"/>
      <c r="EQK88" s="356"/>
      <c r="EQL88" s="356"/>
      <c r="EQM88" s="356"/>
      <c r="EQN88" s="356"/>
      <c r="EQO88" s="356"/>
      <c r="EQP88" s="356"/>
      <c r="EQQ88" s="356"/>
      <c r="EQR88" s="356"/>
      <c r="EQS88" s="356"/>
      <c r="EQT88" s="356"/>
      <c r="EQU88" s="356"/>
      <c r="EQV88" s="356"/>
      <c r="EQW88" s="356"/>
      <c r="EQX88" s="356"/>
      <c r="EQY88" s="356"/>
      <c r="EQZ88" s="356"/>
      <c r="ERA88" s="356"/>
      <c r="ERB88" s="356"/>
      <c r="ERC88" s="356"/>
      <c r="ERD88" s="356"/>
      <c r="ERE88" s="356"/>
      <c r="ERF88" s="356"/>
      <c r="ERG88" s="356"/>
      <c r="ERH88" s="356"/>
      <c r="ERI88" s="356"/>
      <c r="ERJ88" s="356"/>
      <c r="ERK88" s="356"/>
      <c r="ERL88" s="356"/>
      <c r="ERM88" s="356"/>
      <c r="ERN88" s="356"/>
      <c r="ERO88" s="356"/>
      <c r="ERP88" s="356"/>
      <c r="ERQ88" s="356"/>
      <c r="ERR88" s="356"/>
      <c r="ERS88" s="356"/>
      <c r="ERT88" s="356"/>
      <c r="ERU88" s="356"/>
      <c r="ERV88" s="356"/>
      <c r="ERW88" s="356"/>
      <c r="ERX88" s="356"/>
      <c r="ERY88" s="356"/>
      <c r="ERZ88" s="356"/>
      <c r="ESA88" s="356"/>
      <c r="ESB88" s="356"/>
      <c r="ESC88" s="356"/>
      <c r="ESD88" s="356"/>
      <c r="ESE88" s="356"/>
      <c r="ESF88" s="356"/>
      <c r="ESG88" s="356"/>
      <c r="ESH88" s="356"/>
      <c r="ESI88" s="356"/>
      <c r="ESJ88" s="356"/>
      <c r="ESK88" s="356"/>
      <c r="ESL88" s="356"/>
      <c r="ESM88" s="356"/>
      <c r="ESN88" s="356"/>
      <c r="ESO88" s="356"/>
      <c r="ESP88" s="356"/>
      <c r="ESQ88" s="356"/>
      <c r="ESR88" s="356"/>
      <c r="ESS88" s="356"/>
      <c r="EST88" s="356"/>
      <c r="ESU88" s="356"/>
      <c r="ESV88" s="356"/>
      <c r="ESW88" s="356"/>
      <c r="ESX88" s="356"/>
      <c r="ESY88" s="356"/>
      <c r="ESZ88" s="356"/>
      <c r="ETA88" s="356"/>
      <c r="ETB88" s="356"/>
      <c r="ETC88" s="356"/>
      <c r="ETD88" s="356"/>
      <c r="ETE88" s="356"/>
      <c r="ETF88" s="356"/>
      <c r="ETG88" s="356"/>
      <c r="ETH88" s="356"/>
      <c r="ETI88" s="356"/>
      <c r="ETJ88" s="356"/>
      <c r="ETK88" s="356"/>
      <c r="ETL88" s="356"/>
      <c r="ETM88" s="356"/>
      <c r="ETN88" s="356"/>
      <c r="ETO88" s="356"/>
      <c r="ETP88" s="356"/>
      <c r="ETQ88" s="356"/>
      <c r="ETR88" s="356"/>
      <c r="ETS88" s="356"/>
      <c r="ETT88" s="356"/>
      <c r="ETU88" s="356"/>
      <c r="ETV88" s="356"/>
      <c r="ETW88" s="356"/>
      <c r="ETX88" s="356"/>
      <c r="ETY88" s="356"/>
      <c r="ETZ88" s="356"/>
      <c r="EUA88" s="356"/>
      <c r="EUB88" s="356"/>
      <c r="EUC88" s="356"/>
      <c r="EUD88" s="356"/>
      <c r="EUE88" s="356"/>
      <c r="EUF88" s="356"/>
      <c r="EUG88" s="356"/>
      <c r="EUH88" s="356"/>
      <c r="EUI88" s="356"/>
      <c r="EUJ88" s="356"/>
      <c r="EUK88" s="356"/>
      <c r="EUL88" s="356"/>
      <c r="EUM88" s="356"/>
      <c r="EUN88" s="356"/>
      <c r="EUO88" s="356"/>
      <c r="EUP88" s="356"/>
      <c r="EUQ88" s="356"/>
      <c r="EUR88" s="356"/>
      <c r="EUS88" s="356"/>
      <c r="EUT88" s="356"/>
      <c r="EUU88" s="356"/>
      <c r="EUV88" s="356"/>
      <c r="EUW88" s="356"/>
      <c r="EUX88" s="356"/>
      <c r="EUY88" s="356"/>
      <c r="EUZ88" s="356"/>
      <c r="EVA88" s="356"/>
      <c r="EVB88" s="356"/>
      <c r="EVC88" s="356"/>
      <c r="EVD88" s="356"/>
      <c r="EVE88" s="356"/>
      <c r="EVF88" s="356"/>
      <c r="EVG88" s="356"/>
      <c r="EVH88" s="356"/>
      <c r="EVI88" s="356"/>
      <c r="EVJ88" s="356"/>
      <c r="EVK88" s="356"/>
      <c r="EVL88" s="356"/>
      <c r="EVM88" s="356"/>
      <c r="EVN88" s="356"/>
      <c r="EVO88" s="356"/>
      <c r="EVP88" s="356"/>
      <c r="EVQ88" s="356"/>
      <c r="EVR88" s="356"/>
      <c r="EVS88" s="356"/>
      <c r="EVT88" s="356"/>
      <c r="EVU88" s="356"/>
      <c r="EVV88" s="356"/>
      <c r="EVW88" s="356"/>
      <c r="EVX88" s="356"/>
      <c r="EVY88" s="356"/>
      <c r="EVZ88" s="356"/>
      <c r="EWA88" s="356"/>
      <c r="EWB88" s="356"/>
      <c r="EWC88" s="356"/>
      <c r="EWD88" s="356"/>
      <c r="EWE88" s="356"/>
      <c r="EWF88" s="356"/>
      <c r="EWG88" s="356"/>
      <c r="EWH88" s="356"/>
      <c r="EWI88" s="356"/>
      <c r="EWJ88" s="356"/>
      <c r="EWK88" s="356"/>
      <c r="EWL88" s="356"/>
      <c r="EWM88" s="356"/>
      <c r="EWN88" s="356"/>
      <c r="EWO88" s="356"/>
      <c r="EWP88" s="356"/>
      <c r="EWQ88" s="356"/>
      <c r="EWR88" s="356"/>
      <c r="EWS88" s="356"/>
      <c r="EWT88" s="356"/>
      <c r="EWU88" s="356"/>
      <c r="EWV88" s="356"/>
      <c r="EWW88" s="356"/>
      <c r="EWX88" s="356"/>
      <c r="EWY88" s="356"/>
      <c r="EWZ88" s="356"/>
      <c r="EXA88" s="356"/>
      <c r="EXB88" s="356"/>
      <c r="EXC88" s="356"/>
      <c r="EXD88" s="356"/>
      <c r="EXE88" s="356"/>
      <c r="EXF88" s="356"/>
      <c r="EXG88" s="356"/>
      <c r="EXH88" s="356"/>
      <c r="EXI88" s="356"/>
      <c r="EXJ88" s="356"/>
      <c r="EXK88" s="356"/>
      <c r="EXL88" s="356"/>
      <c r="EXM88" s="356"/>
      <c r="EXN88" s="356"/>
      <c r="EXO88" s="356"/>
      <c r="EXP88" s="356"/>
      <c r="EXQ88" s="356"/>
      <c r="EXR88" s="356"/>
      <c r="EXS88" s="356"/>
      <c r="EXT88" s="356"/>
      <c r="EXU88" s="356"/>
      <c r="EXV88" s="356"/>
      <c r="EXW88" s="356"/>
      <c r="EXX88" s="356"/>
      <c r="EXY88" s="356"/>
      <c r="EXZ88" s="356"/>
      <c r="EYA88" s="356"/>
      <c r="EYB88" s="356"/>
      <c r="EYC88" s="356"/>
      <c r="EYD88" s="356"/>
      <c r="EYE88" s="356"/>
      <c r="EYF88" s="356"/>
      <c r="EYG88" s="356"/>
      <c r="EYH88" s="356"/>
      <c r="EYI88" s="356"/>
      <c r="EYJ88" s="356"/>
      <c r="EYK88" s="356"/>
      <c r="EYL88" s="356"/>
      <c r="EYM88" s="356"/>
      <c r="EYN88" s="356"/>
      <c r="EYO88" s="356"/>
      <c r="EYP88" s="356"/>
      <c r="EYQ88" s="356"/>
      <c r="EYR88" s="356"/>
      <c r="EYS88" s="356"/>
      <c r="EYT88" s="356"/>
      <c r="EYU88" s="356"/>
      <c r="EYV88" s="356"/>
      <c r="EYW88" s="356"/>
      <c r="EYX88" s="356"/>
      <c r="EYY88" s="356"/>
      <c r="EYZ88" s="356"/>
      <c r="EZA88" s="356"/>
      <c r="EZB88" s="356"/>
      <c r="EZC88" s="356"/>
      <c r="EZD88" s="356"/>
      <c r="EZE88" s="356"/>
      <c r="EZF88" s="356"/>
      <c r="EZG88" s="356"/>
      <c r="EZH88" s="356"/>
      <c r="EZI88" s="356"/>
      <c r="EZJ88" s="356"/>
      <c r="EZK88" s="356"/>
      <c r="EZL88" s="356"/>
      <c r="EZM88" s="356"/>
      <c r="EZN88" s="356"/>
      <c r="EZO88" s="356"/>
      <c r="EZP88" s="356"/>
      <c r="EZQ88" s="356"/>
      <c r="EZR88" s="356"/>
      <c r="EZS88" s="356"/>
      <c r="EZT88" s="356"/>
      <c r="EZU88" s="356"/>
      <c r="EZV88" s="356"/>
      <c r="EZW88" s="356"/>
      <c r="EZX88" s="356"/>
      <c r="EZY88" s="356"/>
      <c r="EZZ88" s="356"/>
      <c r="FAA88" s="356"/>
      <c r="FAB88" s="356"/>
      <c r="FAC88" s="356"/>
      <c r="FAD88" s="356"/>
      <c r="FAE88" s="356"/>
      <c r="FAF88" s="356"/>
      <c r="FAG88" s="356"/>
      <c r="FAH88" s="356"/>
      <c r="FAI88" s="356"/>
      <c r="FAJ88" s="356"/>
      <c r="FAK88" s="356"/>
      <c r="FAL88" s="356"/>
      <c r="FAM88" s="356"/>
      <c r="FAN88" s="356"/>
      <c r="FAO88" s="356"/>
      <c r="FAP88" s="356"/>
      <c r="FAQ88" s="356"/>
      <c r="FAR88" s="356"/>
      <c r="FAS88" s="356"/>
      <c r="FAT88" s="356"/>
      <c r="FAU88" s="356"/>
      <c r="FAV88" s="356"/>
      <c r="FAW88" s="356"/>
      <c r="FAX88" s="356"/>
      <c r="FAY88" s="356"/>
      <c r="FAZ88" s="356"/>
      <c r="FBA88" s="356"/>
      <c r="FBB88" s="356"/>
      <c r="FBC88" s="356"/>
      <c r="FBD88" s="356"/>
      <c r="FBE88" s="356"/>
      <c r="FBF88" s="356"/>
      <c r="FBG88" s="356"/>
      <c r="FBH88" s="356"/>
      <c r="FBI88" s="356"/>
      <c r="FBJ88" s="356"/>
      <c r="FBK88" s="356"/>
      <c r="FBL88" s="356"/>
      <c r="FBM88" s="356"/>
      <c r="FBN88" s="356"/>
      <c r="FBO88" s="356"/>
      <c r="FBP88" s="356"/>
      <c r="FBQ88" s="356"/>
      <c r="FBR88" s="356"/>
      <c r="FBS88" s="356"/>
      <c r="FBT88" s="356"/>
      <c r="FBU88" s="356"/>
      <c r="FBV88" s="356"/>
      <c r="FBW88" s="356"/>
      <c r="FBX88" s="356"/>
      <c r="FBY88" s="356"/>
      <c r="FBZ88" s="356"/>
      <c r="FCA88" s="356"/>
      <c r="FCB88" s="356"/>
      <c r="FCC88" s="356"/>
      <c r="FCD88" s="356"/>
      <c r="FCE88" s="356"/>
      <c r="FCF88" s="356"/>
      <c r="FCG88" s="356"/>
      <c r="FCH88" s="356"/>
      <c r="FCI88" s="356"/>
      <c r="FCJ88" s="356"/>
      <c r="FCK88" s="356"/>
      <c r="FCL88" s="356"/>
      <c r="FCM88" s="356"/>
      <c r="FCN88" s="356"/>
      <c r="FCO88" s="356"/>
      <c r="FCP88" s="356"/>
      <c r="FCQ88" s="356"/>
      <c r="FCR88" s="356"/>
      <c r="FCS88" s="356"/>
      <c r="FCT88" s="356"/>
      <c r="FCU88" s="356"/>
      <c r="FCV88" s="356"/>
      <c r="FCW88" s="356"/>
      <c r="FCX88" s="356"/>
      <c r="FCY88" s="356"/>
      <c r="FCZ88" s="356"/>
      <c r="FDA88" s="356"/>
      <c r="FDB88" s="356"/>
      <c r="FDC88" s="356"/>
      <c r="FDD88" s="356"/>
      <c r="FDE88" s="356"/>
      <c r="FDF88" s="356"/>
      <c r="FDG88" s="356"/>
      <c r="FDH88" s="356"/>
      <c r="FDI88" s="356"/>
      <c r="FDJ88" s="356"/>
      <c r="FDK88" s="356"/>
      <c r="FDL88" s="356"/>
      <c r="FDM88" s="356"/>
      <c r="FDN88" s="356"/>
      <c r="FDO88" s="356"/>
      <c r="FDP88" s="356"/>
      <c r="FDQ88" s="356"/>
      <c r="FDR88" s="356"/>
      <c r="FDS88" s="356"/>
      <c r="FDT88" s="356"/>
      <c r="FDU88" s="356"/>
      <c r="FDV88" s="356"/>
      <c r="FDW88" s="356"/>
      <c r="FDX88" s="356"/>
      <c r="FDY88" s="356"/>
      <c r="FDZ88" s="356"/>
      <c r="FEA88" s="356"/>
      <c r="FEB88" s="356"/>
      <c r="FEC88" s="356"/>
      <c r="FED88" s="356"/>
      <c r="FEE88" s="356"/>
      <c r="FEF88" s="356"/>
      <c r="FEG88" s="356"/>
      <c r="FEH88" s="356"/>
      <c r="FEI88" s="356"/>
      <c r="FEJ88" s="356"/>
      <c r="FEK88" s="356"/>
      <c r="FEL88" s="356"/>
      <c r="FEM88" s="356"/>
      <c r="FEN88" s="356"/>
      <c r="FEO88" s="356"/>
      <c r="FEP88" s="356"/>
      <c r="FEQ88" s="356"/>
      <c r="FER88" s="356"/>
      <c r="FES88" s="356"/>
      <c r="FET88" s="356"/>
      <c r="FEU88" s="356"/>
      <c r="FEV88" s="356"/>
      <c r="FEW88" s="356"/>
      <c r="FEX88" s="356"/>
      <c r="FEY88" s="356"/>
      <c r="FEZ88" s="356"/>
      <c r="FFA88" s="356"/>
      <c r="FFB88" s="356"/>
      <c r="FFC88" s="356"/>
      <c r="FFD88" s="356"/>
      <c r="FFE88" s="356"/>
      <c r="FFF88" s="356"/>
      <c r="FFG88" s="356"/>
      <c r="FFH88" s="356"/>
      <c r="FFI88" s="356"/>
      <c r="FFJ88" s="356"/>
      <c r="FFK88" s="356"/>
      <c r="FFL88" s="356"/>
      <c r="FFM88" s="356"/>
      <c r="FFN88" s="356"/>
      <c r="FFO88" s="356"/>
      <c r="FFP88" s="356"/>
      <c r="FFQ88" s="356"/>
      <c r="FFR88" s="356"/>
      <c r="FFS88" s="356"/>
      <c r="FFT88" s="356"/>
      <c r="FFU88" s="356"/>
      <c r="FFV88" s="356"/>
      <c r="FFW88" s="356"/>
      <c r="FFX88" s="356"/>
      <c r="FFY88" s="356"/>
      <c r="FFZ88" s="356"/>
      <c r="FGA88" s="356"/>
      <c r="FGB88" s="356"/>
      <c r="FGC88" s="356"/>
      <c r="FGD88" s="356"/>
      <c r="FGE88" s="356"/>
      <c r="FGF88" s="356"/>
      <c r="FGG88" s="356"/>
      <c r="FGH88" s="356"/>
      <c r="FGI88" s="356"/>
      <c r="FGJ88" s="356"/>
      <c r="FGK88" s="356"/>
      <c r="FGL88" s="356"/>
      <c r="FGM88" s="356"/>
      <c r="FGN88" s="356"/>
      <c r="FGO88" s="356"/>
      <c r="FGP88" s="356"/>
      <c r="FGQ88" s="356"/>
      <c r="FGR88" s="356"/>
      <c r="FGS88" s="356"/>
      <c r="FGT88" s="356"/>
      <c r="FGU88" s="356"/>
      <c r="FGV88" s="356"/>
      <c r="FGW88" s="356"/>
      <c r="FGX88" s="356"/>
      <c r="FGY88" s="356"/>
      <c r="FGZ88" s="356"/>
      <c r="FHA88" s="356"/>
      <c r="FHB88" s="356"/>
      <c r="FHC88" s="356"/>
      <c r="FHD88" s="356"/>
      <c r="FHE88" s="356"/>
      <c r="FHF88" s="356"/>
      <c r="FHG88" s="356"/>
      <c r="FHH88" s="356"/>
      <c r="FHI88" s="356"/>
      <c r="FHJ88" s="356"/>
      <c r="FHK88" s="356"/>
      <c r="FHL88" s="356"/>
      <c r="FHM88" s="356"/>
      <c r="FHN88" s="356"/>
      <c r="FHO88" s="356"/>
      <c r="FHP88" s="356"/>
      <c r="FHQ88" s="356"/>
      <c r="FHR88" s="356"/>
      <c r="FHS88" s="356"/>
      <c r="FHT88" s="356"/>
      <c r="FHU88" s="356"/>
      <c r="FHV88" s="356"/>
      <c r="FHW88" s="356"/>
      <c r="FHX88" s="356"/>
      <c r="FHY88" s="356"/>
      <c r="FHZ88" s="356"/>
      <c r="FIA88" s="356"/>
      <c r="FIB88" s="356"/>
      <c r="FIC88" s="356"/>
      <c r="FID88" s="356"/>
      <c r="FIE88" s="356"/>
      <c r="FIF88" s="356"/>
      <c r="FIG88" s="356"/>
      <c r="FIH88" s="356"/>
      <c r="FII88" s="356"/>
      <c r="FIJ88" s="356"/>
      <c r="FIK88" s="356"/>
      <c r="FIL88" s="356"/>
      <c r="FIM88" s="356"/>
      <c r="FIN88" s="356"/>
      <c r="FIO88" s="356"/>
      <c r="FIP88" s="356"/>
      <c r="FIQ88" s="356"/>
      <c r="FIR88" s="356"/>
      <c r="FIS88" s="356"/>
      <c r="FIT88" s="356"/>
      <c r="FIU88" s="356"/>
      <c r="FIV88" s="356"/>
      <c r="FIW88" s="356"/>
      <c r="FIX88" s="356"/>
      <c r="FIY88" s="356"/>
      <c r="FIZ88" s="356"/>
      <c r="FJA88" s="356"/>
      <c r="FJB88" s="356"/>
      <c r="FJC88" s="356"/>
      <c r="FJD88" s="356"/>
      <c r="FJE88" s="356"/>
      <c r="FJF88" s="356"/>
      <c r="FJG88" s="356"/>
      <c r="FJH88" s="356"/>
      <c r="FJI88" s="356"/>
      <c r="FJJ88" s="356"/>
      <c r="FJK88" s="356"/>
      <c r="FJL88" s="356"/>
      <c r="FJM88" s="356"/>
      <c r="FJN88" s="356"/>
      <c r="FJO88" s="356"/>
      <c r="FJP88" s="356"/>
      <c r="FJQ88" s="356"/>
      <c r="FJR88" s="356"/>
      <c r="FJS88" s="356"/>
      <c r="FJT88" s="356"/>
      <c r="FJU88" s="356"/>
      <c r="FJV88" s="356"/>
      <c r="FJW88" s="356"/>
      <c r="FJX88" s="356"/>
      <c r="FJY88" s="356"/>
      <c r="FJZ88" s="356"/>
      <c r="FKA88" s="356"/>
      <c r="FKB88" s="356"/>
      <c r="FKC88" s="356"/>
      <c r="FKD88" s="356"/>
      <c r="FKE88" s="356"/>
      <c r="FKF88" s="356"/>
      <c r="FKG88" s="356"/>
      <c r="FKH88" s="356"/>
      <c r="FKI88" s="356"/>
      <c r="FKJ88" s="356"/>
      <c r="FKK88" s="356"/>
      <c r="FKL88" s="356"/>
      <c r="FKM88" s="356"/>
      <c r="FKN88" s="356"/>
      <c r="FKO88" s="356"/>
      <c r="FKP88" s="356"/>
      <c r="FKQ88" s="356"/>
      <c r="FKR88" s="356"/>
      <c r="FKS88" s="356"/>
      <c r="FKT88" s="356"/>
      <c r="FKU88" s="356"/>
      <c r="FKV88" s="356"/>
      <c r="FKW88" s="356"/>
      <c r="FKX88" s="356"/>
      <c r="FKY88" s="356"/>
      <c r="FKZ88" s="356"/>
      <c r="FLA88" s="356"/>
      <c r="FLB88" s="356"/>
      <c r="FLC88" s="356"/>
      <c r="FLD88" s="356"/>
      <c r="FLE88" s="356"/>
      <c r="FLF88" s="356"/>
      <c r="FLG88" s="356"/>
      <c r="FLH88" s="356"/>
      <c r="FLI88" s="356"/>
      <c r="FLJ88" s="356"/>
      <c r="FLK88" s="356"/>
      <c r="FLL88" s="356"/>
      <c r="FLM88" s="356"/>
      <c r="FLN88" s="356"/>
      <c r="FLO88" s="356"/>
      <c r="FLP88" s="356"/>
      <c r="FLQ88" s="356"/>
      <c r="FLR88" s="356"/>
      <c r="FLS88" s="356"/>
      <c r="FLT88" s="356"/>
      <c r="FLU88" s="356"/>
      <c r="FLV88" s="356"/>
      <c r="FLW88" s="356"/>
      <c r="FLX88" s="356"/>
      <c r="FLY88" s="356"/>
      <c r="FLZ88" s="356"/>
      <c r="FMA88" s="356"/>
      <c r="FMB88" s="356"/>
      <c r="FMC88" s="356"/>
      <c r="FMD88" s="356"/>
      <c r="FME88" s="356"/>
      <c r="FMF88" s="356"/>
      <c r="FMG88" s="356"/>
      <c r="FMH88" s="356"/>
      <c r="FMI88" s="356"/>
      <c r="FMJ88" s="356"/>
      <c r="FMK88" s="356"/>
      <c r="FML88" s="356"/>
      <c r="FMM88" s="356"/>
      <c r="FMN88" s="356"/>
      <c r="FMO88" s="356"/>
      <c r="FMP88" s="356"/>
      <c r="FMQ88" s="356"/>
      <c r="FMR88" s="356"/>
      <c r="FMS88" s="356"/>
      <c r="FMT88" s="356"/>
      <c r="FMU88" s="356"/>
      <c r="FMV88" s="356"/>
      <c r="FMW88" s="356"/>
      <c r="FMX88" s="356"/>
      <c r="FMY88" s="356"/>
      <c r="FMZ88" s="356"/>
      <c r="FNA88" s="356"/>
      <c r="FNB88" s="356"/>
      <c r="FNC88" s="356"/>
      <c r="FND88" s="356"/>
      <c r="FNE88" s="356"/>
      <c r="FNF88" s="356"/>
      <c r="FNG88" s="356"/>
      <c r="FNH88" s="356"/>
      <c r="FNI88" s="356"/>
      <c r="FNJ88" s="356"/>
      <c r="FNK88" s="356"/>
      <c r="FNL88" s="356"/>
      <c r="FNM88" s="356"/>
      <c r="FNN88" s="356"/>
      <c r="FNO88" s="356"/>
      <c r="FNP88" s="356"/>
      <c r="FNQ88" s="356"/>
      <c r="FNR88" s="356"/>
      <c r="FNS88" s="356"/>
      <c r="FNT88" s="356"/>
      <c r="FNU88" s="356"/>
      <c r="FNV88" s="356"/>
      <c r="FNW88" s="356"/>
      <c r="FNX88" s="356"/>
      <c r="FNY88" s="356"/>
      <c r="FNZ88" s="356"/>
      <c r="FOA88" s="356"/>
      <c r="FOB88" s="356"/>
      <c r="FOC88" s="356"/>
      <c r="FOD88" s="356"/>
      <c r="FOE88" s="356"/>
      <c r="FOF88" s="356"/>
      <c r="FOG88" s="356"/>
      <c r="FOH88" s="356"/>
      <c r="FOI88" s="356"/>
      <c r="FOJ88" s="356"/>
      <c r="FOK88" s="356"/>
      <c r="FOL88" s="356"/>
      <c r="FOM88" s="356"/>
      <c r="FON88" s="356"/>
      <c r="FOO88" s="356"/>
      <c r="FOP88" s="356"/>
      <c r="FOQ88" s="356"/>
      <c r="FOR88" s="356"/>
      <c r="FOS88" s="356"/>
      <c r="FOT88" s="356"/>
      <c r="FOU88" s="356"/>
      <c r="FOV88" s="356"/>
      <c r="FOW88" s="356"/>
      <c r="FOX88" s="356"/>
      <c r="FOY88" s="356"/>
      <c r="FOZ88" s="356"/>
      <c r="FPA88" s="356"/>
      <c r="FPB88" s="356"/>
      <c r="FPC88" s="356"/>
      <c r="FPD88" s="356"/>
      <c r="FPE88" s="356"/>
      <c r="FPF88" s="356"/>
      <c r="FPG88" s="356"/>
      <c r="FPH88" s="356"/>
      <c r="FPI88" s="356"/>
      <c r="FPJ88" s="356"/>
      <c r="FPK88" s="356"/>
      <c r="FPL88" s="356"/>
      <c r="FPM88" s="356"/>
      <c r="FPN88" s="356"/>
      <c r="FPO88" s="356"/>
      <c r="FPP88" s="356"/>
      <c r="FPQ88" s="356"/>
      <c r="FPR88" s="356"/>
      <c r="FPS88" s="356"/>
      <c r="FPT88" s="356"/>
      <c r="FPU88" s="356"/>
      <c r="FPV88" s="356"/>
      <c r="FPW88" s="356"/>
      <c r="FPX88" s="356"/>
      <c r="FPY88" s="356"/>
      <c r="FPZ88" s="356"/>
      <c r="FQA88" s="356"/>
      <c r="FQB88" s="356"/>
      <c r="FQC88" s="356"/>
      <c r="FQD88" s="356"/>
      <c r="FQE88" s="356"/>
      <c r="FQF88" s="356"/>
      <c r="FQG88" s="356"/>
      <c r="FQH88" s="356"/>
      <c r="FQI88" s="356"/>
      <c r="FQJ88" s="356"/>
      <c r="FQK88" s="356"/>
      <c r="FQL88" s="356"/>
      <c r="FQM88" s="356"/>
      <c r="FQN88" s="356"/>
      <c r="FQO88" s="356"/>
      <c r="FQP88" s="356"/>
      <c r="FQQ88" s="356"/>
      <c r="FQR88" s="356"/>
      <c r="FQS88" s="356"/>
      <c r="FQT88" s="356"/>
      <c r="FQU88" s="356"/>
      <c r="FQV88" s="356"/>
      <c r="FQW88" s="356"/>
      <c r="FQX88" s="356"/>
      <c r="FQY88" s="356"/>
      <c r="FQZ88" s="356"/>
      <c r="FRA88" s="356"/>
      <c r="FRB88" s="356"/>
      <c r="FRC88" s="356"/>
      <c r="FRD88" s="356"/>
      <c r="FRE88" s="356"/>
      <c r="FRF88" s="356"/>
      <c r="FRG88" s="356"/>
      <c r="FRH88" s="356"/>
      <c r="FRI88" s="356"/>
      <c r="FRJ88" s="356"/>
      <c r="FRK88" s="356"/>
      <c r="FRL88" s="356"/>
      <c r="FRM88" s="356"/>
      <c r="FRN88" s="356"/>
      <c r="FRO88" s="356"/>
      <c r="FRP88" s="356"/>
      <c r="FRQ88" s="356"/>
      <c r="FRR88" s="356"/>
      <c r="FRS88" s="356"/>
      <c r="FRT88" s="356"/>
      <c r="FRU88" s="356"/>
      <c r="FRV88" s="356"/>
      <c r="FRW88" s="356"/>
      <c r="FRX88" s="356"/>
      <c r="FRY88" s="356"/>
      <c r="FRZ88" s="356"/>
      <c r="FSA88" s="356"/>
      <c r="FSB88" s="356"/>
      <c r="FSC88" s="356"/>
      <c r="FSD88" s="356"/>
      <c r="FSE88" s="356"/>
      <c r="FSF88" s="356"/>
      <c r="FSG88" s="356"/>
      <c r="FSH88" s="356"/>
      <c r="FSI88" s="356"/>
      <c r="FSJ88" s="356"/>
      <c r="FSK88" s="356"/>
      <c r="FSL88" s="356"/>
      <c r="FSM88" s="356"/>
      <c r="FSN88" s="356"/>
      <c r="FSO88" s="356"/>
      <c r="FSP88" s="356"/>
      <c r="FSQ88" s="356"/>
      <c r="FSR88" s="356"/>
      <c r="FSS88" s="356"/>
      <c r="FST88" s="356"/>
      <c r="FSU88" s="356"/>
      <c r="FSV88" s="356"/>
      <c r="FSW88" s="356"/>
      <c r="FSX88" s="356"/>
      <c r="FSY88" s="356"/>
      <c r="FSZ88" s="356"/>
      <c r="FTA88" s="356"/>
      <c r="FTB88" s="356"/>
      <c r="FTC88" s="356"/>
      <c r="FTD88" s="356"/>
      <c r="FTE88" s="356"/>
      <c r="FTF88" s="356"/>
      <c r="FTG88" s="356"/>
      <c r="FTH88" s="356"/>
      <c r="FTI88" s="356"/>
      <c r="FTJ88" s="356"/>
      <c r="FTK88" s="356"/>
      <c r="FTL88" s="356"/>
      <c r="FTM88" s="356"/>
      <c r="FTN88" s="356"/>
      <c r="FTO88" s="356"/>
      <c r="FTP88" s="356"/>
      <c r="FTQ88" s="356"/>
      <c r="FTR88" s="356"/>
      <c r="FTS88" s="356"/>
      <c r="FTT88" s="356"/>
      <c r="FTU88" s="356"/>
      <c r="FTV88" s="356"/>
      <c r="FTW88" s="356"/>
      <c r="FTX88" s="356"/>
      <c r="FTY88" s="356"/>
      <c r="FTZ88" s="356"/>
      <c r="FUA88" s="356"/>
      <c r="FUB88" s="356"/>
      <c r="FUC88" s="356"/>
      <c r="FUD88" s="356"/>
      <c r="FUE88" s="356"/>
      <c r="FUF88" s="356"/>
      <c r="FUG88" s="356"/>
      <c r="FUH88" s="356"/>
      <c r="FUI88" s="356"/>
      <c r="FUJ88" s="356"/>
      <c r="FUK88" s="356"/>
      <c r="FUL88" s="356"/>
      <c r="FUM88" s="356"/>
      <c r="FUN88" s="356"/>
      <c r="FUO88" s="356"/>
      <c r="FUP88" s="356"/>
      <c r="FUQ88" s="356"/>
      <c r="FUR88" s="356"/>
      <c r="FUS88" s="356"/>
      <c r="FUT88" s="356"/>
      <c r="FUU88" s="356"/>
      <c r="FUV88" s="356"/>
      <c r="FUW88" s="356"/>
      <c r="FUX88" s="356"/>
      <c r="FUY88" s="356"/>
      <c r="FUZ88" s="356"/>
      <c r="FVA88" s="356"/>
      <c r="FVB88" s="356"/>
      <c r="FVC88" s="356"/>
      <c r="FVD88" s="356"/>
      <c r="FVE88" s="356"/>
      <c r="FVF88" s="356"/>
      <c r="FVG88" s="356"/>
      <c r="FVH88" s="356"/>
      <c r="FVI88" s="356"/>
      <c r="FVJ88" s="356"/>
      <c r="FVK88" s="356"/>
      <c r="FVL88" s="356"/>
      <c r="FVM88" s="356"/>
      <c r="FVN88" s="356"/>
      <c r="FVO88" s="356"/>
      <c r="FVP88" s="356"/>
      <c r="FVQ88" s="356"/>
      <c r="FVR88" s="356"/>
      <c r="FVS88" s="356"/>
      <c r="FVT88" s="356"/>
      <c r="FVU88" s="356"/>
      <c r="FVV88" s="356"/>
      <c r="FVW88" s="356"/>
      <c r="FVX88" s="356"/>
      <c r="FVY88" s="356"/>
      <c r="FVZ88" s="356"/>
      <c r="FWA88" s="356"/>
      <c r="FWB88" s="356"/>
      <c r="FWC88" s="356"/>
      <c r="FWD88" s="356"/>
      <c r="FWE88" s="356"/>
      <c r="FWF88" s="356"/>
      <c r="FWG88" s="356"/>
      <c r="FWH88" s="356"/>
      <c r="FWI88" s="356"/>
      <c r="FWJ88" s="356"/>
      <c r="FWK88" s="356"/>
      <c r="FWL88" s="356"/>
      <c r="FWM88" s="356"/>
      <c r="FWN88" s="356"/>
      <c r="FWO88" s="356"/>
      <c r="FWP88" s="356"/>
      <c r="FWQ88" s="356"/>
      <c r="FWR88" s="356"/>
      <c r="FWS88" s="356"/>
      <c r="FWT88" s="356"/>
      <c r="FWU88" s="356"/>
      <c r="FWV88" s="356"/>
      <c r="FWW88" s="356"/>
      <c r="FWX88" s="356"/>
      <c r="FWY88" s="356"/>
      <c r="FWZ88" s="356"/>
      <c r="FXA88" s="356"/>
      <c r="FXB88" s="356"/>
      <c r="FXC88" s="356"/>
      <c r="FXD88" s="356"/>
      <c r="FXE88" s="356"/>
      <c r="FXF88" s="356"/>
      <c r="FXG88" s="356"/>
      <c r="FXH88" s="356"/>
      <c r="FXI88" s="356"/>
      <c r="FXJ88" s="356"/>
      <c r="FXK88" s="356"/>
      <c r="FXL88" s="356"/>
      <c r="FXM88" s="356"/>
      <c r="FXN88" s="356"/>
      <c r="FXO88" s="356"/>
      <c r="FXP88" s="356"/>
      <c r="FXQ88" s="356"/>
      <c r="FXR88" s="356"/>
      <c r="FXS88" s="356"/>
      <c r="FXT88" s="356"/>
      <c r="FXU88" s="356"/>
      <c r="FXV88" s="356"/>
      <c r="FXW88" s="356"/>
      <c r="FXX88" s="356"/>
      <c r="FXY88" s="356"/>
      <c r="FXZ88" s="356"/>
      <c r="FYA88" s="356"/>
      <c r="FYB88" s="356"/>
      <c r="FYC88" s="356"/>
      <c r="FYD88" s="356"/>
      <c r="FYE88" s="356"/>
      <c r="FYF88" s="356"/>
      <c r="FYG88" s="356"/>
      <c r="FYH88" s="356"/>
      <c r="FYI88" s="356"/>
      <c r="FYJ88" s="356"/>
      <c r="FYK88" s="356"/>
      <c r="FYL88" s="356"/>
      <c r="FYM88" s="356"/>
      <c r="FYN88" s="356"/>
      <c r="FYO88" s="356"/>
      <c r="FYP88" s="356"/>
      <c r="FYQ88" s="356"/>
      <c r="FYR88" s="356"/>
      <c r="FYS88" s="356"/>
      <c r="FYT88" s="356"/>
      <c r="FYU88" s="356"/>
      <c r="FYV88" s="356"/>
      <c r="FYW88" s="356"/>
      <c r="FYX88" s="356"/>
      <c r="FYY88" s="356"/>
      <c r="FYZ88" s="356"/>
      <c r="FZA88" s="356"/>
      <c r="FZB88" s="356"/>
      <c r="FZC88" s="356"/>
      <c r="FZD88" s="356"/>
      <c r="FZE88" s="356"/>
      <c r="FZF88" s="356"/>
      <c r="FZG88" s="356"/>
      <c r="FZH88" s="356"/>
      <c r="FZI88" s="356"/>
      <c r="FZJ88" s="356"/>
      <c r="FZK88" s="356"/>
      <c r="FZL88" s="356"/>
      <c r="FZM88" s="356"/>
      <c r="FZN88" s="356"/>
      <c r="FZO88" s="356"/>
      <c r="FZP88" s="356"/>
      <c r="FZQ88" s="356"/>
      <c r="FZR88" s="356"/>
      <c r="FZS88" s="356"/>
      <c r="FZT88" s="356"/>
      <c r="FZU88" s="356"/>
      <c r="FZV88" s="356"/>
      <c r="FZW88" s="356"/>
      <c r="FZX88" s="356"/>
      <c r="FZY88" s="356"/>
      <c r="FZZ88" s="356"/>
      <c r="GAA88" s="356"/>
      <c r="GAB88" s="356"/>
      <c r="GAC88" s="356"/>
      <c r="GAD88" s="356"/>
      <c r="GAE88" s="356"/>
      <c r="GAF88" s="356"/>
      <c r="GAG88" s="356"/>
      <c r="GAH88" s="356"/>
      <c r="GAI88" s="356"/>
      <c r="GAJ88" s="356"/>
      <c r="GAK88" s="356"/>
      <c r="GAL88" s="356"/>
      <c r="GAM88" s="356"/>
      <c r="GAN88" s="356"/>
      <c r="GAO88" s="356"/>
      <c r="GAP88" s="356"/>
      <c r="GAQ88" s="356"/>
      <c r="GAR88" s="356"/>
      <c r="GAS88" s="356"/>
      <c r="GAT88" s="356"/>
      <c r="GAU88" s="356"/>
      <c r="GAV88" s="356"/>
      <c r="GAW88" s="356"/>
      <c r="GAX88" s="356"/>
      <c r="GAY88" s="356"/>
      <c r="GAZ88" s="356"/>
      <c r="GBA88" s="356"/>
      <c r="GBB88" s="356"/>
      <c r="GBC88" s="356"/>
      <c r="GBD88" s="356"/>
      <c r="GBE88" s="356"/>
      <c r="GBF88" s="356"/>
      <c r="GBG88" s="356"/>
      <c r="GBH88" s="356"/>
      <c r="GBI88" s="356"/>
      <c r="GBJ88" s="356"/>
      <c r="GBK88" s="356"/>
      <c r="GBL88" s="356"/>
      <c r="GBM88" s="356"/>
      <c r="GBN88" s="356"/>
      <c r="GBO88" s="356"/>
      <c r="GBP88" s="356"/>
      <c r="GBQ88" s="356"/>
      <c r="GBR88" s="356"/>
      <c r="GBS88" s="356"/>
      <c r="GBT88" s="356"/>
      <c r="GBU88" s="356"/>
      <c r="GBV88" s="356"/>
      <c r="GBW88" s="356"/>
      <c r="GBX88" s="356"/>
      <c r="GBY88" s="356"/>
      <c r="GBZ88" s="356"/>
      <c r="GCA88" s="356"/>
      <c r="GCB88" s="356"/>
      <c r="GCC88" s="356"/>
      <c r="GCD88" s="356"/>
      <c r="GCE88" s="356"/>
      <c r="GCF88" s="356"/>
      <c r="GCG88" s="356"/>
      <c r="GCH88" s="356"/>
      <c r="GCI88" s="356"/>
      <c r="GCJ88" s="356"/>
      <c r="GCK88" s="356"/>
      <c r="GCL88" s="356"/>
      <c r="GCM88" s="356"/>
      <c r="GCN88" s="356"/>
      <c r="GCO88" s="356"/>
      <c r="GCP88" s="356"/>
      <c r="GCQ88" s="356"/>
      <c r="GCR88" s="356"/>
      <c r="GCS88" s="356"/>
      <c r="GCT88" s="356"/>
      <c r="GCU88" s="356"/>
      <c r="GCV88" s="356"/>
      <c r="GCW88" s="356"/>
      <c r="GCX88" s="356"/>
      <c r="GCY88" s="356"/>
      <c r="GCZ88" s="356"/>
      <c r="GDA88" s="356"/>
      <c r="GDB88" s="356"/>
      <c r="GDC88" s="356"/>
      <c r="GDD88" s="356"/>
      <c r="GDE88" s="356"/>
      <c r="GDF88" s="356"/>
      <c r="GDG88" s="356"/>
      <c r="GDH88" s="356"/>
      <c r="GDI88" s="356"/>
      <c r="GDJ88" s="356"/>
      <c r="GDK88" s="356"/>
      <c r="GDL88" s="356"/>
      <c r="GDM88" s="356"/>
      <c r="GDN88" s="356"/>
      <c r="GDO88" s="356"/>
      <c r="GDP88" s="356"/>
      <c r="GDQ88" s="356"/>
      <c r="GDR88" s="356"/>
      <c r="GDS88" s="356"/>
      <c r="GDT88" s="356"/>
      <c r="GDU88" s="356"/>
      <c r="GDV88" s="356"/>
      <c r="GDW88" s="356"/>
      <c r="GDX88" s="356"/>
      <c r="GDY88" s="356"/>
      <c r="GDZ88" s="356"/>
      <c r="GEA88" s="356"/>
      <c r="GEB88" s="356"/>
      <c r="GEC88" s="356"/>
      <c r="GED88" s="356"/>
      <c r="GEE88" s="356"/>
      <c r="GEF88" s="356"/>
      <c r="GEG88" s="356"/>
      <c r="GEH88" s="356"/>
      <c r="GEI88" s="356"/>
      <c r="GEJ88" s="356"/>
      <c r="GEK88" s="356"/>
      <c r="GEL88" s="356"/>
      <c r="GEM88" s="356"/>
      <c r="GEN88" s="356"/>
      <c r="GEO88" s="356"/>
      <c r="GEP88" s="356"/>
      <c r="GEQ88" s="356"/>
      <c r="GER88" s="356"/>
      <c r="GES88" s="356"/>
      <c r="GET88" s="356"/>
      <c r="GEU88" s="356"/>
      <c r="GEV88" s="356"/>
      <c r="GEW88" s="356"/>
      <c r="GEX88" s="356"/>
      <c r="GEY88" s="356"/>
      <c r="GEZ88" s="356"/>
      <c r="GFA88" s="356"/>
      <c r="GFB88" s="356"/>
      <c r="GFC88" s="356"/>
      <c r="GFD88" s="356"/>
      <c r="GFE88" s="356"/>
      <c r="GFF88" s="356"/>
      <c r="GFG88" s="356"/>
      <c r="GFH88" s="356"/>
      <c r="GFI88" s="356"/>
      <c r="GFJ88" s="356"/>
      <c r="GFK88" s="356"/>
      <c r="GFL88" s="356"/>
      <c r="GFM88" s="356"/>
      <c r="GFN88" s="356"/>
      <c r="GFO88" s="356"/>
      <c r="GFP88" s="356"/>
      <c r="GFQ88" s="356"/>
      <c r="GFR88" s="356"/>
      <c r="GFS88" s="356"/>
      <c r="GFT88" s="356"/>
      <c r="GFU88" s="356"/>
      <c r="GFV88" s="356"/>
      <c r="GFW88" s="356"/>
      <c r="GFX88" s="356"/>
      <c r="GFY88" s="356"/>
      <c r="GFZ88" s="356"/>
      <c r="GGA88" s="356"/>
      <c r="GGB88" s="356"/>
      <c r="GGC88" s="356"/>
      <c r="GGD88" s="356"/>
      <c r="GGE88" s="356"/>
      <c r="GGF88" s="356"/>
      <c r="GGG88" s="356"/>
      <c r="GGH88" s="356"/>
      <c r="GGI88" s="356"/>
      <c r="GGJ88" s="356"/>
      <c r="GGK88" s="356"/>
      <c r="GGL88" s="356"/>
      <c r="GGM88" s="356"/>
      <c r="GGN88" s="356"/>
      <c r="GGO88" s="356"/>
      <c r="GGP88" s="356"/>
      <c r="GGQ88" s="356"/>
      <c r="GGR88" s="356"/>
      <c r="GGS88" s="356"/>
      <c r="GGT88" s="356"/>
      <c r="GGU88" s="356"/>
      <c r="GGV88" s="356"/>
      <c r="GGW88" s="356"/>
      <c r="GGX88" s="356"/>
      <c r="GGY88" s="356"/>
      <c r="GGZ88" s="356"/>
      <c r="GHA88" s="356"/>
      <c r="GHB88" s="356"/>
      <c r="GHC88" s="356"/>
      <c r="GHD88" s="356"/>
      <c r="GHE88" s="356"/>
      <c r="GHF88" s="356"/>
      <c r="GHG88" s="356"/>
      <c r="GHH88" s="356"/>
      <c r="GHI88" s="356"/>
      <c r="GHJ88" s="356"/>
      <c r="GHK88" s="356"/>
      <c r="GHL88" s="356"/>
      <c r="GHM88" s="356"/>
      <c r="GHN88" s="356"/>
      <c r="GHO88" s="356"/>
      <c r="GHP88" s="356"/>
      <c r="GHQ88" s="356"/>
      <c r="GHR88" s="356"/>
      <c r="GHS88" s="356"/>
      <c r="GHT88" s="356"/>
      <c r="GHU88" s="356"/>
      <c r="GHV88" s="356"/>
      <c r="GHW88" s="356"/>
      <c r="GHX88" s="356"/>
      <c r="GHY88" s="356"/>
      <c r="GHZ88" s="356"/>
      <c r="GIA88" s="356"/>
      <c r="GIB88" s="356"/>
      <c r="GIC88" s="356"/>
      <c r="GID88" s="356"/>
      <c r="GIE88" s="356"/>
      <c r="GIF88" s="356"/>
      <c r="GIG88" s="356"/>
      <c r="GIH88" s="356"/>
      <c r="GII88" s="356"/>
      <c r="GIJ88" s="356"/>
      <c r="GIK88" s="356"/>
      <c r="GIL88" s="356"/>
      <c r="GIM88" s="356"/>
      <c r="GIN88" s="356"/>
      <c r="GIO88" s="356"/>
      <c r="GIP88" s="356"/>
      <c r="GIQ88" s="356"/>
      <c r="GIR88" s="356"/>
      <c r="GIS88" s="356"/>
      <c r="GIT88" s="356"/>
      <c r="GIU88" s="356"/>
      <c r="GIV88" s="356"/>
      <c r="GIW88" s="356"/>
      <c r="GIX88" s="356"/>
      <c r="GIY88" s="356"/>
      <c r="GIZ88" s="356"/>
      <c r="GJA88" s="356"/>
      <c r="GJB88" s="356"/>
      <c r="GJC88" s="356"/>
      <c r="GJD88" s="356"/>
      <c r="GJE88" s="356"/>
      <c r="GJF88" s="356"/>
      <c r="GJG88" s="356"/>
      <c r="GJH88" s="356"/>
      <c r="GJI88" s="356"/>
      <c r="GJJ88" s="356"/>
      <c r="GJK88" s="356"/>
      <c r="GJL88" s="356"/>
      <c r="GJM88" s="356"/>
      <c r="GJN88" s="356"/>
      <c r="GJO88" s="356"/>
      <c r="GJP88" s="356"/>
      <c r="GJQ88" s="356"/>
      <c r="GJR88" s="356"/>
      <c r="GJS88" s="356"/>
      <c r="GJT88" s="356"/>
      <c r="GJU88" s="356"/>
      <c r="GJV88" s="356"/>
      <c r="GJW88" s="356"/>
      <c r="GJX88" s="356"/>
      <c r="GJY88" s="356"/>
      <c r="GJZ88" s="356"/>
      <c r="GKA88" s="356"/>
      <c r="GKB88" s="356"/>
      <c r="GKC88" s="356"/>
      <c r="GKD88" s="356"/>
      <c r="GKE88" s="356"/>
      <c r="GKF88" s="356"/>
      <c r="GKG88" s="356"/>
      <c r="GKH88" s="356"/>
      <c r="GKI88" s="356"/>
      <c r="GKJ88" s="356"/>
      <c r="GKK88" s="356"/>
      <c r="GKL88" s="356"/>
      <c r="GKM88" s="356"/>
      <c r="GKN88" s="356"/>
      <c r="GKO88" s="356"/>
      <c r="GKP88" s="356"/>
      <c r="GKQ88" s="356"/>
      <c r="GKR88" s="356"/>
      <c r="GKS88" s="356"/>
      <c r="GKT88" s="356"/>
      <c r="GKU88" s="356"/>
      <c r="GKV88" s="356"/>
      <c r="GKW88" s="356"/>
      <c r="GKX88" s="356"/>
      <c r="GKY88" s="356"/>
      <c r="GKZ88" s="356"/>
      <c r="GLA88" s="356"/>
      <c r="GLB88" s="356"/>
      <c r="GLC88" s="356"/>
      <c r="GLD88" s="356"/>
      <c r="GLE88" s="356"/>
      <c r="GLF88" s="356"/>
      <c r="GLG88" s="356"/>
      <c r="GLH88" s="356"/>
      <c r="GLI88" s="356"/>
      <c r="GLJ88" s="356"/>
      <c r="GLK88" s="356"/>
      <c r="GLL88" s="356"/>
      <c r="GLM88" s="356"/>
      <c r="GLN88" s="356"/>
      <c r="GLO88" s="356"/>
      <c r="GLP88" s="356"/>
      <c r="GLQ88" s="356"/>
      <c r="GLR88" s="356"/>
      <c r="GLS88" s="356"/>
      <c r="GLT88" s="356"/>
      <c r="GLU88" s="356"/>
      <c r="GLV88" s="356"/>
      <c r="GLW88" s="356"/>
      <c r="GLX88" s="356"/>
      <c r="GLY88" s="356"/>
      <c r="GLZ88" s="356"/>
      <c r="GMA88" s="356"/>
      <c r="GMB88" s="356"/>
      <c r="GMC88" s="356"/>
      <c r="GMD88" s="356"/>
      <c r="GME88" s="356"/>
      <c r="GMF88" s="356"/>
      <c r="GMG88" s="356"/>
      <c r="GMH88" s="356"/>
      <c r="GMI88" s="356"/>
      <c r="GMJ88" s="356"/>
      <c r="GMK88" s="356"/>
      <c r="GML88" s="356"/>
      <c r="GMM88" s="356"/>
      <c r="GMN88" s="356"/>
      <c r="GMO88" s="356"/>
      <c r="GMP88" s="356"/>
      <c r="GMQ88" s="356"/>
      <c r="GMR88" s="356"/>
      <c r="GMS88" s="356"/>
      <c r="GMT88" s="356"/>
      <c r="GMU88" s="356"/>
      <c r="GMV88" s="356"/>
      <c r="GMW88" s="356"/>
      <c r="GMX88" s="356"/>
      <c r="GMY88" s="356"/>
      <c r="GMZ88" s="356"/>
      <c r="GNA88" s="356"/>
      <c r="GNB88" s="356"/>
      <c r="GNC88" s="356"/>
      <c r="GND88" s="356"/>
      <c r="GNE88" s="356"/>
      <c r="GNF88" s="356"/>
      <c r="GNG88" s="356"/>
      <c r="GNH88" s="356"/>
      <c r="GNI88" s="356"/>
      <c r="GNJ88" s="356"/>
      <c r="GNK88" s="356"/>
      <c r="GNL88" s="356"/>
      <c r="GNM88" s="356"/>
      <c r="GNN88" s="356"/>
      <c r="GNO88" s="356"/>
      <c r="GNP88" s="356"/>
      <c r="GNQ88" s="356"/>
      <c r="GNR88" s="356"/>
      <c r="GNS88" s="356"/>
      <c r="GNT88" s="356"/>
      <c r="GNU88" s="356"/>
      <c r="GNV88" s="356"/>
      <c r="GNW88" s="356"/>
      <c r="GNX88" s="356"/>
      <c r="GNY88" s="356"/>
      <c r="GNZ88" s="356"/>
      <c r="GOA88" s="356"/>
      <c r="GOB88" s="356"/>
      <c r="GOC88" s="356"/>
      <c r="GOD88" s="356"/>
      <c r="GOE88" s="356"/>
      <c r="GOF88" s="356"/>
      <c r="GOG88" s="356"/>
      <c r="GOH88" s="356"/>
      <c r="GOI88" s="356"/>
      <c r="GOJ88" s="356"/>
      <c r="GOK88" s="356"/>
      <c r="GOL88" s="356"/>
      <c r="GOM88" s="356"/>
      <c r="GON88" s="356"/>
      <c r="GOO88" s="356"/>
      <c r="GOP88" s="356"/>
      <c r="GOQ88" s="356"/>
      <c r="GOR88" s="356"/>
      <c r="GOS88" s="356"/>
      <c r="GOT88" s="356"/>
      <c r="GOU88" s="356"/>
      <c r="GOV88" s="356"/>
      <c r="GOW88" s="356"/>
      <c r="GOX88" s="356"/>
      <c r="GOY88" s="356"/>
      <c r="GOZ88" s="356"/>
      <c r="GPA88" s="356"/>
      <c r="GPB88" s="356"/>
      <c r="GPC88" s="356"/>
      <c r="GPD88" s="356"/>
      <c r="GPE88" s="356"/>
      <c r="GPF88" s="356"/>
      <c r="GPG88" s="356"/>
      <c r="GPH88" s="356"/>
      <c r="GPI88" s="356"/>
      <c r="GPJ88" s="356"/>
      <c r="GPK88" s="356"/>
      <c r="GPL88" s="356"/>
      <c r="GPM88" s="356"/>
      <c r="GPN88" s="356"/>
      <c r="GPO88" s="356"/>
      <c r="GPP88" s="356"/>
      <c r="GPQ88" s="356"/>
      <c r="GPR88" s="356"/>
      <c r="GPS88" s="356"/>
      <c r="GPT88" s="356"/>
      <c r="GPU88" s="356"/>
      <c r="GPV88" s="356"/>
      <c r="GPW88" s="356"/>
      <c r="GPX88" s="356"/>
      <c r="GPY88" s="356"/>
      <c r="GPZ88" s="356"/>
      <c r="GQA88" s="356"/>
      <c r="GQB88" s="356"/>
      <c r="GQC88" s="356"/>
      <c r="GQD88" s="356"/>
      <c r="GQE88" s="356"/>
      <c r="GQF88" s="356"/>
      <c r="GQG88" s="356"/>
      <c r="GQH88" s="356"/>
      <c r="GQI88" s="356"/>
      <c r="GQJ88" s="356"/>
      <c r="GQK88" s="356"/>
      <c r="GQL88" s="356"/>
      <c r="GQM88" s="356"/>
      <c r="GQN88" s="356"/>
      <c r="GQO88" s="356"/>
      <c r="GQP88" s="356"/>
      <c r="GQQ88" s="356"/>
      <c r="GQR88" s="356"/>
      <c r="GQS88" s="356"/>
      <c r="GQT88" s="356"/>
      <c r="GQU88" s="356"/>
      <c r="GQV88" s="356"/>
      <c r="GQW88" s="356"/>
      <c r="GQX88" s="356"/>
      <c r="GQY88" s="356"/>
      <c r="GQZ88" s="356"/>
      <c r="GRA88" s="356"/>
      <c r="GRB88" s="356"/>
      <c r="GRC88" s="356"/>
      <c r="GRD88" s="356"/>
      <c r="GRE88" s="356"/>
      <c r="GRF88" s="356"/>
      <c r="GRG88" s="356"/>
      <c r="GRH88" s="356"/>
      <c r="GRI88" s="356"/>
      <c r="GRJ88" s="356"/>
      <c r="GRK88" s="356"/>
      <c r="GRL88" s="356"/>
      <c r="GRM88" s="356"/>
      <c r="GRN88" s="356"/>
      <c r="GRO88" s="356"/>
      <c r="GRP88" s="356"/>
      <c r="GRQ88" s="356"/>
      <c r="GRR88" s="356"/>
      <c r="GRS88" s="356"/>
      <c r="GRT88" s="356"/>
      <c r="GRU88" s="356"/>
      <c r="GRV88" s="356"/>
      <c r="GRW88" s="356"/>
      <c r="GRX88" s="356"/>
      <c r="GRY88" s="356"/>
      <c r="GRZ88" s="356"/>
      <c r="GSA88" s="356"/>
      <c r="GSB88" s="356"/>
      <c r="GSC88" s="356"/>
      <c r="GSD88" s="356"/>
      <c r="GSE88" s="356"/>
      <c r="GSF88" s="356"/>
      <c r="GSG88" s="356"/>
      <c r="GSH88" s="356"/>
      <c r="GSI88" s="356"/>
      <c r="GSJ88" s="356"/>
      <c r="GSK88" s="356"/>
      <c r="GSL88" s="356"/>
      <c r="GSM88" s="356"/>
      <c r="GSN88" s="356"/>
      <c r="GSO88" s="356"/>
      <c r="GSP88" s="356"/>
      <c r="GSQ88" s="356"/>
      <c r="GSR88" s="356"/>
      <c r="GSS88" s="356"/>
      <c r="GST88" s="356"/>
      <c r="GSU88" s="356"/>
      <c r="GSV88" s="356"/>
      <c r="GSW88" s="356"/>
      <c r="GSX88" s="356"/>
      <c r="GSY88" s="356"/>
      <c r="GSZ88" s="356"/>
      <c r="GTA88" s="356"/>
      <c r="GTB88" s="356"/>
      <c r="GTC88" s="356"/>
      <c r="GTD88" s="356"/>
      <c r="GTE88" s="356"/>
      <c r="GTF88" s="356"/>
      <c r="GTG88" s="356"/>
      <c r="GTH88" s="356"/>
      <c r="GTI88" s="356"/>
      <c r="GTJ88" s="356"/>
      <c r="GTK88" s="356"/>
      <c r="GTL88" s="356"/>
      <c r="GTM88" s="356"/>
      <c r="GTN88" s="356"/>
      <c r="GTO88" s="356"/>
      <c r="GTP88" s="356"/>
      <c r="GTQ88" s="356"/>
      <c r="GTR88" s="356"/>
      <c r="GTS88" s="356"/>
      <c r="GTT88" s="356"/>
      <c r="GTU88" s="356"/>
      <c r="GTV88" s="356"/>
      <c r="GTW88" s="356"/>
      <c r="GTX88" s="356"/>
      <c r="GTY88" s="356"/>
      <c r="GTZ88" s="356"/>
      <c r="GUA88" s="356"/>
      <c r="GUB88" s="356"/>
      <c r="GUC88" s="356"/>
      <c r="GUD88" s="356"/>
      <c r="GUE88" s="356"/>
      <c r="GUF88" s="356"/>
      <c r="GUG88" s="356"/>
      <c r="GUH88" s="356"/>
      <c r="GUI88" s="356"/>
      <c r="GUJ88" s="356"/>
      <c r="GUK88" s="356"/>
      <c r="GUL88" s="356"/>
      <c r="GUM88" s="356"/>
      <c r="GUN88" s="356"/>
      <c r="GUO88" s="356"/>
      <c r="GUP88" s="356"/>
      <c r="GUQ88" s="356"/>
      <c r="GUR88" s="356"/>
      <c r="GUS88" s="356"/>
      <c r="GUT88" s="356"/>
      <c r="GUU88" s="356"/>
      <c r="GUV88" s="356"/>
      <c r="GUW88" s="356"/>
      <c r="GUX88" s="356"/>
      <c r="GUY88" s="356"/>
      <c r="GUZ88" s="356"/>
      <c r="GVA88" s="356"/>
      <c r="GVB88" s="356"/>
      <c r="GVC88" s="356"/>
      <c r="GVD88" s="356"/>
      <c r="GVE88" s="356"/>
      <c r="GVF88" s="356"/>
      <c r="GVG88" s="356"/>
      <c r="GVH88" s="356"/>
      <c r="GVI88" s="356"/>
      <c r="GVJ88" s="356"/>
      <c r="GVK88" s="356"/>
      <c r="GVL88" s="356"/>
      <c r="GVM88" s="356"/>
      <c r="GVN88" s="356"/>
      <c r="GVO88" s="356"/>
      <c r="GVP88" s="356"/>
      <c r="GVQ88" s="356"/>
      <c r="GVR88" s="356"/>
      <c r="GVS88" s="356"/>
      <c r="GVT88" s="356"/>
      <c r="GVU88" s="356"/>
      <c r="GVV88" s="356"/>
      <c r="GVW88" s="356"/>
      <c r="GVX88" s="356"/>
      <c r="GVY88" s="356"/>
      <c r="GVZ88" s="356"/>
      <c r="GWA88" s="356"/>
      <c r="GWB88" s="356"/>
      <c r="GWC88" s="356"/>
      <c r="GWD88" s="356"/>
      <c r="GWE88" s="356"/>
      <c r="GWF88" s="356"/>
      <c r="GWG88" s="356"/>
      <c r="GWH88" s="356"/>
      <c r="GWI88" s="356"/>
      <c r="GWJ88" s="356"/>
      <c r="GWK88" s="356"/>
      <c r="GWL88" s="356"/>
      <c r="GWM88" s="356"/>
      <c r="GWN88" s="356"/>
      <c r="GWO88" s="356"/>
      <c r="GWP88" s="356"/>
      <c r="GWQ88" s="356"/>
      <c r="GWR88" s="356"/>
      <c r="GWS88" s="356"/>
      <c r="GWT88" s="356"/>
      <c r="GWU88" s="356"/>
      <c r="GWV88" s="356"/>
      <c r="GWW88" s="356"/>
      <c r="GWX88" s="356"/>
      <c r="GWY88" s="356"/>
      <c r="GWZ88" s="356"/>
      <c r="GXA88" s="356"/>
      <c r="GXB88" s="356"/>
      <c r="GXC88" s="356"/>
      <c r="GXD88" s="356"/>
      <c r="GXE88" s="356"/>
      <c r="GXF88" s="356"/>
      <c r="GXG88" s="356"/>
      <c r="GXH88" s="356"/>
      <c r="GXI88" s="356"/>
      <c r="GXJ88" s="356"/>
      <c r="GXK88" s="356"/>
      <c r="GXL88" s="356"/>
      <c r="GXM88" s="356"/>
      <c r="GXN88" s="356"/>
      <c r="GXO88" s="356"/>
      <c r="GXP88" s="356"/>
      <c r="GXQ88" s="356"/>
      <c r="GXR88" s="356"/>
      <c r="GXS88" s="356"/>
      <c r="GXT88" s="356"/>
      <c r="GXU88" s="356"/>
      <c r="GXV88" s="356"/>
      <c r="GXW88" s="356"/>
      <c r="GXX88" s="356"/>
      <c r="GXY88" s="356"/>
      <c r="GXZ88" s="356"/>
      <c r="GYA88" s="356"/>
      <c r="GYB88" s="356"/>
      <c r="GYC88" s="356"/>
      <c r="GYD88" s="356"/>
      <c r="GYE88" s="356"/>
      <c r="GYF88" s="356"/>
      <c r="GYG88" s="356"/>
      <c r="GYH88" s="356"/>
      <c r="GYI88" s="356"/>
      <c r="GYJ88" s="356"/>
      <c r="GYK88" s="356"/>
      <c r="GYL88" s="356"/>
      <c r="GYM88" s="356"/>
      <c r="GYN88" s="356"/>
      <c r="GYO88" s="356"/>
      <c r="GYP88" s="356"/>
      <c r="GYQ88" s="356"/>
      <c r="GYR88" s="356"/>
      <c r="GYS88" s="356"/>
      <c r="GYT88" s="356"/>
      <c r="GYU88" s="356"/>
      <c r="GYV88" s="356"/>
      <c r="GYW88" s="356"/>
      <c r="GYX88" s="356"/>
      <c r="GYY88" s="356"/>
      <c r="GYZ88" s="356"/>
      <c r="GZA88" s="356"/>
      <c r="GZB88" s="356"/>
      <c r="GZC88" s="356"/>
      <c r="GZD88" s="356"/>
      <c r="GZE88" s="356"/>
      <c r="GZF88" s="356"/>
      <c r="GZG88" s="356"/>
      <c r="GZH88" s="356"/>
      <c r="GZI88" s="356"/>
      <c r="GZJ88" s="356"/>
      <c r="GZK88" s="356"/>
      <c r="GZL88" s="356"/>
      <c r="GZM88" s="356"/>
      <c r="GZN88" s="356"/>
      <c r="GZO88" s="356"/>
      <c r="GZP88" s="356"/>
      <c r="GZQ88" s="356"/>
      <c r="GZR88" s="356"/>
      <c r="GZS88" s="356"/>
      <c r="GZT88" s="356"/>
      <c r="GZU88" s="356"/>
      <c r="GZV88" s="356"/>
      <c r="GZW88" s="356"/>
      <c r="GZX88" s="356"/>
      <c r="GZY88" s="356"/>
      <c r="GZZ88" s="356"/>
      <c r="HAA88" s="356"/>
      <c r="HAB88" s="356"/>
      <c r="HAC88" s="356"/>
      <c r="HAD88" s="356"/>
      <c r="HAE88" s="356"/>
      <c r="HAF88" s="356"/>
      <c r="HAG88" s="356"/>
      <c r="HAH88" s="356"/>
      <c r="HAI88" s="356"/>
      <c r="HAJ88" s="356"/>
      <c r="HAK88" s="356"/>
      <c r="HAL88" s="356"/>
      <c r="HAM88" s="356"/>
      <c r="HAN88" s="356"/>
      <c r="HAO88" s="356"/>
      <c r="HAP88" s="356"/>
      <c r="HAQ88" s="356"/>
      <c r="HAR88" s="356"/>
      <c r="HAS88" s="356"/>
      <c r="HAT88" s="356"/>
      <c r="HAU88" s="356"/>
      <c r="HAV88" s="356"/>
      <c r="HAW88" s="356"/>
      <c r="HAX88" s="356"/>
      <c r="HAY88" s="356"/>
      <c r="HAZ88" s="356"/>
      <c r="HBA88" s="356"/>
      <c r="HBB88" s="356"/>
      <c r="HBC88" s="356"/>
      <c r="HBD88" s="356"/>
      <c r="HBE88" s="356"/>
      <c r="HBF88" s="356"/>
      <c r="HBG88" s="356"/>
      <c r="HBH88" s="356"/>
      <c r="HBI88" s="356"/>
      <c r="HBJ88" s="356"/>
      <c r="HBK88" s="356"/>
      <c r="HBL88" s="356"/>
      <c r="HBM88" s="356"/>
      <c r="HBN88" s="356"/>
      <c r="HBO88" s="356"/>
      <c r="HBP88" s="356"/>
      <c r="HBQ88" s="356"/>
      <c r="HBR88" s="356"/>
      <c r="HBS88" s="356"/>
      <c r="HBT88" s="356"/>
      <c r="HBU88" s="356"/>
      <c r="HBV88" s="356"/>
      <c r="HBW88" s="356"/>
      <c r="HBX88" s="356"/>
      <c r="HBY88" s="356"/>
      <c r="HBZ88" s="356"/>
      <c r="HCA88" s="356"/>
      <c r="HCB88" s="356"/>
      <c r="HCC88" s="356"/>
      <c r="HCD88" s="356"/>
      <c r="HCE88" s="356"/>
      <c r="HCF88" s="356"/>
      <c r="HCG88" s="356"/>
      <c r="HCH88" s="356"/>
      <c r="HCI88" s="356"/>
      <c r="HCJ88" s="356"/>
      <c r="HCK88" s="356"/>
      <c r="HCL88" s="356"/>
      <c r="HCM88" s="356"/>
      <c r="HCN88" s="356"/>
      <c r="HCO88" s="356"/>
      <c r="HCP88" s="356"/>
      <c r="HCQ88" s="356"/>
      <c r="HCR88" s="356"/>
      <c r="HCS88" s="356"/>
      <c r="HCT88" s="356"/>
      <c r="HCU88" s="356"/>
      <c r="HCV88" s="356"/>
      <c r="HCW88" s="356"/>
      <c r="HCX88" s="356"/>
      <c r="HCY88" s="356"/>
      <c r="HCZ88" s="356"/>
      <c r="HDA88" s="356"/>
      <c r="HDB88" s="356"/>
      <c r="HDC88" s="356"/>
      <c r="HDD88" s="356"/>
      <c r="HDE88" s="356"/>
      <c r="HDF88" s="356"/>
      <c r="HDG88" s="356"/>
      <c r="HDH88" s="356"/>
      <c r="HDI88" s="356"/>
      <c r="HDJ88" s="356"/>
      <c r="HDK88" s="356"/>
      <c r="HDL88" s="356"/>
      <c r="HDM88" s="356"/>
      <c r="HDN88" s="356"/>
      <c r="HDO88" s="356"/>
      <c r="HDP88" s="356"/>
      <c r="HDQ88" s="356"/>
      <c r="HDR88" s="356"/>
      <c r="HDS88" s="356"/>
      <c r="HDT88" s="356"/>
      <c r="HDU88" s="356"/>
      <c r="HDV88" s="356"/>
      <c r="HDW88" s="356"/>
      <c r="HDX88" s="356"/>
      <c r="HDY88" s="356"/>
      <c r="HDZ88" s="356"/>
      <c r="HEA88" s="356"/>
      <c r="HEB88" s="356"/>
      <c r="HEC88" s="356"/>
      <c r="HED88" s="356"/>
      <c r="HEE88" s="356"/>
      <c r="HEF88" s="356"/>
      <c r="HEG88" s="356"/>
      <c r="HEH88" s="356"/>
      <c r="HEI88" s="356"/>
      <c r="HEJ88" s="356"/>
      <c r="HEK88" s="356"/>
      <c r="HEL88" s="356"/>
      <c r="HEM88" s="356"/>
      <c r="HEN88" s="356"/>
      <c r="HEO88" s="356"/>
      <c r="HEP88" s="356"/>
      <c r="HEQ88" s="356"/>
      <c r="HER88" s="356"/>
      <c r="HES88" s="356"/>
      <c r="HET88" s="356"/>
      <c r="HEU88" s="356"/>
      <c r="HEV88" s="356"/>
      <c r="HEW88" s="356"/>
      <c r="HEX88" s="356"/>
      <c r="HEY88" s="356"/>
      <c r="HEZ88" s="356"/>
      <c r="HFA88" s="356"/>
      <c r="HFB88" s="356"/>
      <c r="HFC88" s="356"/>
      <c r="HFD88" s="356"/>
      <c r="HFE88" s="356"/>
      <c r="HFF88" s="356"/>
      <c r="HFG88" s="356"/>
      <c r="HFH88" s="356"/>
      <c r="HFI88" s="356"/>
      <c r="HFJ88" s="356"/>
      <c r="HFK88" s="356"/>
      <c r="HFL88" s="356"/>
      <c r="HFM88" s="356"/>
      <c r="HFN88" s="356"/>
      <c r="HFO88" s="356"/>
      <c r="HFP88" s="356"/>
      <c r="HFQ88" s="356"/>
      <c r="HFR88" s="356"/>
      <c r="HFS88" s="356"/>
      <c r="HFT88" s="356"/>
      <c r="HFU88" s="356"/>
      <c r="HFV88" s="356"/>
      <c r="HFW88" s="356"/>
      <c r="HFX88" s="356"/>
      <c r="HFY88" s="356"/>
      <c r="HFZ88" s="356"/>
      <c r="HGA88" s="356"/>
      <c r="HGB88" s="356"/>
      <c r="HGC88" s="356"/>
      <c r="HGD88" s="356"/>
      <c r="HGE88" s="356"/>
      <c r="HGF88" s="356"/>
      <c r="HGG88" s="356"/>
      <c r="HGH88" s="356"/>
      <c r="HGI88" s="356"/>
      <c r="HGJ88" s="356"/>
      <c r="HGK88" s="356"/>
      <c r="HGL88" s="356"/>
      <c r="HGM88" s="356"/>
      <c r="HGN88" s="356"/>
      <c r="HGO88" s="356"/>
      <c r="HGP88" s="356"/>
      <c r="HGQ88" s="356"/>
      <c r="HGR88" s="356"/>
      <c r="HGS88" s="356"/>
      <c r="HGT88" s="356"/>
      <c r="HGU88" s="356"/>
      <c r="HGV88" s="356"/>
      <c r="HGW88" s="356"/>
      <c r="HGX88" s="356"/>
      <c r="HGY88" s="356"/>
      <c r="HGZ88" s="356"/>
      <c r="HHA88" s="356"/>
      <c r="HHB88" s="356"/>
      <c r="HHC88" s="356"/>
      <c r="HHD88" s="356"/>
      <c r="HHE88" s="356"/>
      <c r="HHF88" s="356"/>
      <c r="HHG88" s="356"/>
      <c r="HHH88" s="356"/>
      <c r="HHI88" s="356"/>
      <c r="HHJ88" s="356"/>
      <c r="HHK88" s="356"/>
      <c r="HHL88" s="356"/>
      <c r="HHM88" s="356"/>
      <c r="HHN88" s="356"/>
      <c r="HHO88" s="356"/>
      <c r="HHP88" s="356"/>
      <c r="HHQ88" s="356"/>
      <c r="HHR88" s="356"/>
      <c r="HHS88" s="356"/>
      <c r="HHT88" s="356"/>
      <c r="HHU88" s="356"/>
      <c r="HHV88" s="356"/>
      <c r="HHW88" s="356"/>
      <c r="HHX88" s="356"/>
      <c r="HHY88" s="356"/>
      <c r="HHZ88" s="356"/>
      <c r="HIA88" s="356"/>
      <c r="HIB88" s="356"/>
      <c r="HIC88" s="356"/>
      <c r="HID88" s="356"/>
      <c r="HIE88" s="356"/>
      <c r="HIF88" s="356"/>
      <c r="HIG88" s="356"/>
      <c r="HIH88" s="356"/>
      <c r="HII88" s="356"/>
      <c r="HIJ88" s="356"/>
      <c r="HIK88" s="356"/>
      <c r="HIL88" s="356"/>
      <c r="HIM88" s="356"/>
      <c r="HIN88" s="356"/>
      <c r="HIO88" s="356"/>
      <c r="HIP88" s="356"/>
      <c r="HIQ88" s="356"/>
      <c r="HIR88" s="356"/>
      <c r="HIS88" s="356"/>
      <c r="HIT88" s="356"/>
      <c r="HIU88" s="356"/>
      <c r="HIV88" s="356"/>
      <c r="HIW88" s="356"/>
      <c r="HIX88" s="356"/>
      <c r="HIY88" s="356"/>
      <c r="HIZ88" s="356"/>
      <c r="HJA88" s="356"/>
      <c r="HJB88" s="356"/>
      <c r="HJC88" s="356"/>
      <c r="HJD88" s="356"/>
      <c r="HJE88" s="356"/>
      <c r="HJF88" s="356"/>
      <c r="HJG88" s="356"/>
      <c r="HJH88" s="356"/>
      <c r="HJI88" s="356"/>
      <c r="HJJ88" s="356"/>
      <c r="HJK88" s="356"/>
      <c r="HJL88" s="356"/>
      <c r="HJM88" s="356"/>
      <c r="HJN88" s="356"/>
      <c r="HJO88" s="356"/>
      <c r="HJP88" s="356"/>
      <c r="HJQ88" s="356"/>
      <c r="HJR88" s="356"/>
      <c r="HJS88" s="356"/>
      <c r="HJT88" s="356"/>
      <c r="HJU88" s="356"/>
      <c r="HJV88" s="356"/>
      <c r="HJW88" s="356"/>
      <c r="HJX88" s="356"/>
      <c r="HJY88" s="356"/>
      <c r="HJZ88" s="356"/>
      <c r="HKA88" s="356"/>
      <c r="HKB88" s="356"/>
      <c r="HKC88" s="356"/>
      <c r="HKD88" s="356"/>
      <c r="HKE88" s="356"/>
      <c r="HKF88" s="356"/>
      <c r="HKG88" s="356"/>
      <c r="HKH88" s="356"/>
      <c r="HKI88" s="356"/>
      <c r="HKJ88" s="356"/>
      <c r="HKK88" s="356"/>
      <c r="HKL88" s="356"/>
      <c r="HKM88" s="356"/>
      <c r="HKN88" s="356"/>
      <c r="HKO88" s="356"/>
      <c r="HKP88" s="356"/>
      <c r="HKQ88" s="356"/>
      <c r="HKR88" s="356"/>
      <c r="HKS88" s="356"/>
      <c r="HKT88" s="356"/>
      <c r="HKU88" s="356"/>
      <c r="HKV88" s="356"/>
      <c r="HKW88" s="356"/>
      <c r="HKX88" s="356"/>
      <c r="HKY88" s="356"/>
      <c r="HKZ88" s="356"/>
      <c r="HLA88" s="356"/>
      <c r="HLB88" s="356"/>
      <c r="HLC88" s="356"/>
      <c r="HLD88" s="356"/>
      <c r="HLE88" s="356"/>
      <c r="HLF88" s="356"/>
      <c r="HLG88" s="356"/>
      <c r="HLH88" s="356"/>
      <c r="HLI88" s="356"/>
      <c r="HLJ88" s="356"/>
      <c r="HLK88" s="356"/>
      <c r="HLL88" s="356"/>
      <c r="HLM88" s="356"/>
      <c r="HLN88" s="356"/>
      <c r="HLO88" s="356"/>
      <c r="HLP88" s="356"/>
      <c r="HLQ88" s="356"/>
      <c r="HLR88" s="356"/>
      <c r="HLS88" s="356"/>
      <c r="HLT88" s="356"/>
      <c r="HLU88" s="356"/>
      <c r="HLV88" s="356"/>
      <c r="HLW88" s="356"/>
      <c r="HLX88" s="356"/>
      <c r="HLY88" s="356"/>
      <c r="HLZ88" s="356"/>
      <c r="HMA88" s="356"/>
      <c r="HMB88" s="356"/>
      <c r="HMC88" s="356"/>
      <c r="HMD88" s="356"/>
      <c r="HME88" s="356"/>
      <c r="HMF88" s="356"/>
      <c r="HMG88" s="356"/>
      <c r="HMH88" s="356"/>
      <c r="HMI88" s="356"/>
      <c r="HMJ88" s="356"/>
      <c r="HMK88" s="356"/>
      <c r="HML88" s="356"/>
      <c r="HMM88" s="356"/>
      <c r="HMN88" s="356"/>
      <c r="HMO88" s="356"/>
      <c r="HMP88" s="356"/>
      <c r="HMQ88" s="356"/>
      <c r="HMR88" s="356"/>
      <c r="HMS88" s="356"/>
      <c r="HMT88" s="356"/>
      <c r="HMU88" s="356"/>
      <c r="HMV88" s="356"/>
      <c r="HMW88" s="356"/>
      <c r="HMX88" s="356"/>
      <c r="HMY88" s="356"/>
      <c r="HMZ88" s="356"/>
      <c r="HNA88" s="356"/>
      <c r="HNB88" s="356"/>
      <c r="HNC88" s="356"/>
      <c r="HND88" s="356"/>
      <c r="HNE88" s="356"/>
      <c r="HNF88" s="356"/>
      <c r="HNG88" s="356"/>
      <c r="HNH88" s="356"/>
      <c r="HNI88" s="356"/>
      <c r="HNJ88" s="356"/>
      <c r="HNK88" s="356"/>
      <c r="HNL88" s="356"/>
      <c r="HNM88" s="356"/>
      <c r="HNN88" s="356"/>
      <c r="HNO88" s="356"/>
      <c r="HNP88" s="356"/>
      <c r="HNQ88" s="356"/>
      <c r="HNR88" s="356"/>
      <c r="HNS88" s="356"/>
      <c r="HNT88" s="356"/>
      <c r="HNU88" s="356"/>
      <c r="HNV88" s="356"/>
      <c r="HNW88" s="356"/>
      <c r="HNX88" s="356"/>
      <c r="HNY88" s="356"/>
      <c r="HNZ88" s="356"/>
      <c r="HOA88" s="356"/>
      <c r="HOB88" s="356"/>
      <c r="HOC88" s="356"/>
      <c r="HOD88" s="356"/>
      <c r="HOE88" s="356"/>
      <c r="HOF88" s="356"/>
      <c r="HOG88" s="356"/>
      <c r="HOH88" s="356"/>
      <c r="HOI88" s="356"/>
      <c r="HOJ88" s="356"/>
      <c r="HOK88" s="356"/>
      <c r="HOL88" s="356"/>
      <c r="HOM88" s="356"/>
      <c r="HON88" s="356"/>
      <c r="HOO88" s="356"/>
      <c r="HOP88" s="356"/>
      <c r="HOQ88" s="356"/>
      <c r="HOR88" s="356"/>
      <c r="HOS88" s="356"/>
      <c r="HOT88" s="356"/>
      <c r="HOU88" s="356"/>
      <c r="HOV88" s="356"/>
      <c r="HOW88" s="356"/>
      <c r="HOX88" s="356"/>
      <c r="HOY88" s="356"/>
      <c r="HOZ88" s="356"/>
      <c r="HPA88" s="356"/>
      <c r="HPB88" s="356"/>
      <c r="HPC88" s="356"/>
      <c r="HPD88" s="356"/>
      <c r="HPE88" s="356"/>
      <c r="HPF88" s="356"/>
      <c r="HPG88" s="356"/>
      <c r="HPH88" s="356"/>
      <c r="HPI88" s="356"/>
      <c r="HPJ88" s="356"/>
      <c r="HPK88" s="356"/>
      <c r="HPL88" s="356"/>
      <c r="HPM88" s="356"/>
      <c r="HPN88" s="356"/>
      <c r="HPO88" s="356"/>
      <c r="HPP88" s="356"/>
      <c r="HPQ88" s="356"/>
      <c r="HPR88" s="356"/>
      <c r="HPS88" s="356"/>
      <c r="HPT88" s="356"/>
      <c r="HPU88" s="356"/>
      <c r="HPV88" s="356"/>
      <c r="HPW88" s="356"/>
      <c r="HPX88" s="356"/>
      <c r="HPY88" s="356"/>
      <c r="HPZ88" s="356"/>
      <c r="HQA88" s="356"/>
      <c r="HQB88" s="356"/>
      <c r="HQC88" s="356"/>
      <c r="HQD88" s="356"/>
      <c r="HQE88" s="356"/>
      <c r="HQF88" s="356"/>
      <c r="HQG88" s="356"/>
      <c r="HQH88" s="356"/>
      <c r="HQI88" s="356"/>
      <c r="HQJ88" s="356"/>
      <c r="HQK88" s="356"/>
      <c r="HQL88" s="356"/>
      <c r="HQM88" s="356"/>
      <c r="HQN88" s="356"/>
      <c r="HQO88" s="356"/>
      <c r="HQP88" s="356"/>
      <c r="HQQ88" s="356"/>
      <c r="HQR88" s="356"/>
      <c r="HQS88" s="356"/>
      <c r="HQT88" s="356"/>
      <c r="HQU88" s="356"/>
      <c r="HQV88" s="356"/>
      <c r="HQW88" s="356"/>
      <c r="HQX88" s="356"/>
      <c r="HQY88" s="356"/>
      <c r="HQZ88" s="356"/>
      <c r="HRA88" s="356"/>
      <c r="HRB88" s="356"/>
      <c r="HRC88" s="356"/>
      <c r="HRD88" s="356"/>
      <c r="HRE88" s="356"/>
      <c r="HRF88" s="356"/>
      <c r="HRG88" s="356"/>
      <c r="HRH88" s="356"/>
      <c r="HRI88" s="356"/>
      <c r="HRJ88" s="356"/>
      <c r="HRK88" s="356"/>
      <c r="HRL88" s="356"/>
      <c r="HRM88" s="356"/>
      <c r="HRN88" s="356"/>
      <c r="HRO88" s="356"/>
      <c r="HRP88" s="356"/>
      <c r="HRQ88" s="356"/>
      <c r="HRR88" s="356"/>
      <c r="HRS88" s="356"/>
      <c r="HRT88" s="356"/>
      <c r="HRU88" s="356"/>
      <c r="HRV88" s="356"/>
      <c r="HRW88" s="356"/>
      <c r="HRX88" s="356"/>
      <c r="HRY88" s="356"/>
      <c r="HRZ88" s="356"/>
      <c r="HSA88" s="356"/>
      <c r="HSB88" s="356"/>
      <c r="HSC88" s="356"/>
      <c r="HSD88" s="356"/>
      <c r="HSE88" s="356"/>
      <c r="HSF88" s="356"/>
      <c r="HSG88" s="356"/>
      <c r="HSH88" s="356"/>
      <c r="HSI88" s="356"/>
      <c r="HSJ88" s="356"/>
      <c r="HSK88" s="356"/>
      <c r="HSL88" s="356"/>
      <c r="HSM88" s="356"/>
      <c r="HSN88" s="356"/>
      <c r="HSO88" s="356"/>
      <c r="HSP88" s="356"/>
      <c r="HSQ88" s="356"/>
      <c r="HSR88" s="356"/>
      <c r="HSS88" s="356"/>
      <c r="HST88" s="356"/>
      <c r="HSU88" s="356"/>
      <c r="HSV88" s="356"/>
      <c r="HSW88" s="356"/>
      <c r="HSX88" s="356"/>
      <c r="HSY88" s="356"/>
      <c r="HSZ88" s="356"/>
      <c r="HTA88" s="356"/>
      <c r="HTB88" s="356"/>
      <c r="HTC88" s="356"/>
      <c r="HTD88" s="356"/>
      <c r="HTE88" s="356"/>
      <c r="HTF88" s="356"/>
      <c r="HTG88" s="356"/>
      <c r="HTH88" s="356"/>
      <c r="HTI88" s="356"/>
      <c r="HTJ88" s="356"/>
      <c r="HTK88" s="356"/>
      <c r="HTL88" s="356"/>
      <c r="HTM88" s="356"/>
      <c r="HTN88" s="356"/>
      <c r="HTO88" s="356"/>
      <c r="HTP88" s="356"/>
      <c r="HTQ88" s="356"/>
      <c r="HTR88" s="356"/>
      <c r="HTS88" s="356"/>
      <c r="HTT88" s="356"/>
      <c r="HTU88" s="356"/>
      <c r="HTV88" s="356"/>
      <c r="HTW88" s="356"/>
      <c r="HTX88" s="356"/>
      <c r="HTY88" s="356"/>
      <c r="HTZ88" s="356"/>
      <c r="HUA88" s="356"/>
      <c r="HUB88" s="356"/>
      <c r="HUC88" s="356"/>
      <c r="HUD88" s="356"/>
      <c r="HUE88" s="356"/>
      <c r="HUF88" s="356"/>
      <c r="HUG88" s="356"/>
      <c r="HUH88" s="356"/>
      <c r="HUI88" s="356"/>
      <c r="HUJ88" s="356"/>
      <c r="HUK88" s="356"/>
      <c r="HUL88" s="356"/>
      <c r="HUM88" s="356"/>
      <c r="HUN88" s="356"/>
      <c r="HUO88" s="356"/>
      <c r="HUP88" s="356"/>
      <c r="HUQ88" s="356"/>
      <c r="HUR88" s="356"/>
      <c r="HUS88" s="356"/>
      <c r="HUT88" s="356"/>
      <c r="HUU88" s="356"/>
      <c r="HUV88" s="356"/>
      <c r="HUW88" s="356"/>
      <c r="HUX88" s="356"/>
      <c r="HUY88" s="356"/>
      <c r="HUZ88" s="356"/>
      <c r="HVA88" s="356"/>
      <c r="HVB88" s="356"/>
      <c r="HVC88" s="356"/>
      <c r="HVD88" s="356"/>
      <c r="HVE88" s="356"/>
      <c r="HVF88" s="356"/>
      <c r="HVG88" s="356"/>
      <c r="HVH88" s="356"/>
      <c r="HVI88" s="356"/>
      <c r="HVJ88" s="356"/>
      <c r="HVK88" s="356"/>
      <c r="HVL88" s="356"/>
      <c r="HVM88" s="356"/>
      <c r="HVN88" s="356"/>
      <c r="HVO88" s="356"/>
      <c r="HVP88" s="356"/>
      <c r="HVQ88" s="356"/>
      <c r="HVR88" s="356"/>
      <c r="HVS88" s="356"/>
      <c r="HVT88" s="356"/>
      <c r="HVU88" s="356"/>
      <c r="HVV88" s="356"/>
      <c r="HVW88" s="356"/>
      <c r="HVX88" s="356"/>
      <c r="HVY88" s="356"/>
      <c r="HVZ88" s="356"/>
      <c r="HWA88" s="356"/>
      <c r="HWB88" s="356"/>
      <c r="HWC88" s="356"/>
      <c r="HWD88" s="356"/>
      <c r="HWE88" s="356"/>
      <c r="HWF88" s="356"/>
      <c r="HWG88" s="356"/>
      <c r="HWH88" s="356"/>
      <c r="HWI88" s="356"/>
      <c r="HWJ88" s="356"/>
      <c r="HWK88" s="356"/>
      <c r="HWL88" s="356"/>
      <c r="HWM88" s="356"/>
      <c r="HWN88" s="356"/>
      <c r="HWO88" s="356"/>
      <c r="HWP88" s="356"/>
      <c r="HWQ88" s="356"/>
      <c r="HWR88" s="356"/>
      <c r="HWS88" s="356"/>
      <c r="HWT88" s="356"/>
      <c r="HWU88" s="356"/>
      <c r="HWV88" s="356"/>
      <c r="HWW88" s="356"/>
      <c r="HWX88" s="356"/>
      <c r="HWY88" s="356"/>
      <c r="HWZ88" s="356"/>
      <c r="HXA88" s="356"/>
      <c r="HXB88" s="356"/>
      <c r="HXC88" s="356"/>
      <c r="HXD88" s="356"/>
      <c r="HXE88" s="356"/>
      <c r="HXF88" s="356"/>
      <c r="HXG88" s="356"/>
      <c r="HXH88" s="356"/>
      <c r="HXI88" s="356"/>
      <c r="HXJ88" s="356"/>
      <c r="HXK88" s="356"/>
      <c r="HXL88" s="356"/>
      <c r="HXM88" s="356"/>
      <c r="HXN88" s="356"/>
      <c r="HXO88" s="356"/>
      <c r="HXP88" s="356"/>
      <c r="HXQ88" s="356"/>
      <c r="HXR88" s="356"/>
      <c r="HXS88" s="356"/>
      <c r="HXT88" s="356"/>
      <c r="HXU88" s="356"/>
      <c r="HXV88" s="356"/>
      <c r="HXW88" s="356"/>
      <c r="HXX88" s="356"/>
      <c r="HXY88" s="356"/>
      <c r="HXZ88" s="356"/>
      <c r="HYA88" s="356"/>
      <c r="HYB88" s="356"/>
      <c r="HYC88" s="356"/>
      <c r="HYD88" s="356"/>
      <c r="HYE88" s="356"/>
      <c r="HYF88" s="356"/>
      <c r="HYG88" s="356"/>
      <c r="HYH88" s="356"/>
      <c r="HYI88" s="356"/>
      <c r="HYJ88" s="356"/>
      <c r="HYK88" s="356"/>
      <c r="HYL88" s="356"/>
      <c r="HYM88" s="356"/>
      <c r="HYN88" s="356"/>
      <c r="HYO88" s="356"/>
      <c r="HYP88" s="356"/>
      <c r="HYQ88" s="356"/>
      <c r="HYR88" s="356"/>
      <c r="HYS88" s="356"/>
      <c r="HYT88" s="356"/>
      <c r="HYU88" s="356"/>
      <c r="HYV88" s="356"/>
      <c r="HYW88" s="356"/>
      <c r="HYX88" s="356"/>
      <c r="HYY88" s="356"/>
      <c r="HYZ88" s="356"/>
      <c r="HZA88" s="356"/>
      <c r="HZB88" s="356"/>
      <c r="HZC88" s="356"/>
      <c r="HZD88" s="356"/>
      <c r="HZE88" s="356"/>
      <c r="HZF88" s="356"/>
      <c r="HZG88" s="356"/>
      <c r="HZH88" s="356"/>
      <c r="HZI88" s="356"/>
      <c r="HZJ88" s="356"/>
      <c r="HZK88" s="356"/>
      <c r="HZL88" s="356"/>
      <c r="HZM88" s="356"/>
      <c r="HZN88" s="356"/>
      <c r="HZO88" s="356"/>
      <c r="HZP88" s="356"/>
      <c r="HZQ88" s="356"/>
      <c r="HZR88" s="356"/>
      <c r="HZS88" s="356"/>
      <c r="HZT88" s="356"/>
      <c r="HZU88" s="356"/>
      <c r="HZV88" s="356"/>
      <c r="HZW88" s="356"/>
      <c r="HZX88" s="356"/>
      <c r="HZY88" s="356"/>
      <c r="HZZ88" s="356"/>
      <c r="IAA88" s="356"/>
      <c r="IAB88" s="356"/>
      <c r="IAC88" s="356"/>
      <c r="IAD88" s="356"/>
      <c r="IAE88" s="356"/>
      <c r="IAF88" s="356"/>
      <c r="IAG88" s="356"/>
      <c r="IAH88" s="356"/>
      <c r="IAI88" s="356"/>
      <c r="IAJ88" s="356"/>
      <c r="IAK88" s="356"/>
      <c r="IAL88" s="356"/>
      <c r="IAM88" s="356"/>
      <c r="IAN88" s="356"/>
      <c r="IAO88" s="356"/>
      <c r="IAP88" s="356"/>
      <c r="IAQ88" s="356"/>
      <c r="IAR88" s="356"/>
      <c r="IAS88" s="356"/>
      <c r="IAT88" s="356"/>
      <c r="IAU88" s="356"/>
      <c r="IAV88" s="356"/>
      <c r="IAW88" s="356"/>
      <c r="IAX88" s="356"/>
      <c r="IAY88" s="356"/>
      <c r="IAZ88" s="356"/>
      <c r="IBA88" s="356"/>
      <c r="IBB88" s="356"/>
      <c r="IBC88" s="356"/>
      <c r="IBD88" s="356"/>
      <c r="IBE88" s="356"/>
      <c r="IBF88" s="356"/>
      <c r="IBG88" s="356"/>
      <c r="IBH88" s="356"/>
      <c r="IBI88" s="356"/>
      <c r="IBJ88" s="356"/>
      <c r="IBK88" s="356"/>
      <c r="IBL88" s="356"/>
      <c r="IBM88" s="356"/>
      <c r="IBN88" s="356"/>
      <c r="IBO88" s="356"/>
      <c r="IBP88" s="356"/>
      <c r="IBQ88" s="356"/>
      <c r="IBR88" s="356"/>
      <c r="IBS88" s="356"/>
      <c r="IBT88" s="356"/>
      <c r="IBU88" s="356"/>
      <c r="IBV88" s="356"/>
      <c r="IBW88" s="356"/>
      <c r="IBX88" s="356"/>
      <c r="IBY88" s="356"/>
      <c r="IBZ88" s="356"/>
      <c r="ICA88" s="356"/>
      <c r="ICB88" s="356"/>
      <c r="ICC88" s="356"/>
      <c r="ICD88" s="356"/>
      <c r="ICE88" s="356"/>
      <c r="ICF88" s="356"/>
      <c r="ICG88" s="356"/>
      <c r="ICH88" s="356"/>
      <c r="ICI88" s="356"/>
      <c r="ICJ88" s="356"/>
      <c r="ICK88" s="356"/>
      <c r="ICL88" s="356"/>
      <c r="ICM88" s="356"/>
      <c r="ICN88" s="356"/>
      <c r="ICO88" s="356"/>
      <c r="ICP88" s="356"/>
      <c r="ICQ88" s="356"/>
      <c r="ICR88" s="356"/>
      <c r="ICS88" s="356"/>
      <c r="ICT88" s="356"/>
      <c r="ICU88" s="356"/>
      <c r="ICV88" s="356"/>
      <c r="ICW88" s="356"/>
      <c r="ICX88" s="356"/>
      <c r="ICY88" s="356"/>
      <c r="ICZ88" s="356"/>
      <c r="IDA88" s="356"/>
      <c r="IDB88" s="356"/>
      <c r="IDC88" s="356"/>
      <c r="IDD88" s="356"/>
      <c r="IDE88" s="356"/>
      <c r="IDF88" s="356"/>
      <c r="IDG88" s="356"/>
      <c r="IDH88" s="356"/>
      <c r="IDI88" s="356"/>
      <c r="IDJ88" s="356"/>
      <c r="IDK88" s="356"/>
      <c r="IDL88" s="356"/>
      <c r="IDM88" s="356"/>
      <c r="IDN88" s="356"/>
      <c r="IDO88" s="356"/>
      <c r="IDP88" s="356"/>
      <c r="IDQ88" s="356"/>
      <c r="IDR88" s="356"/>
      <c r="IDS88" s="356"/>
      <c r="IDT88" s="356"/>
      <c r="IDU88" s="356"/>
      <c r="IDV88" s="356"/>
      <c r="IDW88" s="356"/>
      <c r="IDX88" s="356"/>
      <c r="IDY88" s="356"/>
      <c r="IDZ88" s="356"/>
      <c r="IEA88" s="356"/>
      <c r="IEB88" s="356"/>
      <c r="IEC88" s="356"/>
      <c r="IED88" s="356"/>
      <c r="IEE88" s="356"/>
      <c r="IEF88" s="356"/>
      <c r="IEG88" s="356"/>
      <c r="IEH88" s="356"/>
      <c r="IEI88" s="356"/>
      <c r="IEJ88" s="356"/>
      <c r="IEK88" s="356"/>
      <c r="IEL88" s="356"/>
      <c r="IEM88" s="356"/>
      <c r="IEN88" s="356"/>
      <c r="IEO88" s="356"/>
      <c r="IEP88" s="356"/>
      <c r="IEQ88" s="356"/>
      <c r="IER88" s="356"/>
      <c r="IES88" s="356"/>
      <c r="IET88" s="356"/>
      <c r="IEU88" s="356"/>
      <c r="IEV88" s="356"/>
      <c r="IEW88" s="356"/>
      <c r="IEX88" s="356"/>
      <c r="IEY88" s="356"/>
      <c r="IEZ88" s="356"/>
      <c r="IFA88" s="356"/>
      <c r="IFB88" s="356"/>
      <c r="IFC88" s="356"/>
      <c r="IFD88" s="356"/>
      <c r="IFE88" s="356"/>
      <c r="IFF88" s="356"/>
      <c r="IFG88" s="356"/>
      <c r="IFH88" s="356"/>
      <c r="IFI88" s="356"/>
      <c r="IFJ88" s="356"/>
      <c r="IFK88" s="356"/>
      <c r="IFL88" s="356"/>
      <c r="IFM88" s="356"/>
      <c r="IFN88" s="356"/>
      <c r="IFO88" s="356"/>
      <c r="IFP88" s="356"/>
      <c r="IFQ88" s="356"/>
      <c r="IFR88" s="356"/>
      <c r="IFS88" s="356"/>
      <c r="IFT88" s="356"/>
      <c r="IFU88" s="356"/>
      <c r="IFV88" s="356"/>
      <c r="IFW88" s="356"/>
      <c r="IFX88" s="356"/>
      <c r="IFY88" s="356"/>
      <c r="IFZ88" s="356"/>
      <c r="IGA88" s="356"/>
      <c r="IGB88" s="356"/>
      <c r="IGC88" s="356"/>
      <c r="IGD88" s="356"/>
      <c r="IGE88" s="356"/>
      <c r="IGF88" s="356"/>
      <c r="IGG88" s="356"/>
      <c r="IGH88" s="356"/>
      <c r="IGI88" s="356"/>
      <c r="IGJ88" s="356"/>
      <c r="IGK88" s="356"/>
      <c r="IGL88" s="356"/>
      <c r="IGM88" s="356"/>
      <c r="IGN88" s="356"/>
      <c r="IGO88" s="356"/>
      <c r="IGP88" s="356"/>
      <c r="IGQ88" s="356"/>
      <c r="IGR88" s="356"/>
      <c r="IGS88" s="356"/>
      <c r="IGT88" s="356"/>
      <c r="IGU88" s="356"/>
      <c r="IGV88" s="356"/>
      <c r="IGW88" s="356"/>
      <c r="IGX88" s="356"/>
      <c r="IGY88" s="356"/>
      <c r="IGZ88" s="356"/>
      <c r="IHA88" s="356"/>
      <c r="IHB88" s="356"/>
      <c r="IHC88" s="356"/>
      <c r="IHD88" s="356"/>
      <c r="IHE88" s="356"/>
      <c r="IHF88" s="356"/>
      <c r="IHG88" s="356"/>
      <c r="IHH88" s="356"/>
      <c r="IHI88" s="356"/>
      <c r="IHJ88" s="356"/>
      <c r="IHK88" s="356"/>
      <c r="IHL88" s="356"/>
      <c r="IHM88" s="356"/>
      <c r="IHN88" s="356"/>
      <c r="IHO88" s="356"/>
      <c r="IHP88" s="356"/>
      <c r="IHQ88" s="356"/>
      <c r="IHR88" s="356"/>
      <c r="IHS88" s="356"/>
      <c r="IHT88" s="356"/>
      <c r="IHU88" s="356"/>
      <c r="IHV88" s="356"/>
      <c r="IHW88" s="356"/>
      <c r="IHX88" s="356"/>
      <c r="IHY88" s="356"/>
      <c r="IHZ88" s="356"/>
      <c r="IIA88" s="356"/>
      <c r="IIB88" s="356"/>
      <c r="IIC88" s="356"/>
      <c r="IID88" s="356"/>
      <c r="IIE88" s="356"/>
      <c r="IIF88" s="356"/>
      <c r="IIG88" s="356"/>
      <c r="IIH88" s="356"/>
      <c r="III88" s="356"/>
      <c r="IIJ88" s="356"/>
      <c r="IIK88" s="356"/>
      <c r="IIL88" s="356"/>
      <c r="IIM88" s="356"/>
      <c r="IIN88" s="356"/>
      <c r="IIO88" s="356"/>
      <c r="IIP88" s="356"/>
      <c r="IIQ88" s="356"/>
      <c r="IIR88" s="356"/>
      <c r="IIS88" s="356"/>
      <c r="IIT88" s="356"/>
      <c r="IIU88" s="356"/>
      <c r="IIV88" s="356"/>
      <c r="IIW88" s="356"/>
      <c r="IIX88" s="356"/>
      <c r="IIY88" s="356"/>
      <c r="IIZ88" s="356"/>
      <c r="IJA88" s="356"/>
      <c r="IJB88" s="356"/>
      <c r="IJC88" s="356"/>
      <c r="IJD88" s="356"/>
      <c r="IJE88" s="356"/>
      <c r="IJF88" s="356"/>
      <c r="IJG88" s="356"/>
      <c r="IJH88" s="356"/>
      <c r="IJI88" s="356"/>
      <c r="IJJ88" s="356"/>
      <c r="IJK88" s="356"/>
      <c r="IJL88" s="356"/>
      <c r="IJM88" s="356"/>
      <c r="IJN88" s="356"/>
      <c r="IJO88" s="356"/>
      <c r="IJP88" s="356"/>
      <c r="IJQ88" s="356"/>
      <c r="IJR88" s="356"/>
      <c r="IJS88" s="356"/>
      <c r="IJT88" s="356"/>
      <c r="IJU88" s="356"/>
      <c r="IJV88" s="356"/>
      <c r="IJW88" s="356"/>
      <c r="IJX88" s="356"/>
      <c r="IJY88" s="356"/>
      <c r="IJZ88" s="356"/>
      <c r="IKA88" s="356"/>
      <c r="IKB88" s="356"/>
      <c r="IKC88" s="356"/>
      <c r="IKD88" s="356"/>
      <c r="IKE88" s="356"/>
      <c r="IKF88" s="356"/>
      <c r="IKG88" s="356"/>
      <c r="IKH88" s="356"/>
      <c r="IKI88" s="356"/>
      <c r="IKJ88" s="356"/>
      <c r="IKK88" s="356"/>
      <c r="IKL88" s="356"/>
      <c r="IKM88" s="356"/>
      <c r="IKN88" s="356"/>
      <c r="IKO88" s="356"/>
      <c r="IKP88" s="356"/>
      <c r="IKQ88" s="356"/>
      <c r="IKR88" s="356"/>
      <c r="IKS88" s="356"/>
      <c r="IKT88" s="356"/>
      <c r="IKU88" s="356"/>
      <c r="IKV88" s="356"/>
      <c r="IKW88" s="356"/>
      <c r="IKX88" s="356"/>
      <c r="IKY88" s="356"/>
      <c r="IKZ88" s="356"/>
      <c r="ILA88" s="356"/>
      <c r="ILB88" s="356"/>
      <c r="ILC88" s="356"/>
      <c r="ILD88" s="356"/>
      <c r="ILE88" s="356"/>
      <c r="ILF88" s="356"/>
      <c r="ILG88" s="356"/>
      <c r="ILH88" s="356"/>
      <c r="ILI88" s="356"/>
      <c r="ILJ88" s="356"/>
      <c r="ILK88" s="356"/>
      <c r="ILL88" s="356"/>
      <c r="ILM88" s="356"/>
      <c r="ILN88" s="356"/>
      <c r="ILO88" s="356"/>
      <c r="ILP88" s="356"/>
      <c r="ILQ88" s="356"/>
      <c r="ILR88" s="356"/>
      <c r="ILS88" s="356"/>
      <c r="ILT88" s="356"/>
      <c r="ILU88" s="356"/>
      <c r="ILV88" s="356"/>
      <c r="ILW88" s="356"/>
      <c r="ILX88" s="356"/>
      <c r="ILY88" s="356"/>
      <c r="ILZ88" s="356"/>
      <c r="IMA88" s="356"/>
      <c r="IMB88" s="356"/>
      <c r="IMC88" s="356"/>
      <c r="IMD88" s="356"/>
      <c r="IME88" s="356"/>
      <c r="IMF88" s="356"/>
      <c r="IMG88" s="356"/>
      <c r="IMH88" s="356"/>
      <c r="IMI88" s="356"/>
      <c r="IMJ88" s="356"/>
      <c r="IMK88" s="356"/>
      <c r="IML88" s="356"/>
      <c r="IMM88" s="356"/>
      <c r="IMN88" s="356"/>
      <c r="IMO88" s="356"/>
      <c r="IMP88" s="356"/>
      <c r="IMQ88" s="356"/>
      <c r="IMR88" s="356"/>
      <c r="IMS88" s="356"/>
      <c r="IMT88" s="356"/>
      <c r="IMU88" s="356"/>
      <c r="IMV88" s="356"/>
      <c r="IMW88" s="356"/>
      <c r="IMX88" s="356"/>
      <c r="IMY88" s="356"/>
      <c r="IMZ88" s="356"/>
      <c r="INA88" s="356"/>
      <c r="INB88" s="356"/>
      <c r="INC88" s="356"/>
      <c r="IND88" s="356"/>
      <c r="INE88" s="356"/>
      <c r="INF88" s="356"/>
      <c r="ING88" s="356"/>
      <c r="INH88" s="356"/>
      <c r="INI88" s="356"/>
      <c r="INJ88" s="356"/>
      <c r="INK88" s="356"/>
      <c r="INL88" s="356"/>
      <c r="INM88" s="356"/>
      <c r="INN88" s="356"/>
      <c r="INO88" s="356"/>
      <c r="INP88" s="356"/>
      <c r="INQ88" s="356"/>
      <c r="INR88" s="356"/>
      <c r="INS88" s="356"/>
      <c r="INT88" s="356"/>
      <c r="INU88" s="356"/>
      <c r="INV88" s="356"/>
      <c r="INW88" s="356"/>
      <c r="INX88" s="356"/>
      <c r="INY88" s="356"/>
      <c r="INZ88" s="356"/>
      <c r="IOA88" s="356"/>
      <c r="IOB88" s="356"/>
      <c r="IOC88" s="356"/>
      <c r="IOD88" s="356"/>
      <c r="IOE88" s="356"/>
      <c r="IOF88" s="356"/>
      <c r="IOG88" s="356"/>
      <c r="IOH88" s="356"/>
      <c r="IOI88" s="356"/>
      <c r="IOJ88" s="356"/>
      <c r="IOK88" s="356"/>
      <c r="IOL88" s="356"/>
      <c r="IOM88" s="356"/>
      <c r="ION88" s="356"/>
      <c r="IOO88" s="356"/>
      <c r="IOP88" s="356"/>
      <c r="IOQ88" s="356"/>
      <c r="IOR88" s="356"/>
      <c r="IOS88" s="356"/>
      <c r="IOT88" s="356"/>
      <c r="IOU88" s="356"/>
      <c r="IOV88" s="356"/>
      <c r="IOW88" s="356"/>
      <c r="IOX88" s="356"/>
      <c r="IOY88" s="356"/>
      <c r="IOZ88" s="356"/>
      <c r="IPA88" s="356"/>
      <c r="IPB88" s="356"/>
      <c r="IPC88" s="356"/>
      <c r="IPD88" s="356"/>
      <c r="IPE88" s="356"/>
      <c r="IPF88" s="356"/>
      <c r="IPG88" s="356"/>
      <c r="IPH88" s="356"/>
      <c r="IPI88" s="356"/>
      <c r="IPJ88" s="356"/>
      <c r="IPK88" s="356"/>
      <c r="IPL88" s="356"/>
      <c r="IPM88" s="356"/>
      <c r="IPN88" s="356"/>
      <c r="IPO88" s="356"/>
      <c r="IPP88" s="356"/>
      <c r="IPQ88" s="356"/>
      <c r="IPR88" s="356"/>
      <c r="IPS88" s="356"/>
      <c r="IPT88" s="356"/>
      <c r="IPU88" s="356"/>
      <c r="IPV88" s="356"/>
      <c r="IPW88" s="356"/>
      <c r="IPX88" s="356"/>
      <c r="IPY88" s="356"/>
      <c r="IPZ88" s="356"/>
      <c r="IQA88" s="356"/>
      <c r="IQB88" s="356"/>
      <c r="IQC88" s="356"/>
      <c r="IQD88" s="356"/>
      <c r="IQE88" s="356"/>
      <c r="IQF88" s="356"/>
      <c r="IQG88" s="356"/>
      <c r="IQH88" s="356"/>
      <c r="IQI88" s="356"/>
      <c r="IQJ88" s="356"/>
      <c r="IQK88" s="356"/>
      <c r="IQL88" s="356"/>
      <c r="IQM88" s="356"/>
      <c r="IQN88" s="356"/>
      <c r="IQO88" s="356"/>
      <c r="IQP88" s="356"/>
      <c r="IQQ88" s="356"/>
      <c r="IQR88" s="356"/>
      <c r="IQS88" s="356"/>
      <c r="IQT88" s="356"/>
      <c r="IQU88" s="356"/>
      <c r="IQV88" s="356"/>
      <c r="IQW88" s="356"/>
      <c r="IQX88" s="356"/>
      <c r="IQY88" s="356"/>
      <c r="IQZ88" s="356"/>
      <c r="IRA88" s="356"/>
      <c r="IRB88" s="356"/>
      <c r="IRC88" s="356"/>
      <c r="IRD88" s="356"/>
      <c r="IRE88" s="356"/>
      <c r="IRF88" s="356"/>
      <c r="IRG88" s="356"/>
      <c r="IRH88" s="356"/>
      <c r="IRI88" s="356"/>
      <c r="IRJ88" s="356"/>
      <c r="IRK88" s="356"/>
      <c r="IRL88" s="356"/>
      <c r="IRM88" s="356"/>
      <c r="IRN88" s="356"/>
      <c r="IRO88" s="356"/>
      <c r="IRP88" s="356"/>
      <c r="IRQ88" s="356"/>
      <c r="IRR88" s="356"/>
      <c r="IRS88" s="356"/>
      <c r="IRT88" s="356"/>
      <c r="IRU88" s="356"/>
      <c r="IRV88" s="356"/>
      <c r="IRW88" s="356"/>
      <c r="IRX88" s="356"/>
      <c r="IRY88" s="356"/>
      <c r="IRZ88" s="356"/>
      <c r="ISA88" s="356"/>
      <c r="ISB88" s="356"/>
      <c r="ISC88" s="356"/>
      <c r="ISD88" s="356"/>
      <c r="ISE88" s="356"/>
      <c r="ISF88" s="356"/>
      <c r="ISG88" s="356"/>
      <c r="ISH88" s="356"/>
      <c r="ISI88" s="356"/>
      <c r="ISJ88" s="356"/>
      <c r="ISK88" s="356"/>
      <c r="ISL88" s="356"/>
      <c r="ISM88" s="356"/>
      <c r="ISN88" s="356"/>
      <c r="ISO88" s="356"/>
      <c r="ISP88" s="356"/>
      <c r="ISQ88" s="356"/>
      <c r="ISR88" s="356"/>
      <c r="ISS88" s="356"/>
      <c r="IST88" s="356"/>
      <c r="ISU88" s="356"/>
      <c r="ISV88" s="356"/>
      <c r="ISW88" s="356"/>
      <c r="ISX88" s="356"/>
      <c r="ISY88" s="356"/>
      <c r="ISZ88" s="356"/>
      <c r="ITA88" s="356"/>
      <c r="ITB88" s="356"/>
      <c r="ITC88" s="356"/>
      <c r="ITD88" s="356"/>
      <c r="ITE88" s="356"/>
      <c r="ITF88" s="356"/>
      <c r="ITG88" s="356"/>
      <c r="ITH88" s="356"/>
      <c r="ITI88" s="356"/>
      <c r="ITJ88" s="356"/>
      <c r="ITK88" s="356"/>
      <c r="ITL88" s="356"/>
      <c r="ITM88" s="356"/>
      <c r="ITN88" s="356"/>
      <c r="ITO88" s="356"/>
      <c r="ITP88" s="356"/>
      <c r="ITQ88" s="356"/>
      <c r="ITR88" s="356"/>
      <c r="ITS88" s="356"/>
      <c r="ITT88" s="356"/>
      <c r="ITU88" s="356"/>
      <c r="ITV88" s="356"/>
      <c r="ITW88" s="356"/>
      <c r="ITX88" s="356"/>
      <c r="ITY88" s="356"/>
      <c r="ITZ88" s="356"/>
      <c r="IUA88" s="356"/>
      <c r="IUB88" s="356"/>
      <c r="IUC88" s="356"/>
      <c r="IUD88" s="356"/>
      <c r="IUE88" s="356"/>
      <c r="IUF88" s="356"/>
      <c r="IUG88" s="356"/>
      <c r="IUH88" s="356"/>
      <c r="IUI88" s="356"/>
      <c r="IUJ88" s="356"/>
      <c r="IUK88" s="356"/>
      <c r="IUL88" s="356"/>
      <c r="IUM88" s="356"/>
      <c r="IUN88" s="356"/>
      <c r="IUO88" s="356"/>
      <c r="IUP88" s="356"/>
      <c r="IUQ88" s="356"/>
      <c r="IUR88" s="356"/>
      <c r="IUS88" s="356"/>
      <c r="IUT88" s="356"/>
      <c r="IUU88" s="356"/>
      <c r="IUV88" s="356"/>
      <c r="IUW88" s="356"/>
      <c r="IUX88" s="356"/>
      <c r="IUY88" s="356"/>
      <c r="IUZ88" s="356"/>
      <c r="IVA88" s="356"/>
      <c r="IVB88" s="356"/>
      <c r="IVC88" s="356"/>
      <c r="IVD88" s="356"/>
      <c r="IVE88" s="356"/>
      <c r="IVF88" s="356"/>
      <c r="IVG88" s="356"/>
      <c r="IVH88" s="356"/>
      <c r="IVI88" s="356"/>
      <c r="IVJ88" s="356"/>
      <c r="IVK88" s="356"/>
      <c r="IVL88" s="356"/>
      <c r="IVM88" s="356"/>
      <c r="IVN88" s="356"/>
      <c r="IVO88" s="356"/>
      <c r="IVP88" s="356"/>
      <c r="IVQ88" s="356"/>
      <c r="IVR88" s="356"/>
      <c r="IVS88" s="356"/>
      <c r="IVT88" s="356"/>
      <c r="IVU88" s="356"/>
      <c r="IVV88" s="356"/>
      <c r="IVW88" s="356"/>
      <c r="IVX88" s="356"/>
      <c r="IVY88" s="356"/>
      <c r="IVZ88" s="356"/>
      <c r="IWA88" s="356"/>
      <c r="IWB88" s="356"/>
      <c r="IWC88" s="356"/>
      <c r="IWD88" s="356"/>
      <c r="IWE88" s="356"/>
      <c r="IWF88" s="356"/>
      <c r="IWG88" s="356"/>
      <c r="IWH88" s="356"/>
      <c r="IWI88" s="356"/>
      <c r="IWJ88" s="356"/>
      <c r="IWK88" s="356"/>
      <c r="IWL88" s="356"/>
      <c r="IWM88" s="356"/>
      <c r="IWN88" s="356"/>
      <c r="IWO88" s="356"/>
      <c r="IWP88" s="356"/>
      <c r="IWQ88" s="356"/>
      <c r="IWR88" s="356"/>
      <c r="IWS88" s="356"/>
      <c r="IWT88" s="356"/>
      <c r="IWU88" s="356"/>
      <c r="IWV88" s="356"/>
      <c r="IWW88" s="356"/>
      <c r="IWX88" s="356"/>
      <c r="IWY88" s="356"/>
      <c r="IWZ88" s="356"/>
      <c r="IXA88" s="356"/>
      <c r="IXB88" s="356"/>
      <c r="IXC88" s="356"/>
      <c r="IXD88" s="356"/>
      <c r="IXE88" s="356"/>
      <c r="IXF88" s="356"/>
      <c r="IXG88" s="356"/>
      <c r="IXH88" s="356"/>
      <c r="IXI88" s="356"/>
      <c r="IXJ88" s="356"/>
      <c r="IXK88" s="356"/>
      <c r="IXL88" s="356"/>
      <c r="IXM88" s="356"/>
      <c r="IXN88" s="356"/>
      <c r="IXO88" s="356"/>
      <c r="IXP88" s="356"/>
      <c r="IXQ88" s="356"/>
      <c r="IXR88" s="356"/>
      <c r="IXS88" s="356"/>
      <c r="IXT88" s="356"/>
      <c r="IXU88" s="356"/>
      <c r="IXV88" s="356"/>
      <c r="IXW88" s="356"/>
      <c r="IXX88" s="356"/>
      <c r="IXY88" s="356"/>
      <c r="IXZ88" s="356"/>
      <c r="IYA88" s="356"/>
      <c r="IYB88" s="356"/>
      <c r="IYC88" s="356"/>
      <c r="IYD88" s="356"/>
      <c r="IYE88" s="356"/>
      <c r="IYF88" s="356"/>
      <c r="IYG88" s="356"/>
      <c r="IYH88" s="356"/>
      <c r="IYI88" s="356"/>
      <c r="IYJ88" s="356"/>
      <c r="IYK88" s="356"/>
      <c r="IYL88" s="356"/>
      <c r="IYM88" s="356"/>
      <c r="IYN88" s="356"/>
      <c r="IYO88" s="356"/>
      <c r="IYP88" s="356"/>
      <c r="IYQ88" s="356"/>
      <c r="IYR88" s="356"/>
      <c r="IYS88" s="356"/>
      <c r="IYT88" s="356"/>
      <c r="IYU88" s="356"/>
      <c r="IYV88" s="356"/>
      <c r="IYW88" s="356"/>
      <c r="IYX88" s="356"/>
      <c r="IYY88" s="356"/>
      <c r="IYZ88" s="356"/>
      <c r="IZA88" s="356"/>
      <c r="IZB88" s="356"/>
      <c r="IZC88" s="356"/>
      <c r="IZD88" s="356"/>
      <c r="IZE88" s="356"/>
      <c r="IZF88" s="356"/>
      <c r="IZG88" s="356"/>
      <c r="IZH88" s="356"/>
      <c r="IZI88" s="356"/>
      <c r="IZJ88" s="356"/>
      <c r="IZK88" s="356"/>
      <c r="IZL88" s="356"/>
      <c r="IZM88" s="356"/>
      <c r="IZN88" s="356"/>
      <c r="IZO88" s="356"/>
      <c r="IZP88" s="356"/>
      <c r="IZQ88" s="356"/>
      <c r="IZR88" s="356"/>
      <c r="IZS88" s="356"/>
      <c r="IZT88" s="356"/>
      <c r="IZU88" s="356"/>
      <c r="IZV88" s="356"/>
      <c r="IZW88" s="356"/>
      <c r="IZX88" s="356"/>
      <c r="IZY88" s="356"/>
      <c r="IZZ88" s="356"/>
      <c r="JAA88" s="356"/>
      <c r="JAB88" s="356"/>
      <c r="JAC88" s="356"/>
      <c r="JAD88" s="356"/>
      <c r="JAE88" s="356"/>
      <c r="JAF88" s="356"/>
      <c r="JAG88" s="356"/>
      <c r="JAH88" s="356"/>
      <c r="JAI88" s="356"/>
      <c r="JAJ88" s="356"/>
      <c r="JAK88" s="356"/>
      <c r="JAL88" s="356"/>
      <c r="JAM88" s="356"/>
      <c r="JAN88" s="356"/>
      <c r="JAO88" s="356"/>
      <c r="JAP88" s="356"/>
      <c r="JAQ88" s="356"/>
      <c r="JAR88" s="356"/>
      <c r="JAS88" s="356"/>
      <c r="JAT88" s="356"/>
      <c r="JAU88" s="356"/>
      <c r="JAV88" s="356"/>
      <c r="JAW88" s="356"/>
      <c r="JAX88" s="356"/>
      <c r="JAY88" s="356"/>
      <c r="JAZ88" s="356"/>
      <c r="JBA88" s="356"/>
      <c r="JBB88" s="356"/>
      <c r="JBC88" s="356"/>
      <c r="JBD88" s="356"/>
      <c r="JBE88" s="356"/>
      <c r="JBF88" s="356"/>
      <c r="JBG88" s="356"/>
      <c r="JBH88" s="356"/>
      <c r="JBI88" s="356"/>
      <c r="JBJ88" s="356"/>
      <c r="JBK88" s="356"/>
      <c r="JBL88" s="356"/>
      <c r="JBM88" s="356"/>
      <c r="JBN88" s="356"/>
      <c r="JBO88" s="356"/>
      <c r="JBP88" s="356"/>
      <c r="JBQ88" s="356"/>
      <c r="JBR88" s="356"/>
      <c r="JBS88" s="356"/>
      <c r="JBT88" s="356"/>
      <c r="JBU88" s="356"/>
      <c r="JBV88" s="356"/>
      <c r="JBW88" s="356"/>
      <c r="JBX88" s="356"/>
      <c r="JBY88" s="356"/>
      <c r="JBZ88" s="356"/>
      <c r="JCA88" s="356"/>
      <c r="JCB88" s="356"/>
      <c r="JCC88" s="356"/>
      <c r="JCD88" s="356"/>
      <c r="JCE88" s="356"/>
      <c r="JCF88" s="356"/>
      <c r="JCG88" s="356"/>
      <c r="JCH88" s="356"/>
      <c r="JCI88" s="356"/>
      <c r="JCJ88" s="356"/>
      <c r="JCK88" s="356"/>
      <c r="JCL88" s="356"/>
      <c r="JCM88" s="356"/>
      <c r="JCN88" s="356"/>
      <c r="JCO88" s="356"/>
      <c r="JCP88" s="356"/>
      <c r="JCQ88" s="356"/>
      <c r="JCR88" s="356"/>
      <c r="JCS88" s="356"/>
      <c r="JCT88" s="356"/>
      <c r="JCU88" s="356"/>
      <c r="JCV88" s="356"/>
      <c r="JCW88" s="356"/>
      <c r="JCX88" s="356"/>
      <c r="JCY88" s="356"/>
      <c r="JCZ88" s="356"/>
      <c r="JDA88" s="356"/>
      <c r="JDB88" s="356"/>
      <c r="JDC88" s="356"/>
      <c r="JDD88" s="356"/>
      <c r="JDE88" s="356"/>
      <c r="JDF88" s="356"/>
      <c r="JDG88" s="356"/>
      <c r="JDH88" s="356"/>
      <c r="JDI88" s="356"/>
      <c r="JDJ88" s="356"/>
      <c r="JDK88" s="356"/>
      <c r="JDL88" s="356"/>
      <c r="JDM88" s="356"/>
      <c r="JDN88" s="356"/>
      <c r="JDO88" s="356"/>
      <c r="JDP88" s="356"/>
      <c r="JDQ88" s="356"/>
      <c r="JDR88" s="356"/>
      <c r="JDS88" s="356"/>
      <c r="JDT88" s="356"/>
      <c r="JDU88" s="356"/>
      <c r="JDV88" s="356"/>
      <c r="JDW88" s="356"/>
      <c r="JDX88" s="356"/>
      <c r="JDY88" s="356"/>
      <c r="JDZ88" s="356"/>
      <c r="JEA88" s="356"/>
      <c r="JEB88" s="356"/>
      <c r="JEC88" s="356"/>
      <c r="JED88" s="356"/>
      <c r="JEE88" s="356"/>
      <c r="JEF88" s="356"/>
      <c r="JEG88" s="356"/>
      <c r="JEH88" s="356"/>
      <c r="JEI88" s="356"/>
      <c r="JEJ88" s="356"/>
      <c r="JEK88" s="356"/>
      <c r="JEL88" s="356"/>
      <c r="JEM88" s="356"/>
      <c r="JEN88" s="356"/>
      <c r="JEO88" s="356"/>
      <c r="JEP88" s="356"/>
      <c r="JEQ88" s="356"/>
      <c r="JER88" s="356"/>
      <c r="JES88" s="356"/>
      <c r="JET88" s="356"/>
      <c r="JEU88" s="356"/>
      <c r="JEV88" s="356"/>
      <c r="JEW88" s="356"/>
      <c r="JEX88" s="356"/>
      <c r="JEY88" s="356"/>
      <c r="JEZ88" s="356"/>
      <c r="JFA88" s="356"/>
      <c r="JFB88" s="356"/>
      <c r="JFC88" s="356"/>
      <c r="JFD88" s="356"/>
      <c r="JFE88" s="356"/>
      <c r="JFF88" s="356"/>
      <c r="JFG88" s="356"/>
      <c r="JFH88" s="356"/>
      <c r="JFI88" s="356"/>
      <c r="JFJ88" s="356"/>
      <c r="JFK88" s="356"/>
      <c r="JFL88" s="356"/>
      <c r="JFM88" s="356"/>
      <c r="JFN88" s="356"/>
      <c r="JFO88" s="356"/>
      <c r="JFP88" s="356"/>
      <c r="JFQ88" s="356"/>
      <c r="JFR88" s="356"/>
      <c r="JFS88" s="356"/>
      <c r="JFT88" s="356"/>
      <c r="JFU88" s="356"/>
      <c r="JFV88" s="356"/>
      <c r="JFW88" s="356"/>
      <c r="JFX88" s="356"/>
      <c r="JFY88" s="356"/>
      <c r="JFZ88" s="356"/>
      <c r="JGA88" s="356"/>
      <c r="JGB88" s="356"/>
      <c r="JGC88" s="356"/>
      <c r="JGD88" s="356"/>
      <c r="JGE88" s="356"/>
      <c r="JGF88" s="356"/>
      <c r="JGG88" s="356"/>
      <c r="JGH88" s="356"/>
      <c r="JGI88" s="356"/>
      <c r="JGJ88" s="356"/>
      <c r="JGK88" s="356"/>
      <c r="JGL88" s="356"/>
      <c r="JGM88" s="356"/>
      <c r="JGN88" s="356"/>
      <c r="JGO88" s="356"/>
      <c r="JGP88" s="356"/>
      <c r="JGQ88" s="356"/>
      <c r="JGR88" s="356"/>
      <c r="JGS88" s="356"/>
      <c r="JGT88" s="356"/>
      <c r="JGU88" s="356"/>
      <c r="JGV88" s="356"/>
      <c r="JGW88" s="356"/>
      <c r="JGX88" s="356"/>
      <c r="JGY88" s="356"/>
      <c r="JGZ88" s="356"/>
      <c r="JHA88" s="356"/>
      <c r="JHB88" s="356"/>
      <c r="JHC88" s="356"/>
      <c r="JHD88" s="356"/>
      <c r="JHE88" s="356"/>
      <c r="JHF88" s="356"/>
      <c r="JHG88" s="356"/>
      <c r="JHH88" s="356"/>
      <c r="JHI88" s="356"/>
      <c r="JHJ88" s="356"/>
      <c r="JHK88" s="356"/>
      <c r="JHL88" s="356"/>
      <c r="JHM88" s="356"/>
      <c r="JHN88" s="356"/>
      <c r="JHO88" s="356"/>
      <c r="JHP88" s="356"/>
      <c r="JHQ88" s="356"/>
      <c r="JHR88" s="356"/>
      <c r="JHS88" s="356"/>
      <c r="JHT88" s="356"/>
      <c r="JHU88" s="356"/>
      <c r="JHV88" s="356"/>
      <c r="JHW88" s="356"/>
      <c r="JHX88" s="356"/>
      <c r="JHY88" s="356"/>
      <c r="JHZ88" s="356"/>
      <c r="JIA88" s="356"/>
      <c r="JIB88" s="356"/>
      <c r="JIC88" s="356"/>
      <c r="JID88" s="356"/>
      <c r="JIE88" s="356"/>
      <c r="JIF88" s="356"/>
      <c r="JIG88" s="356"/>
      <c r="JIH88" s="356"/>
      <c r="JII88" s="356"/>
      <c r="JIJ88" s="356"/>
      <c r="JIK88" s="356"/>
      <c r="JIL88" s="356"/>
      <c r="JIM88" s="356"/>
      <c r="JIN88" s="356"/>
      <c r="JIO88" s="356"/>
      <c r="JIP88" s="356"/>
      <c r="JIQ88" s="356"/>
      <c r="JIR88" s="356"/>
      <c r="JIS88" s="356"/>
      <c r="JIT88" s="356"/>
      <c r="JIU88" s="356"/>
      <c r="JIV88" s="356"/>
      <c r="JIW88" s="356"/>
      <c r="JIX88" s="356"/>
      <c r="JIY88" s="356"/>
      <c r="JIZ88" s="356"/>
      <c r="JJA88" s="356"/>
      <c r="JJB88" s="356"/>
      <c r="JJC88" s="356"/>
      <c r="JJD88" s="356"/>
      <c r="JJE88" s="356"/>
      <c r="JJF88" s="356"/>
      <c r="JJG88" s="356"/>
      <c r="JJH88" s="356"/>
      <c r="JJI88" s="356"/>
      <c r="JJJ88" s="356"/>
      <c r="JJK88" s="356"/>
      <c r="JJL88" s="356"/>
      <c r="JJM88" s="356"/>
      <c r="JJN88" s="356"/>
      <c r="JJO88" s="356"/>
      <c r="JJP88" s="356"/>
      <c r="JJQ88" s="356"/>
      <c r="JJR88" s="356"/>
      <c r="JJS88" s="356"/>
      <c r="JJT88" s="356"/>
      <c r="JJU88" s="356"/>
      <c r="JJV88" s="356"/>
      <c r="JJW88" s="356"/>
      <c r="JJX88" s="356"/>
      <c r="JJY88" s="356"/>
      <c r="JJZ88" s="356"/>
      <c r="JKA88" s="356"/>
      <c r="JKB88" s="356"/>
      <c r="JKC88" s="356"/>
      <c r="JKD88" s="356"/>
      <c r="JKE88" s="356"/>
      <c r="JKF88" s="356"/>
      <c r="JKG88" s="356"/>
      <c r="JKH88" s="356"/>
      <c r="JKI88" s="356"/>
      <c r="JKJ88" s="356"/>
      <c r="JKK88" s="356"/>
      <c r="JKL88" s="356"/>
      <c r="JKM88" s="356"/>
      <c r="JKN88" s="356"/>
      <c r="JKO88" s="356"/>
      <c r="JKP88" s="356"/>
      <c r="JKQ88" s="356"/>
      <c r="JKR88" s="356"/>
      <c r="JKS88" s="356"/>
      <c r="JKT88" s="356"/>
      <c r="JKU88" s="356"/>
      <c r="JKV88" s="356"/>
      <c r="JKW88" s="356"/>
      <c r="JKX88" s="356"/>
      <c r="JKY88" s="356"/>
      <c r="JKZ88" s="356"/>
      <c r="JLA88" s="356"/>
      <c r="JLB88" s="356"/>
      <c r="JLC88" s="356"/>
      <c r="JLD88" s="356"/>
      <c r="JLE88" s="356"/>
      <c r="JLF88" s="356"/>
      <c r="JLG88" s="356"/>
      <c r="JLH88" s="356"/>
      <c r="JLI88" s="356"/>
      <c r="JLJ88" s="356"/>
      <c r="JLK88" s="356"/>
      <c r="JLL88" s="356"/>
      <c r="JLM88" s="356"/>
      <c r="JLN88" s="356"/>
      <c r="JLO88" s="356"/>
      <c r="JLP88" s="356"/>
      <c r="JLQ88" s="356"/>
      <c r="JLR88" s="356"/>
      <c r="JLS88" s="356"/>
      <c r="JLT88" s="356"/>
      <c r="JLU88" s="356"/>
      <c r="JLV88" s="356"/>
      <c r="JLW88" s="356"/>
      <c r="JLX88" s="356"/>
      <c r="JLY88" s="356"/>
      <c r="JLZ88" s="356"/>
      <c r="JMA88" s="356"/>
      <c r="JMB88" s="356"/>
      <c r="JMC88" s="356"/>
      <c r="JMD88" s="356"/>
      <c r="JME88" s="356"/>
      <c r="JMF88" s="356"/>
      <c r="JMG88" s="356"/>
      <c r="JMH88" s="356"/>
      <c r="JMI88" s="356"/>
      <c r="JMJ88" s="356"/>
      <c r="JMK88" s="356"/>
      <c r="JML88" s="356"/>
      <c r="JMM88" s="356"/>
      <c r="JMN88" s="356"/>
      <c r="JMO88" s="356"/>
      <c r="JMP88" s="356"/>
      <c r="JMQ88" s="356"/>
      <c r="JMR88" s="356"/>
      <c r="JMS88" s="356"/>
      <c r="JMT88" s="356"/>
      <c r="JMU88" s="356"/>
      <c r="JMV88" s="356"/>
      <c r="JMW88" s="356"/>
      <c r="JMX88" s="356"/>
      <c r="JMY88" s="356"/>
      <c r="JMZ88" s="356"/>
      <c r="JNA88" s="356"/>
      <c r="JNB88" s="356"/>
      <c r="JNC88" s="356"/>
      <c r="JND88" s="356"/>
      <c r="JNE88" s="356"/>
      <c r="JNF88" s="356"/>
      <c r="JNG88" s="356"/>
      <c r="JNH88" s="356"/>
      <c r="JNI88" s="356"/>
      <c r="JNJ88" s="356"/>
      <c r="JNK88" s="356"/>
      <c r="JNL88" s="356"/>
      <c r="JNM88" s="356"/>
      <c r="JNN88" s="356"/>
      <c r="JNO88" s="356"/>
      <c r="JNP88" s="356"/>
      <c r="JNQ88" s="356"/>
      <c r="JNR88" s="356"/>
      <c r="JNS88" s="356"/>
      <c r="JNT88" s="356"/>
      <c r="JNU88" s="356"/>
      <c r="JNV88" s="356"/>
      <c r="JNW88" s="356"/>
      <c r="JNX88" s="356"/>
      <c r="JNY88" s="356"/>
      <c r="JNZ88" s="356"/>
      <c r="JOA88" s="356"/>
      <c r="JOB88" s="356"/>
      <c r="JOC88" s="356"/>
      <c r="JOD88" s="356"/>
      <c r="JOE88" s="356"/>
      <c r="JOF88" s="356"/>
      <c r="JOG88" s="356"/>
      <c r="JOH88" s="356"/>
      <c r="JOI88" s="356"/>
      <c r="JOJ88" s="356"/>
      <c r="JOK88" s="356"/>
      <c r="JOL88" s="356"/>
      <c r="JOM88" s="356"/>
      <c r="JON88" s="356"/>
      <c r="JOO88" s="356"/>
      <c r="JOP88" s="356"/>
      <c r="JOQ88" s="356"/>
      <c r="JOR88" s="356"/>
      <c r="JOS88" s="356"/>
      <c r="JOT88" s="356"/>
      <c r="JOU88" s="356"/>
      <c r="JOV88" s="356"/>
      <c r="JOW88" s="356"/>
      <c r="JOX88" s="356"/>
      <c r="JOY88" s="356"/>
      <c r="JOZ88" s="356"/>
      <c r="JPA88" s="356"/>
      <c r="JPB88" s="356"/>
      <c r="JPC88" s="356"/>
      <c r="JPD88" s="356"/>
      <c r="JPE88" s="356"/>
      <c r="JPF88" s="356"/>
      <c r="JPG88" s="356"/>
      <c r="JPH88" s="356"/>
      <c r="JPI88" s="356"/>
      <c r="JPJ88" s="356"/>
      <c r="JPK88" s="356"/>
      <c r="JPL88" s="356"/>
      <c r="JPM88" s="356"/>
      <c r="JPN88" s="356"/>
      <c r="JPO88" s="356"/>
      <c r="JPP88" s="356"/>
      <c r="JPQ88" s="356"/>
      <c r="JPR88" s="356"/>
      <c r="JPS88" s="356"/>
      <c r="JPT88" s="356"/>
      <c r="JPU88" s="356"/>
      <c r="JPV88" s="356"/>
      <c r="JPW88" s="356"/>
      <c r="JPX88" s="356"/>
      <c r="JPY88" s="356"/>
      <c r="JPZ88" s="356"/>
      <c r="JQA88" s="356"/>
      <c r="JQB88" s="356"/>
      <c r="JQC88" s="356"/>
      <c r="JQD88" s="356"/>
      <c r="JQE88" s="356"/>
      <c r="JQF88" s="356"/>
      <c r="JQG88" s="356"/>
      <c r="JQH88" s="356"/>
      <c r="JQI88" s="356"/>
      <c r="JQJ88" s="356"/>
      <c r="JQK88" s="356"/>
      <c r="JQL88" s="356"/>
      <c r="JQM88" s="356"/>
      <c r="JQN88" s="356"/>
      <c r="JQO88" s="356"/>
      <c r="JQP88" s="356"/>
      <c r="JQQ88" s="356"/>
      <c r="JQR88" s="356"/>
      <c r="JQS88" s="356"/>
      <c r="JQT88" s="356"/>
      <c r="JQU88" s="356"/>
      <c r="JQV88" s="356"/>
      <c r="JQW88" s="356"/>
      <c r="JQX88" s="356"/>
      <c r="JQY88" s="356"/>
      <c r="JQZ88" s="356"/>
      <c r="JRA88" s="356"/>
      <c r="JRB88" s="356"/>
      <c r="JRC88" s="356"/>
      <c r="JRD88" s="356"/>
      <c r="JRE88" s="356"/>
      <c r="JRF88" s="356"/>
      <c r="JRG88" s="356"/>
      <c r="JRH88" s="356"/>
      <c r="JRI88" s="356"/>
      <c r="JRJ88" s="356"/>
      <c r="JRK88" s="356"/>
      <c r="JRL88" s="356"/>
      <c r="JRM88" s="356"/>
      <c r="JRN88" s="356"/>
      <c r="JRO88" s="356"/>
      <c r="JRP88" s="356"/>
      <c r="JRQ88" s="356"/>
      <c r="JRR88" s="356"/>
      <c r="JRS88" s="356"/>
      <c r="JRT88" s="356"/>
      <c r="JRU88" s="356"/>
      <c r="JRV88" s="356"/>
      <c r="JRW88" s="356"/>
      <c r="JRX88" s="356"/>
      <c r="JRY88" s="356"/>
      <c r="JRZ88" s="356"/>
      <c r="JSA88" s="356"/>
      <c r="JSB88" s="356"/>
      <c r="JSC88" s="356"/>
      <c r="JSD88" s="356"/>
      <c r="JSE88" s="356"/>
      <c r="JSF88" s="356"/>
      <c r="JSG88" s="356"/>
      <c r="JSH88" s="356"/>
      <c r="JSI88" s="356"/>
      <c r="JSJ88" s="356"/>
      <c r="JSK88" s="356"/>
      <c r="JSL88" s="356"/>
      <c r="JSM88" s="356"/>
      <c r="JSN88" s="356"/>
      <c r="JSO88" s="356"/>
      <c r="JSP88" s="356"/>
      <c r="JSQ88" s="356"/>
      <c r="JSR88" s="356"/>
      <c r="JSS88" s="356"/>
      <c r="JST88" s="356"/>
      <c r="JSU88" s="356"/>
      <c r="JSV88" s="356"/>
      <c r="JSW88" s="356"/>
      <c r="JSX88" s="356"/>
      <c r="JSY88" s="356"/>
      <c r="JSZ88" s="356"/>
      <c r="JTA88" s="356"/>
      <c r="JTB88" s="356"/>
      <c r="JTC88" s="356"/>
      <c r="JTD88" s="356"/>
      <c r="JTE88" s="356"/>
      <c r="JTF88" s="356"/>
      <c r="JTG88" s="356"/>
      <c r="JTH88" s="356"/>
      <c r="JTI88" s="356"/>
      <c r="JTJ88" s="356"/>
      <c r="JTK88" s="356"/>
      <c r="JTL88" s="356"/>
      <c r="JTM88" s="356"/>
      <c r="JTN88" s="356"/>
      <c r="JTO88" s="356"/>
      <c r="JTP88" s="356"/>
      <c r="JTQ88" s="356"/>
      <c r="JTR88" s="356"/>
      <c r="JTS88" s="356"/>
      <c r="JTT88" s="356"/>
      <c r="JTU88" s="356"/>
      <c r="JTV88" s="356"/>
      <c r="JTW88" s="356"/>
      <c r="JTX88" s="356"/>
      <c r="JTY88" s="356"/>
      <c r="JTZ88" s="356"/>
      <c r="JUA88" s="356"/>
      <c r="JUB88" s="356"/>
      <c r="JUC88" s="356"/>
      <c r="JUD88" s="356"/>
      <c r="JUE88" s="356"/>
      <c r="JUF88" s="356"/>
      <c r="JUG88" s="356"/>
      <c r="JUH88" s="356"/>
      <c r="JUI88" s="356"/>
      <c r="JUJ88" s="356"/>
      <c r="JUK88" s="356"/>
      <c r="JUL88" s="356"/>
      <c r="JUM88" s="356"/>
      <c r="JUN88" s="356"/>
      <c r="JUO88" s="356"/>
      <c r="JUP88" s="356"/>
      <c r="JUQ88" s="356"/>
      <c r="JUR88" s="356"/>
      <c r="JUS88" s="356"/>
      <c r="JUT88" s="356"/>
      <c r="JUU88" s="356"/>
      <c r="JUV88" s="356"/>
      <c r="JUW88" s="356"/>
      <c r="JUX88" s="356"/>
      <c r="JUY88" s="356"/>
      <c r="JUZ88" s="356"/>
      <c r="JVA88" s="356"/>
      <c r="JVB88" s="356"/>
      <c r="JVC88" s="356"/>
      <c r="JVD88" s="356"/>
      <c r="JVE88" s="356"/>
      <c r="JVF88" s="356"/>
      <c r="JVG88" s="356"/>
      <c r="JVH88" s="356"/>
      <c r="JVI88" s="356"/>
      <c r="JVJ88" s="356"/>
      <c r="JVK88" s="356"/>
      <c r="JVL88" s="356"/>
      <c r="JVM88" s="356"/>
      <c r="JVN88" s="356"/>
      <c r="JVO88" s="356"/>
      <c r="JVP88" s="356"/>
      <c r="JVQ88" s="356"/>
      <c r="JVR88" s="356"/>
      <c r="JVS88" s="356"/>
      <c r="JVT88" s="356"/>
      <c r="JVU88" s="356"/>
      <c r="JVV88" s="356"/>
      <c r="JVW88" s="356"/>
      <c r="JVX88" s="356"/>
      <c r="JVY88" s="356"/>
      <c r="JVZ88" s="356"/>
      <c r="JWA88" s="356"/>
      <c r="JWB88" s="356"/>
      <c r="JWC88" s="356"/>
      <c r="JWD88" s="356"/>
      <c r="JWE88" s="356"/>
      <c r="JWF88" s="356"/>
      <c r="JWG88" s="356"/>
      <c r="JWH88" s="356"/>
      <c r="JWI88" s="356"/>
      <c r="JWJ88" s="356"/>
      <c r="JWK88" s="356"/>
      <c r="JWL88" s="356"/>
      <c r="JWM88" s="356"/>
      <c r="JWN88" s="356"/>
      <c r="JWO88" s="356"/>
      <c r="JWP88" s="356"/>
      <c r="JWQ88" s="356"/>
      <c r="JWR88" s="356"/>
      <c r="JWS88" s="356"/>
      <c r="JWT88" s="356"/>
      <c r="JWU88" s="356"/>
      <c r="JWV88" s="356"/>
      <c r="JWW88" s="356"/>
      <c r="JWX88" s="356"/>
      <c r="JWY88" s="356"/>
      <c r="JWZ88" s="356"/>
      <c r="JXA88" s="356"/>
      <c r="JXB88" s="356"/>
      <c r="JXC88" s="356"/>
      <c r="JXD88" s="356"/>
      <c r="JXE88" s="356"/>
      <c r="JXF88" s="356"/>
      <c r="JXG88" s="356"/>
      <c r="JXH88" s="356"/>
      <c r="JXI88" s="356"/>
      <c r="JXJ88" s="356"/>
      <c r="JXK88" s="356"/>
      <c r="JXL88" s="356"/>
      <c r="JXM88" s="356"/>
      <c r="JXN88" s="356"/>
      <c r="JXO88" s="356"/>
      <c r="JXP88" s="356"/>
      <c r="JXQ88" s="356"/>
      <c r="JXR88" s="356"/>
      <c r="JXS88" s="356"/>
      <c r="JXT88" s="356"/>
      <c r="JXU88" s="356"/>
      <c r="JXV88" s="356"/>
      <c r="JXW88" s="356"/>
      <c r="JXX88" s="356"/>
      <c r="JXY88" s="356"/>
      <c r="JXZ88" s="356"/>
      <c r="JYA88" s="356"/>
      <c r="JYB88" s="356"/>
      <c r="JYC88" s="356"/>
      <c r="JYD88" s="356"/>
      <c r="JYE88" s="356"/>
      <c r="JYF88" s="356"/>
      <c r="JYG88" s="356"/>
      <c r="JYH88" s="356"/>
      <c r="JYI88" s="356"/>
      <c r="JYJ88" s="356"/>
      <c r="JYK88" s="356"/>
      <c r="JYL88" s="356"/>
      <c r="JYM88" s="356"/>
      <c r="JYN88" s="356"/>
      <c r="JYO88" s="356"/>
      <c r="JYP88" s="356"/>
      <c r="JYQ88" s="356"/>
      <c r="JYR88" s="356"/>
      <c r="JYS88" s="356"/>
      <c r="JYT88" s="356"/>
      <c r="JYU88" s="356"/>
      <c r="JYV88" s="356"/>
      <c r="JYW88" s="356"/>
      <c r="JYX88" s="356"/>
      <c r="JYY88" s="356"/>
      <c r="JYZ88" s="356"/>
      <c r="JZA88" s="356"/>
      <c r="JZB88" s="356"/>
      <c r="JZC88" s="356"/>
      <c r="JZD88" s="356"/>
      <c r="JZE88" s="356"/>
      <c r="JZF88" s="356"/>
      <c r="JZG88" s="356"/>
      <c r="JZH88" s="356"/>
      <c r="JZI88" s="356"/>
      <c r="JZJ88" s="356"/>
      <c r="JZK88" s="356"/>
      <c r="JZL88" s="356"/>
      <c r="JZM88" s="356"/>
      <c r="JZN88" s="356"/>
      <c r="JZO88" s="356"/>
      <c r="JZP88" s="356"/>
      <c r="JZQ88" s="356"/>
      <c r="JZR88" s="356"/>
      <c r="JZS88" s="356"/>
      <c r="JZT88" s="356"/>
      <c r="JZU88" s="356"/>
      <c r="JZV88" s="356"/>
      <c r="JZW88" s="356"/>
      <c r="JZX88" s="356"/>
      <c r="JZY88" s="356"/>
      <c r="JZZ88" s="356"/>
      <c r="KAA88" s="356"/>
      <c r="KAB88" s="356"/>
      <c r="KAC88" s="356"/>
      <c r="KAD88" s="356"/>
      <c r="KAE88" s="356"/>
      <c r="KAF88" s="356"/>
      <c r="KAG88" s="356"/>
      <c r="KAH88" s="356"/>
      <c r="KAI88" s="356"/>
      <c r="KAJ88" s="356"/>
      <c r="KAK88" s="356"/>
      <c r="KAL88" s="356"/>
      <c r="KAM88" s="356"/>
      <c r="KAN88" s="356"/>
      <c r="KAO88" s="356"/>
      <c r="KAP88" s="356"/>
      <c r="KAQ88" s="356"/>
      <c r="KAR88" s="356"/>
      <c r="KAS88" s="356"/>
      <c r="KAT88" s="356"/>
      <c r="KAU88" s="356"/>
      <c r="KAV88" s="356"/>
      <c r="KAW88" s="356"/>
      <c r="KAX88" s="356"/>
      <c r="KAY88" s="356"/>
      <c r="KAZ88" s="356"/>
      <c r="KBA88" s="356"/>
      <c r="KBB88" s="356"/>
      <c r="KBC88" s="356"/>
      <c r="KBD88" s="356"/>
      <c r="KBE88" s="356"/>
      <c r="KBF88" s="356"/>
      <c r="KBG88" s="356"/>
      <c r="KBH88" s="356"/>
      <c r="KBI88" s="356"/>
      <c r="KBJ88" s="356"/>
      <c r="KBK88" s="356"/>
      <c r="KBL88" s="356"/>
      <c r="KBM88" s="356"/>
      <c r="KBN88" s="356"/>
      <c r="KBO88" s="356"/>
      <c r="KBP88" s="356"/>
      <c r="KBQ88" s="356"/>
      <c r="KBR88" s="356"/>
      <c r="KBS88" s="356"/>
      <c r="KBT88" s="356"/>
      <c r="KBU88" s="356"/>
      <c r="KBV88" s="356"/>
      <c r="KBW88" s="356"/>
      <c r="KBX88" s="356"/>
      <c r="KBY88" s="356"/>
      <c r="KBZ88" s="356"/>
      <c r="KCA88" s="356"/>
      <c r="KCB88" s="356"/>
      <c r="KCC88" s="356"/>
      <c r="KCD88" s="356"/>
      <c r="KCE88" s="356"/>
      <c r="KCF88" s="356"/>
      <c r="KCG88" s="356"/>
      <c r="KCH88" s="356"/>
      <c r="KCI88" s="356"/>
      <c r="KCJ88" s="356"/>
      <c r="KCK88" s="356"/>
      <c r="KCL88" s="356"/>
      <c r="KCM88" s="356"/>
      <c r="KCN88" s="356"/>
      <c r="KCO88" s="356"/>
      <c r="KCP88" s="356"/>
      <c r="KCQ88" s="356"/>
      <c r="KCR88" s="356"/>
      <c r="KCS88" s="356"/>
      <c r="KCT88" s="356"/>
      <c r="KCU88" s="356"/>
      <c r="KCV88" s="356"/>
      <c r="KCW88" s="356"/>
      <c r="KCX88" s="356"/>
      <c r="KCY88" s="356"/>
      <c r="KCZ88" s="356"/>
      <c r="KDA88" s="356"/>
      <c r="KDB88" s="356"/>
      <c r="KDC88" s="356"/>
      <c r="KDD88" s="356"/>
      <c r="KDE88" s="356"/>
      <c r="KDF88" s="356"/>
      <c r="KDG88" s="356"/>
      <c r="KDH88" s="356"/>
      <c r="KDI88" s="356"/>
      <c r="KDJ88" s="356"/>
      <c r="KDK88" s="356"/>
      <c r="KDL88" s="356"/>
      <c r="KDM88" s="356"/>
      <c r="KDN88" s="356"/>
      <c r="KDO88" s="356"/>
      <c r="KDP88" s="356"/>
      <c r="KDQ88" s="356"/>
      <c r="KDR88" s="356"/>
      <c r="KDS88" s="356"/>
      <c r="KDT88" s="356"/>
      <c r="KDU88" s="356"/>
      <c r="KDV88" s="356"/>
      <c r="KDW88" s="356"/>
      <c r="KDX88" s="356"/>
      <c r="KDY88" s="356"/>
      <c r="KDZ88" s="356"/>
      <c r="KEA88" s="356"/>
      <c r="KEB88" s="356"/>
      <c r="KEC88" s="356"/>
      <c r="KED88" s="356"/>
      <c r="KEE88" s="356"/>
      <c r="KEF88" s="356"/>
      <c r="KEG88" s="356"/>
      <c r="KEH88" s="356"/>
      <c r="KEI88" s="356"/>
      <c r="KEJ88" s="356"/>
      <c r="KEK88" s="356"/>
      <c r="KEL88" s="356"/>
      <c r="KEM88" s="356"/>
      <c r="KEN88" s="356"/>
      <c r="KEO88" s="356"/>
      <c r="KEP88" s="356"/>
      <c r="KEQ88" s="356"/>
      <c r="KER88" s="356"/>
      <c r="KES88" s="356"/>
      <c r="KET88" s="356"/>
      <c r="KEU88" s="356"/>
      <c r="KEV88" s="356"/>
      <c r="KEW88" s="356"/>
      <c r="KEX88" s="356"/>
      <c r="KEY88" s="356"/>
      <c r="KEZ88" s="356"/>
      <c r="KFA88" s="356"/>
      <c r="KFB88" s="356"/>
      <c r="KFC88" s="356"/>
      <c r="KFD88" s="356"/>
      <c r="KFE88" s="356"/>
      <c r="KFF88" s="356"/>
      <c r="KFG88" s="356"/>
      <c r="KFH88" s="356"/>
      <c r="KFI88" s="356"/>
      <c r="KFJ88" s="356"/>
      <c r="KFK88" s="356"/>
      <c r="KFL88" s="356"/>
      <c r="KFM88" s="356"/>
      <c r="KFN88" s="356"/>
      <c r="KFO88" s="356"/>
      <c r="KFP88" s="356"/>
      <c r="KFQ88" s="356"/>
      <c r="KFR88" s="356"/>
      <c r="KFS88" s="356"/>
      <c r="KFT88" s="356"/>
      <c r="KFU88" s="356"/>
      <c r="KFV88" s="356"/>
      <c r="KFW88" s="356"/>
      <c r="KFX88" s="356"/>
      <c r="KFY88" s="356"/>
      <c r="KFZ88" s="356"/>
      <c r="KGA88" s="356"/>
      <c r="KGB88" s="356"/>
      <c r="KGC88" s="356"/>
      <c r="KGD88" s="356"/>
      <c r="KGE88" s="356"/>
      <c r="KGF88" s="356"/>
      <c r="KGG88" s="356"/>
      <c r="KGH88" s="356"/>
      <c r="KGI88" s="356"/>
      <c r="KGJ88" s="356"/>
      <c r="KGK88" s="356"/>
      <c r="KGL88" s="356"/>
      <c r="KGM88" s="356"/>
      <c r="KGN88" s="356"/>
      <c r="KGO88" s="356"/>
      <c r="KGP88" s="356"/>
      <c r="KGQ88" s="356"/>
      <c r="KGR88" s="356"/>
      <c r="KGS88" s="356"/>
      <c r="KGT88" s="356"/>
      <c r="KGU88" s="356"/>
      <c r="KGV88" s="356"/>
      <c r="KGW88" s="356"/>
      <c r="KGX88" s="356"/>
      <c r="KGY88" s="356"/>
      <c r="KGZ88" s="356"/>
      <c r="KHA88" s="356"/>
      <c r="KHB88" s="356"/>
      <c r="KHC88" s="356"/>
      <c r="KHD88" s="356"/>
      <c r="KHE88" s="356"/>
      <c r="KHF88" s="356"/>
      <c r="KHG88" s="356"/>
      <c r="KHH88" s="356"/>
      <c r="KHI88" s="356"/>
      <c r="KHJ88" s="356"/>
      <c r="KHK88" s="356"/>
      <c r="KHL88" s="356"/>
      <c r="KHM88" s="356"/>
      <c r="KHN88" s="356"/>
      <c r="KHO88" s="356"/>
      <c r="KHP88" s="356"/>
      <c r="KHQ88" s="356"/>
      <c r="KHR88" s="356"/>
      <c r="KHS88" s="356"/>
      <c r="KHT88" s="356"/>
      <c r="KHU88" s="356"/>
      <c r="KHV88" s="356"/>
      <c r="KHW88" s="356"/>
      <c r="KHX88" s="356"/>
      <c r="KHY88" s="356"/>
      <c r="KHZ88" s="356"/>
      <c r="KIA88" s="356"/>
      <c r="KIB88" s="356"/>
      <c r="KIC88" s="356"/>
      <c r="KID88" s="356"/>
      <c r="KIE88" s="356"/>
      <c r="KIF88" s="356"/>
      <c r="KIG88" s="356"/>
      <c r="KIH88" s="356"/>
      <c r="KII88" s="356"/>
      <c r="KIJ88" s="356"/>
      <c r="KIK88" s="356"/>
      <c r="KIL88" s="356"/>
      <c r="KIM88" s="356"/>
      <c r="KIN88" s="356"/>
      <c r="KIO88" s="356"/>
      <c r="KIP88" s="356"/>
      <c r="KIQ88" s="356"/>
      <c r="KIR88" s="356"/>
      <c r="KIS88" s="356"/>
      <c r="KIT88" s="356"/>
      <c r="KIU88" s="356"/>
      <c r="KIV88" s="356"/>
      <c r="KIW88" s="356"/>
      <c r="KIX88" s="356"/>
      <c r="KIY88" s="356"/>
      <c r="KIZ88" s="356"/>
      <c r="KJA88" s="356"/>
      <c r="KJB88" s="356"/>
      <c r="KJC88" s="356"/>
      <c r="KJD88" s="356"/>
      <c r="KJE88" s="356"/>
      <c r="KJF88" s="356"/>
      <c r="KJG88" s="356"/>
      <c r="KJH88" s="356"/>
      <c r="KJI88" s="356"/>
      <c r="KJJ88" s="356"/>
      <c r="KJK88" s="356"/>
      <c r="KJL88" s="356"/>
      <c r="KJM88" s="356"/>
      <c r="KJN88" s="356"/>
      <c r="KJO88" s="356"/>
      <c r="KJP88" s="356"/>
      <c r="KJQ88" s="356"/>
      <c r="KJR88" s="356"/>
      <c r="KJS88" s="356"/>
      <c r="KJT88" s="356"/>
      <c r="KJU88" s="356"/>
      <c r="KJV88" s="356"/>
      <c r="KJW88" s="356"/>
      <c r="KJX88" s="356"/>
      <c r="KJY88" s="356"/>
      <c r="KJZ88" s="356"/>
      <c r="KKA88" s="356"/>
      <c r="KKB88" s="356"/>
      <c r="KKC88" s="356"/>
      <c r="KKD88" s="356"/>
      <c r="KKE88" s="356"/>
      <c r="KKF88" s="356"/>
      <c r="KKG88" s="356"/>
      <c r="KKH88" s="356"/>
      <c r="KKI88" s="356"/>
      <c r="KKJ88" s="356"/>
      <c r="KKK88" s="356"/>
      <c r="KKL88" s="356"/>
      <c r="KKM88" s="356"/>
      <c r="KKN88" s="356"/>
      <c r="KKO88" s="356"/>
      <c r="KKP88" s="356"/>
      <c r="KKQ88" s="356"/>
      <c r="KKR88" s="356"/>
      <c r="KKS88" s="356"/>
      <c r="KKT88" s="356"/>
      <c r="KKU88" s="356"/>
      <c r="KKV88" s="356"/>
      <c r="KKW88" s="356"/>
      <c r="KKX88" s="356"/>
      <c r="KKY88" s="356"/>
      <c r="KKZ88" s="356"/>
      <c r="KLA88" s="356"/>
      <c r="KLB88" s="356"/>
      <c r="KLC88" s="356"/>
      <c r="KLD88" s="356"/>
      <c r="KLE88" s="356"/>
      <c r="KLF88" s="356"/>
      <c r="KLG88" s="356"/>
      <c r="KLH88" s="356"/>
      <c r="KLI88" s="356"/>
      <c r="KLJ88" s="356"/>
      <c r="KLK88" s="356"/>
      <c r="KLL88" s="356"/>
      <c r="KLM88" s="356"/>
      <c r="KLN88" s="356"/>
      <c r="KLO88" s="356"/>
      <c r="KLP88" s="356"/>
      <c r="KLQ88" s="356"/>
      <c r="KLR88" s="356"/>
      <c r="KLS88" s="356"/>
      <c r="KLT88" s="356"/>
      <c r="KLU88" s="356"/>
      <c r="KLV88" s="356"/>
      <c r="KLW88" s="356"/>
      <c r="KLX88" s="356"/>
      <c r="KLY88" s="356"/>
      <c r="KLZ88" s="356"/>
      <c r="KMA88" s="356"/>
      <c r="KMB88" s="356"/>
      <c r="KMC88" s="356"/>
      <c r="KMD88" s="356"/>
      <c r="KME88" s="356"/>
      <c r="KMF88" s="356"/>
      <c r="KMG88" s="356"/>
      <c r="KMH88" s="356"/>
      <c r="KMI88" s="356"/>
      <c r="KMJ88" s="356"/>
      <c r="KMK88" s="356"/>
      <c r="KML88" s="356"/>
      <c r="KMM88" s="356"/>
      <c r="KMN88" s="356"/>
      <c r="KMO88" s="356"/>
      <c r="KMP88" s="356"/>
      <c r="KMQ88" s="356"/>
      <c r="KMR88" s="356"/>
      <c r="KMS88" s="356"/>
      <c r="KMT88" s="356"/>
      <c r="KMU88" s="356"/>
      <c r="KMV88" s="356"/>
      <c r="KMW88" s="356"/>
      <c r="KMX88" s="356"/>
      <c r="KMY88" s="356"/>
      <c r="KMZ88" s="356"/>
      <c r="KNA88" s="356"/>
      <c r="KNB88" s="356"/>
      <c r="KNC88" s="356"/>
      <c r="KND88" s="356"/>
      <c r="KNE88" s="356"/>
      <c r="KNF88" s="356"/>
      <c r="KNG88" s="356"/>
      <c r="KNH88" s="356"/>
      <c r="KNI88" s="356"/>
      <c r="KNJ88" s="356"/>
      <c r="KNK88" s="356"/>
      <c r="KNL88" s="356"/>
      <c r="KNM88" s="356"/>
      <c r="KNN88" s="356"/>
      <c r="KNO88" s="356"/>
      <c r="KNP88" s="356"/>
      <c r="KNQ88" s="356"/>
      <c r="KNR88" s="356"/>
      <c r="KNS88" s="356"/>
      <c r="KNT88" s="356"/>
      <c r="KNU88" s="356"/>
      <c r="KNV88" s="356"/>
      <c r="KNW88" s="356"/>
      <c r="KNX88" s="356"/>
      <c r="KNY88" s="356"/>
      <c r="KNZ88" s="356"/>
      <c r="KOA88" s="356"/>
      <c r="KOB88" s="356"/>
      <c r="KOC88" s="356"/>
      <c r="KOD88" s="356"/>
      <c r="KOE88" s="356"/>
      <c r="KOF88" s="356"/>
      <c r="KOG88" s="356"/>
      <c r="KOH88" s="356"/>
      <c r="KOI88" s="356"/>
      <c r="KOJ88" s="356"/>
      <c r="KOK88" s="356"/>
      <c r="KOL88" s="356"/>
      <c r="KOM88" s="356"/>
      <c r="KON88" s="356"/>
      <c r="KOO88" s="356"/>
      <c r="KOP88" s="356"/>
      <c r="KOQ88" s="356"/>
      <c r="KOR88" s="356"/>
      <c r="KOS88" s="356"/>
      <c r="KOT88" s="356"/>
      <c r="KOU88" s="356"/>
      <c r="KOV88" s="356"/>
      <c r="KOW88" s="356"/>
      <c r="KOX88" s="356"/>
      <c r="KOY88" s="356"/>
      <c r="KOZ88" s="356"/>
      <c r="KPA88" s="356"/>
      <c r="KPB88" s="356"/>
      <c r="KPC88" s="356"/>
      <c r="KPD88" s="356"/>
      <c r="KPE88" s="356"/>
      <c r="KPF88" s="356"/>
      <c r="KPG88" s="356"/>
      <c r="KPH88" s="356"/>
      <c r="KPI88" s="356"/>
      <c r="KPJ88" s="356"/>
      <c r="KPK88" s="356"/>
      <c r="KPL88" s="356"/>
      <c r="KPM88" s="356"/>
      <c r="KPN88" s="356"/>
      <c r="KPO88" s="356"/>
      <c r="KPP88" s="356"/>
      <c r="KPQ88" s="356"/>
      <c r="KPR88" s="356"/>
      <c r="KPS88" s="356"/>
      <c r="KPT88" s="356"/>
      <c r="KPU88" s="356"/>
      <c r="KPV88" s="356"/>
      <c r="KPW88" s="356"/>
      <c r="KPX88" s="356"/>
      <c r="KPY88" s="356"/>
      <c r="KPZ88" s="356"/>
      <c r="KQA88" s="356"/>
      <c r="KQB88" s="356"/>
      <c r="KQC88" s="356"/>
      <c r="KQD88" s="356"/>
      <c r="KQE88" s="356"/>
      <c r="KQF88" s="356"/>
      <c r="KQG88" s="356"/>
      <c r="KQH88" s="356"/>
      <c r="KQI88" s="356"/>
      <c r="KQJ88" s="356"/>
      <c r="KQK88" s="356"/>
      <c r="KQL88" s="356"/>
      <c r="KQM88" s="356"/>
      <c r="KQN88" s="356"/>
      <c r="KQO88" s="356"/>
      <c r="KQP88" s="356"/>
      <c r="KQQ88" s="356"/>
      <c r="KQR88" s="356"/>
      <c r="KQS88" s="356"/>
      <c r="KQT88" s="356"/>
      <c r="KQU88" s="356"/>
      <c r="KQV88" s="356"/>
      <c r="KQW88" s="356"/>
      <c r="KQX88" s="356"/>
      <c r="KQY88" s="356"/>
      <c r="KQZ88" s="356"/>
      <c r="KRA88" s="356"/>
      <c r="KRB88" s="356"/>
      <c r="KRC88" s="356"/>
      <c r="KRD88" s="356"/>
      <c r="KRE88" s="356"/>
      <c r="KRF88" s="356"/>
      <c r="KRG88" s="356"/>
      <c r="KRH88" s="356"/>
      <c r="KRI88" s="356"/>
      <c r="KRJ88" s="356"/>
      <c r="KRK88" s="356"/>
      <c r="KRL88" s="356"/>
      <c r="KRM88" s="356"/>
      <c r="KRN88" s="356"/>
      <c r="KRO88" s="356"/>
      <c r="KRP88" s="356"/>
      <c r="KRQ88" s="356"/>
      <c r="KRR88" s="356"/>
      <c r="KRS88" s="356"/>
      <c r="KRT88" s="356"/>
      <c r="KRU88" s="356"/>
      <c r="KRV88" s="356"/>
      <c r="KRW88" s="356"/>
      <c r="KRX88" s="356"/>
      <c r="KRY88" s="356"/>
      <c r="KRZ88" s="356"/>
      <c r="KSA88" s="356"/>
      <c r="KSB88" s="356"/>
      <c r="KSC88" s="356"/>
      <c r="KSD88" s="356"/>
      <c r="KSE88" s="356"/>
      <c r="KSF88" s="356"/>
      <c r="KSG88" s="356"/>
      <c r="KSH88" s="356"/>
      <c r="KSI88" s="356"/>
      <c r="KSJ88" s="356"/>
      <c r="KSK88" s="356"/>
      <c r="KSL88" s="356"/>
      <c r="KSM88" s="356"/>
      <c r="KSN88" s="356"/>
      <c r="KSO88" s="356"/>
      <c r="KSP88" s="356"/>
      <c r="KSQ88" s="356"/>
      <c r="KSR88" s="356"/>
      <c r="KSS88" s="356"/>
      <c r="KST88" s="356"/>
      <c r="KSU88" s="356"/>
      <c r="KSV88" s="356"/>
      <c r="KSW88" s="356"/>
      <c r="KSX88" s="356"/>
      <c r="KSY88" s="356"/>
      <c r="KSZ88" s="356"/>
      <c r="KTA88" s="356"/>
      <c r="KTB88" s="356"/>
      <c r="KTC88" s="356"/>
      <c r="KTD88" s="356"/>
      <c r="KTE88" s="356"/>
      <c r="KTF88" s="356"/>
      <c r="KTG88" s="356"/>
      <c r="KTH88" s="356"/>
      <c r="KTI88" s="356"/>
      <c r="KTJ88" s="356"/>
      <c r="KTK88" s="356"/>
      <c r="KTL88" s="356"/>
      <c r="KTM88" s="356"/>
      <c r="KTN88" s="356"/>
      <c r="KTO88" s="356"/>
      <c r="KTP88" s="356"/>
      <c r="KTQ88" s="356"/>
      <c r="KTR88" s="356"/>
      <c r="KTS88" s="356"/>
      <c r="KTT88" s="356"/>
      <c r="KTU88" s="356"/>
      <c r="KTV88" s="356"/>
      <c r="KTW88" s="356"/>
      <c r="KTX88" s="356"/>
      <c r="KTY88" s="356"/>
      <c r="KTZ88" s="356"/>
      <c r="KUA88" s="356"/>
      <c r="KUB88" s="356"/>
      <c r="KUC88" s="356"/>
      <c r="KUD88" s="356"/>
      <c r="KUE88" s="356"/>
      <c r="KUF88" s="356"/>
      <c r="KUG88" s="356"/>
      <c r="KUH88" s="356"/>
      <c r="KUI88" s="356"/>
      <c r="KUJ88" s="356"/>
      <c r="KUK88" s="356"/>
      <c r="KUL88" s="356"/>
      <c r="KUM88" s="356"/>
      <c r="KUN88" s="356"/>
      <c r="KUO88" s="356"/>
      <c r="KUP88" s="356"/>
      <c r="KUQ88" s="356"/>
      <c r="KUR88" s="356"/>
      <c r="KUS88" s="356"/>
      <c r="KUT88" s="356"/>
      <c r="KUU88" s="356"/>
      <c r="KUV88" s="356"/>
      <c r="KUW88" s="356"/>
      <c r="KUX88" s="356"/>
      <c r="KUY88" s="356"/>
      <c r="KUZ88" s="356"/>
      <c r="KVA88" s="356"/>
      <c r="KVB88" s="356"/>
      <c r="KVC88" s="356"/>
      <c r="KVD88" s="356"/>
      <c r="KVE88" s="356"/>
      <c r="KVF88" s="356"/>
      <c r="KVG88" s="356"/>
      <c r="KVH88" s="356"/>
      <c r="KVI88" s="356"/>
      <c r="KVJ88" s="356"/>
      <c r="KVK88" s="356"/>
      <c r="KVL88" s="356"/>
      <c r="KVM88" s="356"/>
      <c r="KVN88" s="356"/>
      <c r="KVO88" s="356"/>
      <c r="KVP88" s="356"/>
      <c r="KVQ88" s="356"/>
      <c r="KVR88" s="356"/>
      <c r="KVS88" s="356"/>
      <c r="KVT88" s="356"/>
      <c r="KVU88" s="356"/>
      <c r="KVV88" s="356"/>
      <c r="KVW88" s="356"/>
      <c r="KVX88" s="356"/>
      <c r="KVY88" s="356"/>
      <c r="KVZ88" s="356"/>
      <c r="KWA88" s="356"/>
      <c r="KWB88" s="356"/>
      <c r="KWC88" s="356"/>
      <c r="KWD88" s="356"/>
      <c r="KWE88" s="356"/>
      <c r="KWF88" s="356"/>
      <c r="KWG88" s="356"/>
      <c r="KWH88" s="356"/>
      <c r="KWI88" s="356"/>
      <c r="KWJ88" s="356"/>
      <c r="KWK88" s="356"/>
      <c r="KWL88" s="356"/>
      <c r="KWM88" s="356"/>
      <c r="KWN88" s="356"/>
      <c r="KWO88" s="356"/>
      <c r="KWP88" s="356"/>
      <c r="KWQ88" s="356"/>
      <c r="KWR88" s="356"/>
      <c r="KWS88" s="356"/>
      <c r="KWT88" s="356"/>
      <c r="KWU88" s="356"/>
      <c r="KWV88" s="356"/>
      <c r="KWW88" s="356"/>
      <c r="KWX88" s="356"/>
      <c r="KWY88" s="356"/>
      <c r="KWZ88" s="356"/>
      <c r="KXA88" s="356"/>
      <c r="KXB88" s="356"/>
      <c r="KXC88" s="356"/>
      <c r="KXD88" s="356"/>
      <c r="KXE88" s="356"/>
      <c r="KXF88" s="356"/>
      <c r="KXG88" s="356"/>
      <c r="KXH88" s="356"/>
      <c r="KXI88" s="356"/>
      <c r="KXJ88" s="356"/>
      <c r="KXK88" s="356"/>
      <c r="KXL88" s="356"/>
      <c r="KXM88" s="356"/>
      <c r="KXN88" s="356"/>
      <c r="KXO88" s="356"/>
      <c r="KXP88" s="356"/>
      <c r="KXQ88" s="356"/>
      <c r="KXR88" s="356"/>
      <c r="KXS88" s="356"/>
      <c r="KXT88" s="356"/>
      <c r="KXU88" s="356"/>
      <c r="KXV88" s="356"/>
      <c r="KXW88" s="356"/>
      <c r="KXX88" s="356"/>
      <c r="KXY88" s="356"/>
      <c r="KXZ88" s="356"/>
      <c r="KYA88" s="356"/>
      <c r="KYB88" s="356"/>
      <c r="KYC88" s="356"/>
      <c r="KYD88" s="356"/>
      <c r="KYE88" s="356"/>
      <c r="KYF88" s="356"/>
      <c r="KYG88" s="356"/>
      <c r="KYH88" s="356"/>
      <c r="KYI88" s="356"/>
      <c r="KYJ88" s="356"/>
      <c r="KYK88" s="356"/>
      <c r="KYL88" s="356"/>
      <c r="KYM88" s="356"/>
      <c r="KYN88" s="356"/>
      <c r="KYO88" s="356"/>
      <c r="KYP88" s="356"/>
      <c r="KYQ88" s="356"/>
      <c r="KYR88" s="356"/>
      <c r="KYS88" s="356"/>
      <c r="KYT88" s="356"/>
      <c r="KYU88" s="356"/>
      <c r="KYV88" s="356"/>
      <c r="KYW88" s="356"/>
      <c r="KYX88" s="356"/>
      <c r="KYY88" s="356"/>
      <c r="KYZ88" s="356"/>
      <c r="KZA88" s="356"/>
      <c r="KZB88" s="356"/>
      <c r="KZC88" s="356"/>
      <c r="KZD88" s="356"/>
      <c r="KZE88" s="356"/>
      <c r="KZF88" s="356"/>
      <c r="KZG88" s="356"/>
      <c r="KZH88" s="356"/>
      <c r="KZI88" s="356"/>
      <c r="KZJ88" s="356"/>
      <c r="KZK88" s="356"/>
      <c r="KZL88" s="356"/>
      <c r="KZM88" s="356"/>
      <c r="KZN88" s="356"/>
      <c r="KZO88" s="356"/>
      <c r="KZP88" s="356"/>
      <c r="KZQ88" s="356"/>
      <c r="KZR88" s="356"/>
      <c r="KZS88" s="356"/>
      <c r="KZT88" s="356"/>
      <c r="KZU88" s="356"/>
      <c r="KZV88" s="356"/>
      <c r="KZW88" s="356"/>
      <c r="KZX88" s="356"/>
      <c r="KZY88" s="356"/>
      <c r="KZZ88" s="356"/>
      <c r="LAA88" s="356"/>
      <c r="LAB88" s="356"/>
      <c r="LAC88" s="356"/>
      <c r="LAD88" s="356"/>
      <c r="LAE88" s="356"/>
      <c r="LAF88" s="356"/>
      <c r="LAG88" s="356"/>
      <c r="LAH88" s="356"/>
      <c r="LAI88" s="356"/>
      <c r="LAJ88" s="356"/>
      <c r="LAK88" s="356"/>
      <c r="LAL88" s="356"/>
      <c r="LAM88" s="356"/>
      <c r="LAN88" s="356"/>
      <c r="LAO88" s="356"/>
      <c r="LAP88" s="356"/>
      <c r="LAQ88" s="356"/>
      <c r="LAR88" s="356"/>
      <c r="LAS88" s="356"/>
      <c r="LAT88" s="356"/>
      <c r="LAU88" s="356"/>
      <c r="LAV88" s="356"/>
      <c r="LAW88" s="356"/>
      <c r="LAX88" s="356"/>
      <c r="LAY88" s="356"/>
      <c r="LAZ88" s="356"/>
      <c r="LBA88" s="356"/>
      <c r="LBB88" s="356"/>
      <c r="LBC88" s="356"/>
      <c r="LBD88" s="356"/>
      <c r="LBE88" s="356"/>
      <c r="LBF88" s="356"/>
      <c r="LBG88" s="356"/>
      <c r="LBH88" s="356"/>
      <c r="LBI88" s="356"/>
      <c r="LBJ88" s="356"/>
      <c r="LBK88" s="356"/>
      <c r="LBL88" s="356"/>
      <c r="LBM88" s="356"/>
      <c r="LBN88" s="356"/>
      <c r="LBO88" s="356"/>
      <c r="LBP88" s="356"/>
      <c r="LBQ88" s="356"/>
      <c r="LBR88" s="356"/>
      <c r="LBS88" s="356"/>
      <c r="LBT88" s="356"/>
      <c r="LBU88" s="356"/>
      <c r="LBV88" s="356"/>
      <c r="LBW88" s="356"/>
      <c r="LBX88" s="356"/>
      <c r="LBY88" s="356"/>
      <c r="LBZ88" s="356"/>
      <c r="LCA88" s="356"/>
      <c r="LCB88" s="356"/>
      <c r="LCC88" s="356"/>
      <c r="LCD88" s="356"/>
      <c r="LCE88" s="356"/>
      <c r="LCF88" s="356"/>
      <c r="LCG88" s="356"/>
      <c r="LCH88" s="356"/>
      <c r="LCI88" s="356"/>
      <c r="LCJ88" s="356"/>
      <c r="LCK88" s="356"/>
      <c r="LCL88" s="356"/>
      <c r="LCM88" s="356"/>
      <c r="LCN88" s="356"/>
      <c r="LCO88" s="356"/>
      <c r="LCP88" s="356"/>
      <c r="LCQ88" s="356"/>
      <c r="LCR88" s="356"/>
      <c r="LCS88" s="356"/>
      <c r="LCT88" s="356"/>
      <c r="LCU88" s="356"/>
      <c r="LCV88" s="356"/>
      <c r="LCW88" s="356"/>
      <c r="LCX88" s="356"/>
      <c r="LCY88" s="356"/>
      <c r="LCZ88" s="356"/>
      <c r="LDA88" s="356"/>
      <c r="LDB88" s="356"/>
      <c r="LDC88" s="356"/>
      <c r="LDD88" s="356"/>
      <c r="LDE88" s="356"/>
      <c r="LDF88" s="356"/>
      <c r="LDG88" s="356"/>
      <c r="LDH88" s="356"/>
      <c r="LDI88" s="356"/>
      <c r="LDJ88" s="356"/>
      <c r="LDK88" s="356"/>
      <c r="LDL88" s="356"/>
      <c r="LDM88" s="356"/>
      <c r="LDN88" s="356"/>
      <c r="LDO88" s="356"/>
      <c r="LDP88" s="356"/>
      <c r="LDQ88" s="356"/>
      <c r="LDR88" s="356"/>
      <c r="LDS88" s="356"/>
      <c r="LDT88" s="356"/>
      <c r="LDU88" s="356"/>
      <c r="LDV88" s="356"/>
      <c r="LDW88" s="356"/>
      <c r="LDX88" s="356"/>
      <c r="LDY88" s="356"/>
      <c r="LDZ88" s="356"/>
      <c r="LEA88" s="356"/>
      <c r="LEB88" s="356"/>
      <c r="LEC88" s="356"/>
      <c r="LED88" s="356"/>
      <c r="LEE88" s="356"/>
      <c r="LEF88" s="356"/>
      <c r="LEG88" s="356"/>
      <c r="LEH88" s="356"/>
      <c r="LEI88" s="356"/>
      <c r="LEJ88" s="356"/>
      <c r="LEK88" s="356"/>
      <c r="LEL88" s="356"/>
      <c r="LEM88" s="356"/>
      <c r="LEN88" s="356"/>
      <c r="LEO88" s="356"/>
      <c r="LEP88" s="356"/>
      <c r="LEQ88" s="356"/>
      <c r="LER88" s="356"/>
      <c r="LES88" s="356"/>
      <c r="LET88" s="356"/>
      <c r="LEU88" s="356"/>
      <c r="LEV88" s="356"/>
      <c r="LEW88" s="356"/>
      <c r="LEX88" s="356"/>
      <c r="LEY88" s="356"/>
      <c r="LEZ88" s="356"/>
      <c r="LFA88" s="356"/>
      <c r="LFB88" s="356"/>
      <c r="LFC88" s="356"/>
      <c r="LFD88" s="356"/>
      <c r="LFE88" s="356"/>
      <c r="LFF88" s="356"/>
      <c r="LFG88" s="356"/>
      <c r="LFH88" s="356"/>
      <c r="LFI88" s="356"/>
      <c r="LFJ88" s="356"/>
      <c r="LFK88" s="356"/>
      <c r="LFL88" s="356"/>
      <c r="LFM88" s="356"/>
      <c r="LFN88" s="356"/>
      <c r="LFO88" s="356"/>
      <c r="LFP88" s="356"/>
      <c r="LFQ88" s="356"/>
      <c r="LFR88" s="356"/>
      <c r="LFS88" s="356"/>
      <c r="LFT88" s="356"/>
      <c r="LFU88" s="356"/>
      <c r="LFV88" s="356"/>
      <c r="LFW88" s="356"/>
      <c r="LFX88" s="356"/>
      <c r="LFY88" s="356"/>
      <c r="LFZ88" s="356"/>
      <c r="LGA88" s="356"/>
      <c r="LGB88" s="356"/>
      <c r="LGC88" s="356"/>
      <c r="LGD88" s="356"/>
      <c r="LGE88" s="356"/>
      <c r="LGF88" s="356"/>
      <c r="LGG88" s="356"/>
      <c r="LGH88" s="356"/>
      <c r="LGI88" s="356"/>
      <c r="LGJ88" s="356"/>
      <c r="LGK88" s="356"/>
      <c r="LGL88" s="356"/>
      <c r="LGM88" s="356"/>
      <c r="LGN88" s="356"/>
      <c r="LGO88" s="356"/>
      <c r="LGP88" s="356"/>
      <c r="LGQ88" s="356"/>
      <c r="LGR88" s="356"/>
      <c r="LGS88" s="356"/>
      <c r="LGT88" s="356"/>
      <c r="LGU88" s="356"/>
      <c r="LGV88" s="356"/>
      <c r="LGW88" s="356"/>
      <c r="LGX88" s="356"/>
      <c r="LGY88" s="356"/>
      <c r="LGZ88" s="356"/>
      <c r="LHA88" s="356"/>
      <c r="LHB88" s="356"/>
      <c r="LHC88" s="356"/>
      <c r="LHD88" s="356"/>
      <c r="LHE88" s="356"/>
      <c r="LHF88" s="356"/>
      <c r="LHG88" s="356"/>
      <c r="LHH88" s="356"/>
      <c r="LHI88" s="356"/>
      <c r="LHJ88" s="356"/>
      <c r="LHK88" s="356"/>
      <c r="LHL88" s="356"/>
      <c r="LHM88" s="356"/>
      <c r="LHN88" s="356"/>
      <c r="LHO88" s="356"/>
      <c r="LHP88" s="356"/>
      <c r="LHQ88" s="356"/>
      <c r="LHR88" s="356"/>
      <c r="LHS88" s="356"/>
      <c r="LHT88" s="356"/>
      <c r="LHU88" s="356"/>
      <c r="LHV88" s="356"/>
      <c r="LHW88" s="356"/>
      <c r="LHX88" s="356"/>
      <c r="LHY88" s="356"/>
      <c r="LHZ88" s="356"/>
      <c r="LIA88" s="356"/>
      <c r="LIB88" s="356"/>
      <c r="LIC88" s="356"/>
      <c r="LID88" s="356"/>
      <c r="LIE88" s="356"/>
      <c r="LIF88" s="356"/>
      <c r="LIG88" s="356"/>
      <c r="LIH88" s="356"/>
      <c r="LII88" s="356"/>
      <c r="LIJ88" s="356"/>
      <c r="LIK88" s="356"/>
      <c r="LIL88" s="356"/>
      <c r="LIM88" s="356"/>
      <c r="LIN88" s="356"/>
      <c r="LIO88" s="356"/>
      <c r="LIP88" s="356"/>
      <c r="LIQ88" s="356"/>
      <c r="LIR88" s="356"/>
      <c r="LIS88" s="356"/>
      <c r="LIT88" s="356"/>
      <c r="LIU88" s="356"/>
      <c r="LIV88" s="356"/>
      <c r="LIW88" s="356"/>
      <c r="LIX88" s="356"/>
      <c r="LIY88" s="356"/>
      <c r="LIZ88" s="356"/>
      <c r="LJA88" s="356"/>
      <c r="LJB88" s="356"/>
      <c r="LJC88" s="356"/>
      <c r="LJD88" s="356"/>
      <c r="LJE88" s="356"/>
      <c r="LJF88" s="356"/>
      <c r="LJG88" s="356"/>
      <c r="LJH88" s="356"/>
      <c r="LJI88" s="356"/>
      <c r="LJJ88" s="356"/>
      <c r="LJK88" s="356"/>
      <c r="LJL88" s="356"/>
      <c r="LJM88" s="356"/>
      <c r="LJN88" s="356"/>
      <c r="LJO88" s="356"/>
      <c r="LJP88" s="356"/>
      <c r="LJQ88" s="356"/>
      <c r="LJR88" s="356"/>
      <c r="LJS88" s="356"/>
      <c r="LJT88" s="356"/>
      <c r="LJU88" s="356"/>
      <c r="LJV88" s="356"/>
      <c r="LJW88" s="356"/>
      <c r="LJX88" s="356"/>
      <c r="LJY88" s="356"/>
      <c r="LJZ88" s="356"/>
      <c r="LKA88" s="356"/>
      <c r="LKB88" s="356"/>
      <c r="LKC88" s="356"/>
      <c r="LKD88" s="356"/>
      <c r="LKE88" s="356"/>
      <c r="LKF88" s="356"/>
      <c r="LKG88" s="356"/>
      <c r="LKH88" s="356"/>
      <c r="LKI88" s="356"/>
      <c r="LKJ88" s="356"/>
      <c r="LKK88" s="356"/>
      <c r="LKL88" s="356"/>
      <c r="LKM88" s="356"/>
      <c r="LKN88" s="356"/>
      <c r="LKO88" s="356"/>
      <c r="LKP88" s="356"/>
      <c r="LKQ88" s="356"/>
      <c r="LKR88" s="356"/>
      <c r="LKS88" s="356"/>
      <c r="LKT88" s="356"/>
      <c r="LKU88" s="356"/>
      <c r="LKV88" s="356"/>
      <c r="LKW88" s="356"/>
      <c r="LKX88" s="356"/>
      <c r="LKY88" s="356"/>
      <c r="LKZ88" s="356"/>
      <c r="LLA88" s="356"/>
      <c r="LLB88" s="356"/>
      <c r="LLC88" s="356"/>
      <c r="LLD88" s="356"/>
      <c r="LLE88" s="356"/>
      <c r="LLF88" s="356"/>
      <c r="LLG88" s="356"/>
      <c r="LLH88" s="356"/>
      <c r="LLI88" s="356"/>
      <c r="LLJ88" s="356"/>
      <c r="LLK88" s="356"/>
      <c r="LLL88" s="356"/>
      <c r="LLM88" s="356"/>
      <c r="LLN88" s="356"/>
      <c r="LLO88" s="356"/>
      <c r="LLP88" s="356"/>
      <c r="LLQ88" s="356"/>
      <c r="LLR88" s="356"/>
      <c r="LLS88" s="356"/>
      <c r="LLT88" s="356"/>
      <c r="LLU88" s="356"/>
      <c r="LLV88" s="356"/>
      <c r="LLW88" s="356"/>
      <c r="LLX88" s="356"/>
      <c r="LLY88" s="356"/>
      <c r="LLZ88" s="356"/>
      <c r="LMA88" s="356"/>
      <c r="LMB88" s="356"/>
      <c r="LMC88" s="356"/>
      <c r="LMD88" s="356"/>
      <c r="LME88" s="356"/>
      <c r="LMF88" s="356"/>
      <c r="LMG88" s="356"/>
      <c r="LMH88" s="356"/>
      <c r="LMI88" s="356"/>
      <c r="LMJ88" s="356"/>
      <c r="LMK88" s="356"/>
      <c r="LML88" s="356"/>
      <c r="LMM88" s="356"/>
      <c r="LMN88" s="356"/>
      <c r="LMO88" s="356"/>
      <c r="LMP88" s="356"/>
      <c r="LMQ88" s="356"/>
      <c r="LMR88" s="356"/>
      <c r="LMS88" s="356"/>
      <c r="LMT88" s="356"/>
      <c r="LMU88" s="356"/>
      <c r="LMV88" s="356"/>
      <c r="LMW88" s="356"/>
      <c r="LMX88" s="356"/>
      <c r="LMY88" s="356"/>
      <c r="LMZ88" s="356"/>
      <c r="LNA88" s="356"/>
      <c r="LNB88" s="356"/>
      <c r="LNC88" s="356"/>
      <c r="LND88" s="356"/>
      <c r="LNE88" s="356"/>
      <c r="LNF88" s="356"/>
      <c r="LNG88" s="356"/>
      <c r="LNH88" s="356"/>
      <c r="LNI88" s="356"/>
      <c r="LNJ88" s="356"/>
      <c r="LNK88" s="356"/>
      <c r="LNL88" s="356"/>
      <c r="LNM88" s="356"/>
      <c r="LNN88" s="356"/>
      <c r="LNO88" s="356"/>
      <c r="LNP88" s="356"/>
      <c r="LNQ88" s="356"/>
      <c r="LNR88" s="356"/>
      <c r="LNS88" s="356"/>
      <c r="LNT88" s="356"/>
      <c r="LNU88" s="356"/>
      <c r="LNV88" s="356"/>
      <c r="LNW88" s="356"/>
      <c r="LNX88" s="356"/>
      <c r="LNY88" s="356"/>
      <c r="LNZ88" s="356"/>
      <c r="LOA88" s="356"/>
      <c r="LOB88" s="356"/>
      <c r="LOC88" s="356"/>
      <c r="LOD88" s="356"/>
      <c r="LOE88" s="356"/>
      <c r="LOF88" s="356"/>
      <c r="LOG88" s="356"/>
      <c r="LOH88" s="356"/>
      <c r="LOI88" s="356"/>
      <c r="LOJ88" s="356"/>
      <c r="LOK88" s="356"/>
      <c r="LOL88" s="356"/>
      <c r="LOM88" s="356"/>
      <c r="LON88" s="356"/>
      <c r="LOO88" s="356"/>
      <c r="LOP88" s="356"/>
      <c r="LOQ88" s="356"/>
      <c r="LOR88" s="356"/>
      <c r="LOS88" s="356"/>
      <c r="LOT88" s="356"/>
      <c r="LOU88" s="356"/>
      <c r="LOV88" s="356"/>
      <c r="LOW88" s="356"/>
      <c r="LOX88" s="356"/>
      <c r="LOY88" s="356"/>
      <c r="LOZ88" s="356"/>
      <c r="LPA88" s="356"/>
      <c r="LPB88" s="356"/>
      <c r="LPC88" s="356"/>
      <c r="LPD88" s="356"/>
      <c r="LPE88" s="356"/>
      <c r="LPF88" s="356"/>
      <c r="LPG88" s="356"/>
      <c r="LPH88" s="356"/>
      <c r="LPI88" s="356"/>
      <c r="LPJ88" s="356"/>
      <c r="LPK88" s="356"/>
      <c r="LPL88" s="356"/>
      <c r="LPM88" s="356"/>
      <c r="LPN88" s="356"/>
      <c r="LPO88" s="356"/>
      <c r="LPP88" s="356"/>
      <c r="LPQ88" s="356"/>
      <c r="LPR88" s="356"/>
      <c r="LPS88" s="356"/>
      <c r="LPT88" s="356"/>
      <c r="LPU88" s="356"/>
      <c r="LPV88" s="356"/>
      <c r="LPW88" s="356"/>
      <c r="LPX88" s="356"/>
      <c r="LPY88" s="356"/>
      <c r="LPZ88" s="356"/>
      <c r="LQA88" s="356"/>
      <c r="LQB88" s="356"/>
      <c r="LQC88" s="356"/>
      <c r="LQD88" s="356"/>
      <c r="LQE88" s="356"/>
      <c r="LQF88" s="356"/>
      <c r="LQG88" s="356"/>
      <c r="LQH88" s="356"/>
      <c r="LQI88" s="356"/>
      <c r="LQJ88" s="356"/>
      <c r="LQK88" s="356"/>
      <c r="LQL88" s="356"/>
      <c r="LQM88" s="356"/>
      <c r="LQN88" s="356"/>
      <c r="LQO88" s="356"/>
      <c r="LQP88" s="356"/>
      <c r="LQQ88" s="356"/>
      <c r="LQR88" s="356"/>
      <c r="LQS88" s="356"/>
      <c r="LQT88" s="356"/>
      <c r="LQU88" s="356"/>
      <c r="LQV88" s="356"/>
      <c r="LQW88" s="356"/>
      <c r="LQX88" s="356"/>
      <c r="LQY88" s="356"/>
      <c r="LQZ88" s="356"/>
      <c r="LRA88" s="356"/>
      <c r="LRB88" s="356"/>
      <c r="LRC88" s="356"/>
      <c r="LRD88" s="356"/>
      <c r="LRE88" s="356"/>
      <c r="LRF88" s="356"/>
      <c r="LRG88" s="356"/>
      <c r="LRH88" s="356"/>
      <c r="LRI88" s="356"/>
      <c r="LRJ88" s="356"/>
      <c r="LRK88" s="356"/>
      <c r="LRL88" s="356"/>
      <c r="LRM88" s="356"/>
      <c r="LRN88" s="356"/>
      <c r="LRO88" s="356"/>
      <c r="LRP88" s="356"/>
      <c r="LRQ88" s="356"/>
      <c r="LRR88" s="356"/>
      <c r="LRS88" s="356"/>
      <c r="LRT88" s="356"/>
      <c r="LRU88" s="356"/>
      <c r="LRV88" s="356"/>
      <c r="LRW88" s="356"/>
      <c r="LRX88" s="356"/>
      <c r="LRY88" s="356"/>
      <c r="LRZ88" s="356"/>
      <c r="LSA88" s="356"/>
      <c r="LSB88" s="356"/>
      <c r="LSC88" s="356"/>
      <c r="LSD88" s="356"/>
      <c r="LSE88" s="356"/>
      <c r="LSF88" s="356"/>
      <c r="LSG88" s="356"/>
      <c r="LSH88" s="356"/>
      <c r="LSI88" s="356"/>
      <c r="LSJ88" s="356"/>
      <c r="LSK88" s="356"/>
      <c r="LSL88" s="356"/>
      <c r="LSM88" s="356"/>
      <c r="LSN88" s="356"/>
      <c r="LSO88" s="356"/>
      <c r="LSP88" s="356"/>
      <c r="LSQ88" s="356"/>
      <c r="LSR88" s="356"/>
      <c r="LSS88" s="356"/>
      <c r="LST88" s="356"/>
      <c r="LSU88" s="356"/>
      <c r="LSV88" s="356"/>
      <c r="LSW88" s="356"/>
      <c r="LSX88" s="356"/>
      <c r="LSY88" s="356"/>
      <c r="LSZ88" s="356"/>
      <c r="LTA88" s="356"/>
      <c r="LTB88" s="356"/>
      <c r="LTC88" s="356"/>
      <c r="LTD88" s="356"/>
      <c r="LTE88" s="356"/>
      <c r="LTF88" s="356"/>
      <c r="LTG88" s="356"/>
      <c r="LTH88" s="356"/>
      <c r="LTI88" s="356"/>
      <c r="LTJ88" s="356"/>
      <c r="LTK88" s="356"/>
      <c r="LTL88" s="356"/>
      <c r="LTM88" s="356"/>
      <c r="LTN88" s="356"/>
      <c r="LTO88" s="356"/>
      <c r="LTP88" s="356"/>
      <c r="LTQ88" s="356"/>
      <c r="LTR88" s="356"/>
      <c r="LTS88" s="356"/>
      <c r="LTT88" s="356"/>
      <c r="LTU88" s="356"/>
      <c r="LTV88" s="356"/>
      <c r="LTW88" s="356"/>
      <c r="LTX88" s="356"/>
      <c r="LTY88" s="356"/>
      <c r="LTZ88" s="356"/>
      <c r="LUA88" s="356"/>
      <c r="LUB88" s="356"/>
      <c r="LUC88" s="356"/>
      <c r="LUD88" s="356"/>
      <c r="LUE88" s="356"/>
      <c r="LUF88" s="356"/>
      <c r="LUG88" s="356"/>
      <c r="LUH88" s="356"/>
      <c r="LUI88" s="356"/>
      <c r="LUJ88" s="356"/>
      <c r="LUK88" s="356"/>
      <c r="LUL88" s="356"/>
      <c r="LUM88" s="356"/>
      <c r="LUN88" s="356"/>
      <c r="LUO88" s="356"/>
      <c r="LUP88" s="356"/>
      <c r="LUQ88" s="356"/>
      <c r="LUR88" s="356"/>
      <c r="LUS88" s="356"/>
      <c r="LUT88" s="356"/>
      <c r="LUU88" s="356"/>
      <c r="LUV88" s="356"/>
      <c r="LUW88" s="356"/>
      <c r="LUX88" s="356"/>
      <c r="LUY88" s="356"/>
      <c r="LUZ88" s="356"/>
      <c r="LVA88" s="356"/>
      <c r="LVB88" s="356"/>
      <c r="LVC88" s="356"/>
      <c r="LVD88" s="356"/>
      <c r="LVE88" s="356"/>
      <c r="LVF88" s="356"/>
      <c r="LVG88" s="356"/>
      <c r="LVH88" s="356"/>
      <c r="LVI88" s="356"/>
      <c r="LVJ88" s="356"/>
      <c r="LVK88" s="356"/>
      <c r="LVL88" s="356"/>
      <c r="LVM88" s="356"/>
      <c r="LVN88" s="356"/>
      <c r="LVO88" s="356"/>
      <c r="LVP88" s="356"/>
      <c r="LVQ88" s="356"/>
      <c r="LVR88" s="356"/>
      <c r="LVS88" s="356"/>
      <c r="LVT88" s="356"/>
      <c r="LVU88" s="356"/>
      <c r="LVV88" s="356"/>
      <c r="LVW88" s="356"/>
      <c r="LVX88" s="356"/>
      <c r="LVY88" s="356"/>
      <c r="LVZ88" s="356"/>
      <c r="LWA88" s="356"/>
      <c r="LWB88" s="356"/>
      <c r="LWC88" s="356"/>
      <c r="LWD88" s="356"/>
      <c r="LWE88" s="356"/>
      <c r="LWF88" s="356"/>
      <c r="LWG88" s="356"/>
      <c r="LWH88" s="356"/>
      <c r="LWI88" s="356"/>
      <c r="LWJ88" s="356"/>
      <c r="LWK88" s="356"/>
      <c r="LWL88" s="356"/>
      <c r="LWM88" s="356"/>
      <c r="LWN88" s="356"/>
      <c r="LWO88" s="356"/>
      <c r="LWP88" s="356"/>
      <c r="LWQ88" s="356"/>
      <c r="LWR88" s="356"/>
      <c r="LWS88" s="356"/>
      <c r="LWT88" s="356"/>
      <c r="LWU88" s="356"/>
      <c r="LWV88" s="356"/>
      <c r="LWW88" s="356"/>
      <c r="LWX88" s="356"/>
      <c r="LWY88" s="356"/>
      <c r="LWZ88" s="356"/>
      <c r="LXA88" s="356"/>
      <c r="LXB88" s="356"/>
      <c r="LXC88" s="356"/>
      <c r="LXD88" s="356"/>
      <c r="LXE88" s="356"/>
      <c r="LXF88" s="356"/>
      <c r="LXG88" s="356"/>
      <c r="LXH88" s="356"/>
      <c r="LXI88" s="356"/>
      <c r="LXJ88" s="356"/>
      <c r="LXK88" s="356"/>
      <c r="LXL88" s="356"/>
      <c r="LXM88" s="356"/>
      <c r="LXN88" s="356"/>
      <c r="LXO88" s="356"/>
      <c r="LXP88" s="356"/>
      <c r="LXQ88" s="356"/>
      <c r="LXR88" s="356"/>
      <c r="LXS88" s="356"/>
      <c r="LXT88" s="356"/>
      <c r="LXU88" s="356"/>
      <c r="LXV88" s="356"/>
      <c r="LXW88" s="356"/>
      <c r="LXX88" s="356"/>
      <c r="LXY88" s="356"/>
      <c r="LXZ88" s="356"/>
      <c r="LYA88" s="356"/>
      <c r="LYB88" s="356"/>
      <c r="LYC88" s="356"/>
      <c r="LYD88" s="356"/>
      <c r="LYE88" s="356"/>
      <c r="LYF88" s="356"/>
      <c r="LYG88" s="356"/>
      <c r="LYH88" s="356"/>
      <c r="LYI88" s="356"/>
      <c r="LYJ88" s="356"/>
      <c r="LYK88" s="356"/>
      <c r="LYL88" s="356"/>
      <c r="LYM88" s="356"/>
      <c r="LYN88" s="356"/>
      <c r="LYO88" s="356"/>
      <c r="LYP88" s="356"/>
      <c r="LYQ88" s="356"/>
      <c r="LYR88" s="356"/>
      <c r="LYS88" s="356"/>
      <c r="LYT88" s="356"/>
      <c r="LYU88" s="356"/>
      <c r="LYV88" s="356"/>
      <c r="LYW88" s="356"/>
      <c r="LYX88" s="356"/>
      <c r="LYY88" s="356"/>
      <c r="LYZ88" s="356"/>
      <c r="LZA88" s="356"/>
      <c r="LZB88" s="356"/>
      <c r="LZC88" s="356"/>
      <c r="LZD88" s="356"/>
      <c r="LZE88" s="356"/>
      <c r="LZF88" s="356"/>
      <c r="LZG88" s="356"/>
      <c r="LZH88" s="356"/>
      <c r="LZI88" s="356"/>
      <c r="LZJ88" s="356"/>
      <c r="LZK88" s="356"/>
      <c r="LZL88" s="356"/>
      <c r="LZM88" s="356"/>
      <c r="LZN88" s="356"/>
      <c r="LZO88" s="356"/>
      <c r="LZP88" s="356"/>
      <c r="LZQ88" s="356"/>
      <c r="LZR88" s="356"/>
      <c r="LZS88" s="356"/>
      <c r="LZT88" s="356"/>
      <c r="LZU88" s="356"/>
      <c r="LZV88" s="356"/>
      <c r="LZW88" s="356"/>
      <c r="LZX88" s="356"/>
      <c r="LZY88" s="356"/>
      <c r="LZZ88" s="356"/>
      <c r="MAA88" s="356"/>
      <c r="MAB88" s="356"/>
      <c r="MAC88" s="356"/>
      <c r="MAD88" s="356"/>
      <c r="MAE88" s="356"/>
      <c r="MAF88" s="356"/>
      <c r="MAG88" s="356"/>
      <c r="MAH88" s="356"/>
      <c r="MAI88" s="356"/>
      <c r="MAJ88" s="356"/>
      <c r="MAK88" s="356"/>
      <c r="MAL88" s="356"/>
      <c r="MAM88" s="356"/>
      <c r="MAN88" s="356"/>
      <c r="MAO88" s="356"/>
      <c r="MAP88" s="356"/>
      <c r="MAQ88" s="356"/>
      <c r="MAR88" s="356"/>
      <c r="MAS88" s="356"/>
      <c r="MAT88" s="356"/>
      <c r="MAU88" s="356"/>
      <c r="MAV88" s="356"/>
      <c r="MAW88" s="356"/>
      <c r="MAX88" s="356"/>
      <c r="MAY88" s="356"/>
      <c r="MAZ88" s="356"/>
      <c r="MBA88" s="356"/>
      <c r="MBB88" s="356"/>
      <c r="MBC88" s="356"/>
      <c r="MBD88" s="356"/>
      <c r="MBE88" s="356"/>
      <c r="MBF88" s="356"/>
      <c r="MBG88" s="356"/>
      <c r="MBH88" s="356"/>
      <c r="MBI88" s="356"/>
      <c r="MBJ88" s="356"/>
      <c r="MBK88" s="356"/>
      <c r="MBL88" s="356"/>
      <c r="MBM88" s="356"/>
      <c r="MBN88" s="356"/>
      <c r="MBO88" s="356"/>
      <c r="MBP88" s="356"/>
      <c r="MBQ88" s="356"/>
      <c r="MBR88" s="356"/>
      <c r="MBS88" s="356"/>
      <c r="MBT88" s="356"/>
      <c r="MBU88" s="356"/>
      <c r="MBV88" s="356"/>
      <c r="MBW88" s="356"/>
      <c r="MBX88" s="356"/>
      <c r="MBY88" s="356"/>
      <c r="MBZ88" s="356"/>
      <c r="MCA88" s="356"/>
      <c r="MCB88" s="356"/>
      <c r="MCC88" s="356"/>
      <c r="MCD88" s="356"/>
      <c r="MCE88" s="356"/>
      <c r="MCF88" s="356"/>
      <c r="MCG88" s="356"/>
      <c r="MCH88" s="356"/>
      <c r="MCI88" s="356"/>
      <c r="MCJ88" s="356"/>
      <c r="MCK88" s="356"/>
      <c r="MCL88" s="356"/>
      <c r="MCM88" s="356"/>
      <c r="MCN88" s="356"/>
      <c r="MCO88" s="356"/>
      <c r="MCP88" s="356"/>
      <c r="MCQ88" s="356"/>
      <c r="MCR88" s="356"/>
      <c r="MCS88" s="356"/>
      <c r="MCT88" s="356"/>
      <c r="MCU88" s="356"/>
      <c r="MCV88" s="356"/>
      <c r="MCW88" s="356"/>
      <c r="MCX88" s="356"/>
      <c r="MCY88" s="356"/>
      <c r="MCZ88" s="356"/>
      <c r="MDA88" s="356"/>
      <c r="MDB88" s="356"/>
      <c r="MDC88" s="356"/>
      <c r="MDD88" s="356"/>
      <c r="MDE88" s="356"/>
      <c r="MDF88" s="356"/>
      <c r="MDG88" s="356"/>
      <c r="MDH88" s="356"/>
      <c r="MDI88" s="356"/>
      <c r="MDJ88" s="356"/>
      <c r="MDK88" s="356"/>
      <c r="MDL88" s="356"/>
      <c r="MDM88" s="356"/>
      <c r="MDN88" s="356"/>
      <c r="MDO88" s="356"/>
      <c r="MDP88" s="356"/>
      <c r="MDQ88" s="356"/>
      <c r="MDR88" s="356"/>
      <c r="MDS88" s="356"/>
      <c r="MDT88" s="356"/>
      <c r="MDU88" s="356"/>
      <c r="MDV88" s="356"/>
      <c r="MDW88" s="356"/>
      <c r="MDX88" s="356"/>
      <c r="MDY88" s="356"/>
      <c r="MDZ88" s="356"/>
      <c r="MEA88" s="356"/>
      <c r="MEB88" s="356"/>
      <c r="MEC88" s="356"/>
      <c r="MED88" s="356"/>
      <c r="MEE88" s="356"/>
      <c r="MEF88" s="356"/>
      <c r="MEG88" s="356"/>
      <c r="MEH88" s="356"/>
      <c r="MEI88" s="356"/>
      <c r="MEJ88" s="356"/>
      <c r="MEK88" s="356"/>
      <c r="MEL88" s="356"/>
      <c r="MEM88" s="356"/>
      <c r="MEN88" s="356"/>
      <c r="MEO88" s="356"/>
      <c r="MEP88" s="356"/>
      <c r="MEQ88" s="356"/>
      <c r="MER88" s="356"/>
      <c r="MES88" s="356"/>
      <c r="MET88" s="356"/>
      <c r="MEU88" s="356"/>
      <c r="MEV88" s="356"/>
      <c r="MEW88" s="356"/>
      <c r="MEX88" s="356"/>
      <c r="MEY88" s="356"/>
      <c r="MEZ88" s="356"/>
      <c r="MFA88" s="356"/>
      <c r="MFB88" s="356"/>
      <c r="MFC88" s="356"/>
      <c r="MFD88" s="356"/>
      <c r="MFE88" s="356"/>
      <c r="MFF88" s="356"/>
      <c r="MFG88" s="356"/>
      <c r="MFH88" s="356"/>
      <c r="MFI88" s="356"/>
      <c r="MFJ88" s="356"/>
      <c r="MFK88" s="356"/>
      <c r="MFL88" s="356"/>
      <c r="MFM88" s="356"/>
      <c r="MFN88" s="356"/>
      <c r="MFO88" s="356"/>
      <c r="MFP88" s="356"/>
      <c r="MFQ88" s="356"/>
      <c r="MFR88" s="356"/>
      <c r="MFS88" s="356"/>
      <c r="MFT88" s="356"/>
      <c r="MFU88" s="356"/>
      <c r="MFV88" s="356"/>
      <c r="MFW88" s="356"/>
      <c r="MFX88" s="356"/>
      <c r="MFY88" s="356"/>
      <c r="MFZ88" s="356"/>
      <c r="MGA88" s="356"/>
      <c r="MGB88" s="356"/>
      <c r="MGC88" s="356"/>
      <c r="MGD88" s="356"/>
      <c r="MGE88" s="356"/>
      <c r="MGF88" s="356"/>
      <c r="MGG88" s="356"/>
      <c r="MGH88" s="356"/>
      <c r="MGI88" s="356"/>
      <c r="MGJ88" s="356"/>
      <c r="MGK88" s="356"/>
      <c r="MGL88" s="356"/>
      <c r="MGM88" s="356"/>
      <c r="MGN88" s="356"/>
      <c r="MGO88" s="356"/>
      <c r="MGP88" s="356"/>
      <c r="MGQ88" s="356"/>
      <c r="MGR88" s="356"/>
      <c r="MGS88" s="356"/>
      <c r="MGT88" s="356"/>
      <c r="MGU88" s="356"/>
      <c r="MGV88" s="356"/>
      <c r="MGW88" s="356"/>
      <c r="MGX88" s="356"/>
      <c r="MGY88" s="356"/>
      <c r="MGZ88" s="356"/>
      <c r="MHA88" s="356"/>
      <c r="MHB88" s="356"/>
      <c r="MHC88" s="356"/>
      <c r="MHD88" s="356"/>
      <c r="MHE88" s="356"/>
      <c r="MHF88" s="356"/>
      <c r="MHG88" s="356"/>
      <c r="MHH88" s="356"/>
      <c r="MHI88" s="356"/>
      <c r="MHJ88" s="356"/>
      <c r="MHK88" s="356"/>
      <c r="MHL88" s="356"/>
      <c r="MHM88" s="356"/>
      <c r="MHN88" s="356"/>
      <c r="MHO88" s="356"/>
      <c r="MHP88" s="356"/>
      <c r="MHQ88" s="356"/>
      <c r="MHR88" s="356"/>
      <c r="MHS88" s="356"/>
      <c r="MHT88" s="356"/>
      <c r="MHU88" s="356"/>
      <c r="MHV88" s="356"/>
      <c r="MHW88" s="356"/>
      <c r="MHX88" s="356"/>
      <c r="MHY88" s="356"/>
      <c r="MHZ88" s="356"/>
      <c r="MIA88" s="356"/>
      <c r="MIB88" s="356"/>
      <c r="MIC88" s="356"/>
      <c r="MID88" s="356"/>
      <c r="MIE88" s="356"/>
      <c r="MIF88" s="356"/>
      <c r="MIG88" s="356"/>
      <c r="MIH88" s="356"/>
      <c r="MII88" s="356"/>
      <c r="MIJ88" s="356"/>
      <c r="MIK88" s="356"/>
      <c r="MIL88" s="356"/>
      <c r="MIM88" s="356"/>
      <c r="MIN88" s="356"/>
      <c r="MIO88" s="356"/>
      <c r="MIP88" s="356"/>
      <c r="MIQ88" s="356"/>
      <c r="MIR88" s="356"/>
      <c r="MIS88" s="356"/>
      <c r="MIT88" s="356"/>
      <c r="MIU88" s="356"/>
      <c r="MIV88" s="356"/>
      <c r="MIW88" s="356"/>
      <c r="MIX88" s="356"/>
      <c r="MIY88" s="356"/>
      <c r="MIZ88" s="356"/>
      <c r="MJA88" s="356"/>
      <c r="MJB88" s="356"/>
      <c r="MJC88" s="356"/>
      <c r="MJD88" s="356"/>
      <c r="MJE88" s="356"/>
      <c r="MJF88" s="356"/>
      <c r="MJG88" s="356"/>
      <c r="MJH88" s="356"/>
      <c r="MJI88" s="356"/>
      <c r="MJJ88" s="356"/>
      <c r="MJK88" s="356"/>
      <c r="MJL88" s="356"/>
      <c r="MJM88" s="356"/>
      <c r="MJN88" s="356"/>
      <c r="MJO88" s="356"/>
      <c r="MJP88" s="356"/>
      <c r="MJQ88" s="356"/>
      <c r="MJR88" s="356"/>
      <c r="MJS88" s="356"/>
      <c r="MJT88" s="356"/>
      <c r="MJU88" s="356"/>
      <c r="MJV88" s="356"/>
      <c r="MJW88" s="356"/>
      <c r="MJX88" s="356"/>
      <c r="MJY88" s="356"/>
      <c r="MJZ88" s="356"/>
      <c r="MKA88" s="356"/>
      <c r="MKB88" s="356"/>
      <c r="MKC88" s="356"/>
      <c r="MKD88" s="356"/>
      <c r="MKE88" s="356"/>
      <c r="MKF88" s="356"/>
      <c r="MKG88" s="356"/>
      <c r="MKH88" s="356"/>
      <c r="MKI88" s="356"/>
      <c r="MKJ88" s="356"/>
      <c r="MKK88" s="356"/>
      <c r="MKL88" s="356"/>
      <c r="MKM88" s="356"/>
      <c r="MKN88" s="356"/>
      <c r="MKO88" s="356"/>
      <c r="MKP88" s="356"/>
      <c r="MKQ88" s="356"/>
      <c r="MKR88" s="356"/>
      <c r="MKS88" s="356"/>
      <c r="MKT88" s="356"/>
      <c r="MKU88" s="356"/>
      <c r="MKV88" s="356"/>
      <c r="MKW88" s="356"/>
      <c r="MKX88" s="356"/>
      <c r="MKY88" s="356"/>
      <c r="MKZ88" s="356"/>
      <c r="MLA88" s="356"/>
      <c r="MLB88" s="356"/>
      <c r="MLC88" s="356"/>
      <c r="MLD88" s="356"/>
      <c r="MLE88" s="356"/>
      <c r="MLF88" s="356"/>
      <c r="MLG88" s="356"/>
      <c r="MLH88" s="356"/>
      <c r="MLI88" s="356"/>
      <c r="MLJ88" s="356"/>
      <c r="MLK88" s="356"/>
      <c r="MLL88" s="356"/>
      <c r="MLM88" s="356"/>
      <c r="MLN88" s="356"/>
      <c r="MLO88" s="356"/>
      <c r="MLP88" s="356"/>
      <c r="MLQ88" s="356"/>
      <c r="MLR88" s="356"/>
      <c r="MLS88" s="356"/>
      <c r="MLT88" s="356"/>
      <c r="MLU88" s="356"/>
      <c r="MLV88" s="356"/>
      <c r="MLW88" s="356"/>
      <c r="MLX88" s="356"/>
      <c r="MLY88" s="356"/>
      <c r="MLZ88" s="356"/>
      <c r="MMA88" s="356"/>
      <c r="MMB88" s="356"/>
      <c r="MMC88" s="356"/>
      <c r="MMD88" s="356"/>
      <c r="MME88" s="356"/>
      <c r="MMF88" s="356"/>
      <c r="MMG88" s="356"/>
      <c r="MMH88" s="356"/>
      <c r="MMI88" s="356"/>
      <c r="MMJ88" s="356"/>
      <c r="MMK88" s="356"/>
      <c r="MML88" s="356"/>
      <c r="MMM88" s="356"/>
      <c r="MMN88" s="356"/>
      <c r="MMO88" s="356"/>
      <c r="MMP88" s="356"/>
      <c r="MMQ88" s="356"/>
      <c r="MMR88" s="356"/>
      <c r="MMS88" s="356"/>
      <c r="MMT88" s="356"/>
      <c r="MMU88" s="356"/>
      <c r="MMV88" s="356"/>
      <c r="MMW88" s="356"/>
      <c r="MMX88" s="356"/>
      <c r="MMY88" s="356"/>
      <c r="MMZ88" s="356"/>
      <c r="MNA88" s="356"/>
      <c r="MNB88" s="356"/>
      <c r="MNC88" s="356"/>
      <c r="MND88" s="356"/>
      <c r="MNE88" s="356"/>
      <c r="MNF88" s="356"/>
      <c r="MNG88" s="356"/>
      <c r="MNH88" s="356"/>
      <c r="MNI88" s="356"/>
      <c r="MNJ88" s="356"/>
      <c r="MNK88" s="356"/>
      <c r="MNL88" s="356"/>
      <c r="MNM88" s="356"/>
      <c r="MNN88" s="356"/>
      <c r="MNO88" s="356"/>
      <c r="MNP88" s="356"/>
      <c r="MNQ88" s="356"/>
      <c r="MNR88" s="356"/>
      <c r="MNS88" s="356"/>
      <c r="MNT88" s="356"/>
      <c r="MNU88" s="356"/>
      <c r="MNV88" s="356"/>
      <c r="MNW88" s="356"/>
      <c r="MNX88" s="356"/>
      <c r="MNY88" s="356"/>
      <c r="MNZ88" s="356"/>
      <c r="MOA88" s="356"/>
      <c r="MOB88" s="356"/>
      <c r="MOC88" s="356"/>
      <c r="MOD88" s="356"/>
      <c r="MOE88" s="356"/>
      <c r="MOF88" s="356"/>
      <c r="MOG88" s="356"/>
      <c r="MOH88" s="356"/>
      <c r="MOI88" s="356"/>
      <c r="MOJ88" s="356"/>
      <c r="MOK88" s="356"/>
      <c r="MOL88" s="356"/>
      <c r="MOM88" s="356"/>
      <c r="MON88" s="356"/>
      <c r="MOO88" s="356"/>
      <c r="MOP88" s="356"/>
      <c r="MOQ88" s="356"/>
      <c r="MOR88" s="356"/>
      <c r="MOS88" s="356"/>
      <c r="MOT88" s="356"/>
      <c r="MOU88" s="356"/>
      <c r="MOV88" s="356"/>
      <c r="MOW88" s="356"/>
      <c r="MOX88" s="356"/>
      <c r="MOY88" s="356"/>
      <c r="MOZ88" s="356"/>
      <c r="MPA88" s="356"/>
      <c r="MPB88" s="356"/>
      <c r="MPC88" s="356"/>
      <c r="MPD88" s="356"/>
      <c r="MPE88" s="356"/>
      <c r="MPF88" s="356"/>
      <c r="MPG88" s="356"/>
      <c r="MPH88" s="356"/>
      <c r="MPI88" s="356"/>
      <c r="MPJ88" s="356"/>
      <c r="MPK88" s="356"/>
      <c r="MPL88" s="356"/>
      <c r="MPM88" s="356"/>
      <c r="MPN88" s="356"/>
      <c r="MPO88" s="356"/>
      <c r="MPP88" s="356"/>
      <c r="MPQ88" s="356"/>
      <c r="MPR88" s="356"/>
      <c r="MPS88" s="356"/>
      <c r="MPT88" s="356"/>
      <c r="MPU88" s="356"/>
      <c r="MPV88" s="356"/>
      <c r="MPW88" s="356"/>
      <c r="MPX88" s="356"/>
      <c r="MPY88" s="356"/>
      <c r="MPZ88" s="356"/>
      <c r="MQA88" s="356"/>
      <c r="MQB88" s="356"/>
      <c r="MQC88" s="356"/>
      <c r="MQD88" s="356"/>
      <c r="MQE88" s="356"/>
      <c r="MQF88" s="356"/>
      <c r="MQG88" s="356"/>
      <c r="MQH88" s="356"/>
      <c r="MQI88" s="356"/>
      <c r="MQJ88" s="356"/>
      <c r="MQK88" s="356"/>
      <c r="MQL88" s="356"/>
      <c r="MQM88" s="356"/>
      <c r="MQN88" s="356"/>
      <c r="MQO88" s="356"/>
      <c r="MQP88" s="356"/>
      <c r="MQQ88" s="356"/>
      <c r="MQR88" s="356"/>
      <c r="MQS88" s="356"/>
      <c r="MQT88" s="356"/>
      <c r="MQU88" s="356"/>
      <c r="MQV88" s="356"/>
      <c r="MQW88" s="356"/>
      <c r="MQX88" s="356"/>
      <c r="MQY88" s="356"/>
      <c r="MQZ88" s="356"/>
      <c r="MRA88" s="356"/>
      <c r="MRB88" s="356"/>
      <c r="MRC88" s="356"/>
      <c r="MRD88" s="356"/>
      <c r="MRE88" s="356"/>
      <c r="MRF88" s="356"/>
      <c r="MRG88" s="356"/>
      <c r="MRH88" s="356"/>
      <c r="MRI88" s="356"/>
      <c r="MRJ88" s="356"/>
      <c r="MRK88" s="356"/>
      <c r="MRL88" s="356"/>
      <c r="MRM88" s="356"/>
      <c r="MRN88" s="356"/>
      <c r="MRO88" s="356"/>
      <c r="MRP88" s="356"/>
      <c r="MRQ88" s="356"/>
      <c r="MRR88" s="356"/>
      <c r="MRS88" s="356"/>
      <c r="MRT88" s="356"/>
      <c r="MRU88" s="356"/>
      <c r="MRV88" s="356"/>
      <c r="MRW88" s="356"/>
      <c r="MRX88" s="356"/>
      <c r="MRY88" s="356"/>
      <c r="MRZ88" s="356"/>
      <c r="MSA88" s="356"/>
      <c r="MSB88" s="356"/>
      <c r="MSC88" s="356"/>
      <c r="MSD88" s="356"/>
      <c r="MSE88" s="356"/>
      <c r="MSF88" s="356"/>
      <c r="MSG88" s="356"/>
      <c r="MSH88" s="356"/>
      <c r="MSI88" s="356"/>
      <c r="MSJ88" s="356"/>
      <c r="MSK88" s="356"/>
      <c r="MSL88" s="356"/>
      <c r="MSM88" s="356"/>
      <c r="MSN88" s="356"/>
      <c r="MSO88" s="356"/>
      <c r="MSP88" s="356"/>
      <c r="MSQ88" s="356"/>
      <c r="MSR88" s="356"/>
      <c r="MSS88" s="356"/>
      <c r="MST88" s="356"/>
      <c r="MSU88" s="356"/>
      <c r="MSV88" s="356"/>
      <c r="MSW88" s="356"/>
      <c r="MSX88" s="356"/>
      <c r="MSY88" s="356"/>
      <c r="MSZ88" s="356"/>
      <c r="MTA88" s="356"/>
      <c r="MTB88" s="356"/>
      <c r="MTC88" s="356"/>
      <c r="MTD88" s="356"/>
      <c r="MTE88" s="356"/>
      <c r="MTF88" s="356"/>
      <c r="MTG88" s="356"/>
      <c r="MTH88" s="356"/>
      <c r="MTI88" s="356"/>
      <c r="MTJ88" s="356"/>
      <c r="MTK88" s="356"/>
      <c r="MTL88" s="356"/>
      <c r="MTM88" s="356"/>
      <c r="MTN88" s="356"/>
      <c r="MTO88" s="356"/>
      <c r="MTP88" s="356"/>
      <c r="MTQ88" s="356"/>
      <c r="MTR88" s="356"/>
      <c r="MTS88" s="356"/>
      <c r="MTT88" s="356"/>
      <c r="MTU88" s="356"/>
      <c r="MTV88" s="356"/>
      <c r="MTW88" s="356"/>
      <c r="MTX88" s="356"/>
      <c r="MTY88" s="356"/>
      <c r="MTZ88" s="356"/>
      <c r="MUA88" s="356"/>
      <c r="MUB88" s="356"/>
      <c r="MUC88" s="356"/>
      <c r="MUD88" s="356"/>
      <c r="MUE88" s="356"/>
      <c r="MUF88" s="356"/>
      <c r="MUG88" s="356"/>
      <c r="MUH88" s="356"/>
      <c r="MUI88" s="356"/>
      <c r="MUJ88" s="356"/>
      <c r="MUK88" s="356"/>
      <c r="MUL88" s="356"/>
      <c r="MUM88" s="356"/>
      <c r="MUN88" s="356"/>
      <c r="MUO88" s="356"/>
      <c r="MUP88" s="356"/>
      <c r="MUQ88" s="356"/>
      <c r="MUR88" s="356"/>
      <c r="MUS88" s="356"/>
      <c r="MUT88" s="356"/>
      <c r="MUU88" s="356"/>
      <c r="MUV88" s="356"/>
      <c r="MUW88" s="356"/>
      <c r="MUX88" s="356"/>
      <c r="MUY88" s="356"/>
      <c r="MUZ88" s="356"/>
      <c r="MVA88" s="356"/>
      <c r="MVB88" s="356"/>
      <c r="MVC88" s="356"/>
      <c r="MVD88" s="356"/>
      <c r="MVE88" s="356"/>
      <c r="MVF88" s="356"/>
      <c r="MVG88" s="356"/>
      <c r="MVH88" s="356"/>
      <c r="MVI88" s="356"/>
      <c r="MVJ88" s="356"/>
      <c r="MVK88" s="356"/>
      <c r="MVL88" s="356"/>
      <c r="MVM88" s="356"/>
      <c r="MVN88" s="356"/>
      <c r="MVO88" s="356"/>
      <c r="MVP88" s="356"/>
      <c r="MVQ88" s="356"/>
      <c r="MVR88" s="356"/>
      <c r="MVS88" s="356"/>
      <c r="MVT88" s="356"/>
      <c r="MVU88" s="356"/>
      <c r="MVV88" s="356"/>
      <c r="MVW88" s="356"/>
      <c r="MVX88" s="356"/>
      <c r="MVY88" s="356"/>
      <c r="MVZ88" s="356"/>
      <c r="MWA88" s="356"/>
      <c r="MWB88" s="356"/>
      <c r="MWC88" s="356"/>
      <c r="MWD88" s="356"/>
      <c r="MWE88" s="356"/>
      <c r="MWF88" s="356"/>
      <c r="MWG88" s="356"/>
      <c r="MWH88" s="356"/>
      <c r="MWI88" s="356"/>
      <c r="MWJ88" s="356"/>
      <c r="MWK88" s="356"/>
      <c r="MWL88" s="356"/>
      <c r="MWM88" s="356"/>
      <c r="MWN88" s="356"/>
      <c r="MWO88" s="356"/>
      <c r="MWP88" s="356"/>
      <c r="MWQ88" s="356"/>
      <c r="MWR88" s="356"/>
      <c r="MWS88" s="356"/>
      <c r="MWT88" s="356"/>
      <c r="MWU88" s="356"/>
      <c r="MWV88" s="356"/>
      <c r="MWW88" s="356"/>
      <c r="MWX88" s="356"/>
      <c r="MWY88" s="356"/>
      <c r="MWZ88" s="356"/>
      <c r="MXA88" s="356"/>
      <c r="MXB88" s="356"/>
      <c r="MXC88" s="356"/>
      <c r="MXD88" s="356"/>
      <c r="MXE88" s="356"/>
      <c r="MXF88" s="356"/>
      <c r="MXG88" s="356"/>
      <c r="MXH88" s="356"/>
      <c r="MXI88" s="356"/>
      <c r="MXJ88" s="356"/>
      <c r="MXK88" s="356"/>
      <c r="MXL88" s="356"/>
      <c r="MXM88" s="356"/>
      <c r="MXN88" s="356"/>
      <c r="MXO88" s="356"/>
      <c r="MXP88" s="356"/>
      <c r="MXQ88" s="356"/>
      <c r="MXR88" s="356"/>
      <c r="MXS88" s="356"/>
      <c r="MXT88" s="356"/>
      <c r="MXU88" s="356"/>
      <c r="MXV88" s="356"/>
      <c r="MXW88" s="356"/>
      <c r="MXX88" s="356"/>
      <c r="MXY88" s="356"/>
      <c r="MXZ88" s="356"/>
      <c r="MYA88" s="356"/>
      <c r="MYB88" s="356"/>
      <c r="MYC88" s="356"/>
      <c r="MYD88" s="356"/>
      <c r="MYE88" s="356"/>
      <c r="MYF88" s="356"/>
      <c r="MYG88" s="356"/>
      <c r="MYH88" s="356"/>
      <c r="MYI88" s="356"/>
      <c r="MYJ88" s="356"/>
      <c r="MYK88" s="356"/>
      <c r="MYL88" s="356"/>
      <c r="MYM88" s="356"/>
      <c r="MYN88" s="356"/>
      <c r="MYO88" s="356"/>
      <c r="MYP88" s="356"/>
      <c r="MYQ88" s="356"/>
      <c r="MYR88" s="356"/>
      <c r="MYS88" s="356"/>
      <c r="MYT88" s="356"/>
      <c r="MYU88" s="356"/>
      <c r="MYV88" s="356"/>
      <c r="MYW88" s="356"/>
      <c r="MYX88" s="356"/>
      <c r="MYY88" s="356"/>
      <c r="MYZ88" s="356"/>
      <c r="MZA88" s="356"/>
      <c r="MZB88" s="356"/>
      <c r="MZC88" s="356"/>
      <c r="MZD88" s="356"/>
      <c r="MZE88" s="356"/>
      <c r="MZF88" s="356"/>
      <c r="MZG88" s="356"/>
      <c r="MZH88" s="356"/>
      <c r="MZI88" s="356"/>
      <c r="MZJ88" s="356"/>
      <c r="MZK88" s="356"/>
      <c r="MZL88" s="356"/>
      <c r="MZM88" s="356"/>
      <c r="MZN88" s="356"/>
      <c r="MZO88" s="356"/>
      <c r="MZP88" s="356"/>
      <c r="MZQ88" s="356"/>
      <c r="MZR88" s="356"/>
      <c r="MZS88" s="356"/>
      <c r="MZT88" s="356"/>
      <c r="MZU88" s="356"/>
      <c r="MZV88" s="356"/>
      <c r="MZW88" s="356"/>
      <c r="MZX88" s="356"/>
      <c r="MZY88" s="356"/>
      <c r="MZZ88" s="356"/>
      <c r="NAA88" s="356"/>
      <c r="NAB88" s="356"/>
      <c r="NAC88" s="356"/>
      <c r="NAD88" s="356"/>
      <c r="NAE88" s="356"/>
      <c r="NAF88" s="356"/>
      <c r="NAG88" s="356"/>
      <c r="NAH88" s="356"/>
      <c r="NAI88" s="356"/>
      <c r="NAJ88" s="356"/>
      <c r="NAK88" s="356"/>
      <c r="NAL88" s="356"/>
      <c r="NAM88" s="356"/>
      <c r="NAN88" s="356"/>
      <c r="NAO88" s="356"/>
      <c r="NAP88" s="356"/>
      <c r="NAQ88" s="356"/>
      <c r="NAR88" s="356"/>
      <c r="NAS88" s="356"/>
      <c r="NAT88" s="356"/>
      <c r="NAU88" s="356"/>
      <c r="NAV88" s="356"/>
      <c r="NAW88" s="356"/>
      <c r="NAX88" s="356"/>
      <c r="NAY88" s="356"/>
      <c r="NAZ88" s="356"/>
      <c r="NBA88" s="356"/>
      <c r="NBB88" s="356"/>
      <c r="NBC88" s="356"/>
      <c r="NBD88" s="356"/>
      <c r="NBE88" s="356"/>
      <c r="NBF88" s="356"/>
      <c r="NBG88" s="356"/>
      <c r="NBH88" s="356"/>
      <c r="NBI88" s="356"/>
      <c r="NBJ88" s="356"/>
      <c r="NBK88" s="356"/>
      <c r="NBL88" s="356"/>
      <c r="NBM88" s="356"/>
      <c r="NBN88" s="356"/>
      <c r="NBO88" s="356"/>
      <c r="NBP88" s="356"/>
      <c r="NBQ88" s="356"/>
      <c r="NBR88" s="356"/>
      <c r="NBS88" s="356"/>
      <c r="NBT88" s="356"/>
      <c r="NBU88" s="356"/>
      <c r="NBV88" s="356"/>
      <c r="NBW88" s="356"/>
      <c r="NBX88" s="356"/>
      <c r="NBY88" s="356"/>
      <c r="NBZ88" s="356"/>
      <c r="NCA88" s="356"/>
      <c r="NCB88" s="356"/>
      <c r="NCC88" s="356"/>
      <c r="NCD88" s="356"/>
      <c r="NCE88" s="356"/>
      <c r="NCF88" s="356"/>
      <c r="NCG88" s="356"/>
      <c r="NCH88" s="356"/>
      <c r="NCI88" s="356"/>
      <c r="NCJ88" s="356"/>
      <c r="NCK88" s="356"/>
      <c r="NCL88" s="356"/>
      <c r="NCM88" s="356"/>
      <c r="NCN88" s="356"/>
      <c r="NCO88" s="356"/>
      <c r="NCP88" s="356"/>
      <c r="NCQ88" s="356"/>
      <c r="NCR88" s="356"/>
      <c r="NCS88" s="356"/>
      <c r="NCT88" s="356"/>
      <c r="NCU88" s="356"/>
      <c r="NCV88" s="356"/>
      <c r="NCW88" s="356"/>
      <c r="NCX88" s="356"/>
      <c r="NCY88" s="356"/>
      <c r="NCZ88" s="356"/>
      <c r="NDA88" s="356"/>
      <c r="NDB88" s="356"/>
      <c r="NDC88" s="356"/>
      <c r="NDD88" s="356"/>
      <c r="NDE88" s="356"/>
      <c r="NDF88" s="356"/>
      <c r="NDG88" s="356"/>
      <c r="NDH88" s="356"/>
      <c r="NDI88" s="356"/>
      <c r="NDJ88" s="356"/>
      <c r="NDK88" s="356"/>
      <c r="NDL88" s="356"/>
      <c r="NDM88" s="356"/>
      <c r="NDN88" s="356"/>
      <c r="NDO88" s="356"/>
      <c r="NDP88" s="356"/>
      <c r="NDQ88" s="356"/>
      <c r="NDR88" s="356"/>
      <c r="NDS88" s="356"/>
      <c r="NDT88" s="356"/>
      <c r="NDU88" s="356"/>
      <c r="NDV88" s="356"/>
      <c r="NDW88" s="356"/>
      <c r="NDX88" s="356"/>
      <c r="NDY88" s="356"/>
      <c r="NDZ88" s="356"/>
      <c r="NEA88" s="356"/>
      <c r="NEB88" s="356"/>
      <c r="NEC88" s="356"/>
      <c r="NED88" s="356"/>
      <c r="NEE88" s="356"/>
      <c r="NEF88" s="356"/>
      <c r="NEG88" s="356"/>
      <c r="NEH88" s="356"/>
      <c r="NEI88" s="356"/>
      <c r="NEJ88" s="356"/>
      <c r="NEK88" s="356"/>
      <c r="NEL88" s="356"/>
      <c r="NEM88" s="356"/>
      <c r="NEN88" s="356"/>
      <c r="NEO88" s="356"/>
      <c r="NEP88" s="356"/>
      <c r="NEQ88" s="356"/>
      <c r="NER88" s="356"/>
      <c r="NES88" s="356"/>
      <c r="NET88" s="356"/>
      <c r="NEU88" s="356"/>
      <c r="NEV88" s="356"/>
      <c r="NEW88" s="356"/>
      <c r="NEX88" s="356"/>
      <c r="NEY88" s="356"/>
      <c r="NEZ88" s="356"/>
      <c r="NFA88" s="356"/>
      <c r="NFB88" s="356"/>
      <c r="NFC88" s="356"/>
      <c r="NFD88" s="356"/>
      <c r="NFE88" s="356"/>
      <c r="NFF88" s="356"/>
      <c r="NFG88" s="356"/>
      <c r="NFH88" s="356"/>
      <c r="NFI88" s="356"/>
      <c r="NFJ88" s="356"/>
      <c r="NFK88" s="356"/>
      <c r="NFL88" s="356"/>
      <c r="NFM88" s="356"/>
      <c r="NFN88" s="356"/>
      <c r="NFO88" s="356"/>
      <c r="NFP88" s="356"/>
      <c r="NFQ88" s="356"/>
      <c r="NFR88" s="356"/>
      <c r="NFS88" s="356"/>
      <c r="NFT88" s="356"/>
      <c r="NFU88" s="356"/>
      <c r="NFV88" s="356"/>
      <c r="NFW88" s="356"/>
      <c r="NFX88" s="356"/>
      <c r="NFY88" s="356"/>
      <c r="NFZ88" s="356"/>
      <c r="NGA88" s="356"/>
      <c r="NGB88" s="356"/>
      <c r="NGC88" s="356"/>
      <c r="NGD88" s="356"/>
      <c r="NGE88" s="356"/>
      <c r="NGF88" s="356"/>
      <c r="NGG88" s="356"/>
      <c r="NGH88" s="356"/>
      <c r="NGI88" s="356"/>
      <c r="NGJ88" s="356"/>
      <c r="NGK88" s="356"/>
      <c r="NGL88" s="356"/>
      <c r="NGM88" s="356"/>
      <c r="NGN88" s="356"/>
      <c r="NGO88" s="356"/>
      <c r="NGP88" s="356"/>
      <c r="NGQ88" s="356"/>
      <c r="NGR88" s="356"/>
      <c r="NGS88" s="356"/>
      <c r="NGT88" s="356"/>
      <c r="NGU88" s="356"/>
      <c r="NGV88" s="356"/>
      <c r="NGW88" s="356"/>
      <c r="NGX88" s="356"/>
      <c r="NGY88" s="356"/>
      <c r="NGZ88" s="356"/>
      <c r="NHA88" s="356"/>
      <c r="NHB88" s="356"/>
      <c r="NHC88" s="356"/>
      <c r="NHD88" s="356"/>
      <c r="NHE88" s="356"/>
      <c r="NHF88" s="356"/>
      <c r="NHG88" s="356"/>
      <c r="NHH88" s="356"/>
      <c r="NHI88" s="356"/>
      <c r="NHJ88" s="356"/>
      <c r="NHK88" s="356"/>
      <c r="NHL88" s="356"/>
      <c r="NHM88" s="356"/>
      <c r="NHN88" s="356"/>
      <c r="NHO88" s="356"/>
      <c r="NHP88" s="356"/>
      <c r="NHQ88" s="356"/>
      <c r="NHR88" s="356"/>
      <c r="NHS88" s="356"/>
      <c r="NHT88" s="356"/>
      <c r="NHU88" s="356"/>
      <c r="NHV88" s="356"/>
      <c r="NHW88" s="356"/>
      <c r="NHX88" s="356"/>
      <c r="NHY88" s="356"/>
      <c r="NHZ88" s="356"/>
      <c r="NIA88" s="356"/>
      <c r="NIB88" s="356"/>
      <c r="NIC88" s="356"/>
      <c r="NID88" s="356"/>
      <c r="NIE88" s="356"/>
      <c r="NIF88" s="356"/>
      <c r="NIG88" s="356"/>
      <c r="NIH88" s="356"/>
      <c r="NII88" s="356"/>
      <c r="NIJ88" s="356"/>
      <c r="NIK88" s="356"/>
      <c r="NIL88" s="356"/>
      <c r="NIM88" s="356"/>
      <c r="NIN88" s="356"/>
      <c r="NIO88" s="356"/>
      <c r="NIP88" s="356"/>
      <c r="NIQ88" s="356"/>
      <c r="NIR88" s="356"/>
      <c r="NIS88" s="356"/>
      <c r="NIT88" s="356"/>
      <c r="NIU88" s="356"/>
      <c r="NIV88" s="356"/>
      <c r="NIW88" s="356"/>
      <c r="NIX88" s="356"/>
      <c r="NIY88" s="356"/>
      <c r="NIZ88" s="356"/>
      <c r="NJA88" s="356"/>
      <c r="NJB88" s="356"/>
      <c r="NJC88" s="356"/>
      <c r="NJD88" s="356"/>
      <c r="NJE88" s="356"/>
      <c r="NJF88" s="356"/>
      <c r="NJG88" s="356"/>
      <c r="NJH88" s="356"/>
      <c r="NJI88" s="356"/>
      <c r="NJJ88" s="356"/>
      <c r="NJK88" s="356"/>
      <c r="NJL88" s="356"/>
      <c r="NJM88" s="356"/>
      <c r="NJN88" s="356"/>
      <c r="NJO88" s="356"/>
      <c r="NJP88" s="356"/>
      <c r="NJQ88" s="356"/>
      <c r="NJR88" s="356"/>
      <c r="NJS88" s="356"/>
      <c r="NJT88" s="356"/>
      <c r="NJU88" s="356"/>
      <c r="NJV88" s="356"/>
      <c r="NJW88" s="356"/>
      <c r="NJX88" s="356"/>
      <c r="NJY88" s="356"/>
      <c r="NJZ88" s="356"/>
      <c r="NKA88" s="356"/>
      <c r="NKB88" s="356"/>
      <c r="NKC88" s="356"/>
      <c r="NKD88" s="356"/>
      <c r="NKE88" s="356"/>
      <c r="NKF88" s="356"/>
      <c r="NKG88" s="356"/>
      <c r="NKH88" s="356"/>
      <c r="NKI88" s="356"/>
      <c r="NKJ88" s="356"/>
      <c r="NKK88" s="356"/>
      <c r="NKL88" s="356"/>
      <c r="NKM88" s="356"/>
      <c r="NKN88" s="356"/>
      <c r="NKO88" s="356"/>
      <c r="NKP88" s="356"/>
      <c r="NKQ88" s="356"/>
      <c r="NKR88" s="356"/>
      <c r="NKS88" s="356"/>
      <c r="NKT88" s="356"/>
      <c r="NKU88" s="356"/>
      <c r="NKV88" s="356"/>
      <c r="NKW88" s="356"/>
      <c r="NKX88" s="356"/>
      <c r="NKY88" s="356"/>
      <c r="NKZ88" s="356"/>
      <c r="NLA88" s="356"/>
      <c r="NLB88" s="356"/>
      <c r="NLC88" s="356"/>
      <c r="NLD88" s="356"/>
      <c r="NLE88" s="356"/>
      <c r="NLF88" s="356"/>
      <c r="NLG88" s="356"/>
      <c r="NLH88" s="356"/>
      <c r="NLI88" s="356"/>
      <c r="NLJ88" s="356"/>
      <c r="NLK88" s="356"/>
      <c r="NLL88" s="356"/>
      <c r="NLM88" s="356"/>
      <c r="NLN88" s="356"/>
      <c r="NLO88" s="356"/>
      <c r="NLP88" s="356"/>
      <c r="NLQ88" s="356"/>
      <c r="NLR88" s="356"/>
      <c r="NLS88" s="356"/>
      <c r="NLT88" s="356"/>
      <c r="NLU88" s="356"/>
      <c r="NLV88" s="356"/>
      <c r="NLW88" s="356"/>
      <c r="NLX88" s="356"/>
      <c r="NLY88" s="356"/>
      <c r="NLZ88" s="356"/>
      <c r="NMA88" s="356"/>
      <c r="NMB88" s="356"/>
      <c r="NMC88" s="356"/>
      <c r="NMD88" s="356"/>
      <c r="NME88" s="356"/>
      <c r="NMF88" s="356"/>
      <c r="NMG88" s="356"/>
      <c r="NMH88" s="356"/>
      <c r="NMI88" s="356"/>
      <c r="NMJ88" s="356"/>
      <c r="NMK88" s="356"/>
      <c r="NML88" s="356"/>
      <c r="NMM88" s="356"/>
      <c r="NMN88" s="356"/>
      <c r="NMO88" s="356"/>
      <c r="NMP88" s="356"/>
      <c r="NMQ88" s="356"/>
      <c r="NMR88" s="356"/>
      <c r="NMS88" s="356"/>
      <c r="NMT88" s="356"/>
      <c r="NMU88" s="356"/>
      <c r="NMV88" s="356"/>
      <c r="NMW88" s="356"/>
      <c r="NMX88" s="356"/>
      <c r="NMY88" s="356"/>
      <c r="NMZ88" s="356"/>
      <c r="NNA88" s="356"/>
      <c r="NNB88" s="356"/>
      <c r="NNC88" s="356"/>
      <c r="NND88" s="356"/>
      <c r="NNE88" s="356"/>
      <c r="NNF88" s="356"/>
      <c r="NNG88" s="356"/>
      <c r="NNH88" s="356"/>
      <c r="NNI88" s="356"/>
      <c r="NNJ88" s="356"/>
      <c r="NNK88" s="356"/>
      <c r="NNL88" s="356"/>
      <c r="NNM88" s="356"/>
      <c r="NNN88" s="356"/>
      <c r="NNO88" s="356"/>
      <c r="NNP88" s="356"/>
      <c r="NNQ88" s="356"/>
      <c r="NNR88" s="356"/>
      <c r="NNS88" s="356"/>
      <c r="NNT88" s="356"/>
      <c r="NNU88" s="356"/>
      <c r="NNV88" s="356"/>
      <c r="NNW88" s="356"/>
      <c r="NNX88" s="356"/>
      <c r="NNY88" s="356"/>
      <c r="NNZ88" s="356"/>
      <c r="NOA88" s="356"/>
      <c r="NOB88" s="356"/>
      <c r="NOC88" s="356"/>
      <c r="NOD88" s="356"/>
      <c r="NOE88" s="356"/>
      <c r="NOF88" s="356"/>
      <c r="NOG88" s="356"/>
      <c r="NOH88" s="356"/>
      <c r="NOI88" s="356"/>
      <c r="NOJ88" s="356"/>
      <c r="NOK88" s="356"/>
      <c r="NOL88" s="356"/>
      <c r="NOM88" s="356"/>
      <c r="NON88" s="356"/>
      <c r="NOO88" s="356"/>
      <c r="NOP88" s="356"/>
      <c r="NOQ88" s="356"/>
      <c r="NOR88" s="356"/>
      <c r="NOS88" s="356"/>
      <c r="NOT88" s="356"/>
      <c r="NOU88" s="356"/>
      <c r="NOV88" s="356"/>
      <c r="NOW88" s="356"/>
      <c r="NOX88" s="356"/>
      <c r="NOY88" s="356"/>
      <c r="NOZ88" s="356"/>
      <c r="NPA88" s="356"/>
      <c r="NPB88" s="356"/>
      <c r="NPC88" s="356"/>
      <c r="NPD88" s="356"/>
      <c r="NPE88" s="356"/>
      <c r="NPF88" s="356"/>
      <c r="NPG88" s="356"/>
      <c r="NPH88" s="356"/>
      <c r="NPI88" s="356"/>
      <c r="NPJ88" s="356"/>
      <c r="NPK88" s="356"/>
      <c r="NPL88" s="356"/>
      <c r="NPM88" s="356"/>
      <c r="NPN88" s="356"/>
      <c r="NPO88" s="356"/>
      <c r="NPP88" s="356"/>
      <c r="NPQ88" s="356"/>
      <c r="NPR88" s="356"/>
      <c r="NPS88" s="356"/>
      <c r="NPT88" s="356"/>
      <c r="NPU88" s="356"/>
      <c r="NPV88" s="356"/>
      <c r="NPW88" s="356"/>
      <c r="NPX88" s="356"/>
      <c r="NPY88" s="356"/>
      <c r="NPZ88" s="356"/>
      <c r="NQA88" s="356"/>
      <c r="NQB88" s="356"/>
      <c r="NQC88" s="356"/>
      <c r="NQD88" s="356"/>
      <c r="NQE88" s="356"/>
      <c r="NQF88" s="356"/>
      <c r="NQG88" s="356"/>
      <c r="NQH88" s="356"/>
      <c r="NQI88" s="356"/>
      <c r="NQJ88" s="356"/>
      <c r="NQK88" s="356"/>
      <c r="NQL88" s="356"/>
      <c r="NQM88" s="356"/>
      <c r="NQN88" s="356"/>
      <c r="NQO88" s="356"/>
      <c r="NQP88" s="356"/>
      <c r="NQQ88" s="356"/>
      <c r="NQR88" s="356"/>
      <c r="NQS88" s="356"/>
      <c r="NQT88" s="356"/>
      <c r="NQU88" s="356"/>
      <c r="NQV88" s="356"/>
      <c r="NQW88" s="356"/>
      <c r="NQX88" s="356"/>
      <c r="NQY88" s="356"/>
      <c r="NQZ88" s="356"/>
      <c r="NRA88" s="356"/>
      <c r="NRB88" s="356"/>
      <c r="NRC88" s="356"/>
      <c r="NRD88" s="356"/>
      <c r="NRE88" s="356"/>
      <c r="NRF88" s="356"/>
      <c r="NRG88" s="356"/>
      <c r="NRH88" s="356"/>
      <c r="NRI88" s="356"/>
      <c r="NRJ88" s="356"/>
      <c r="NRK88" s="356"/>
      <c r="NRL88" s="356"/>
      <c r="NRM88" s="356"/>
      <c r="NRN88" s="356"/>
      <c r="NRO88" s="356"/>
      <c r="NRP88" s="356"/>
      <c r="NRQ88" s="356"/>
      <c r="NRR88" s="356"/>
      <c r="NRS88" s="356"/>
      <c r="NRT88" s="356"/>
      <c r="NRU88" s="356"/>
      <c r="NRV88" s="356"/>
      <c r="NRW88" s="356"/>
      <c r="NRX88" s="356"/>
      <c r="NRY88" s="356"/>
      <c r="NRZ88" s="356"/>
      <c r="NSA88" s="356"/>
      <c r="NSB88" s="356"/>
      <c r="NSC88" s="356"/>
      <c r="NSD88" s="356"/>
      <c r="NSE88" s="356"/>
      <c r="NSF88" s="356"/>
      <c r="NSG88" s="356"/>
      <c r="NSH88" s="356"/>
      <c r="NSI88" s="356"/>
      <c r="NSJ88" s="356"/>
      <c r="NSK88" s="356"/>
      <c r="NSL88" s="356"/>
      <c r="NSM88" s="356"/>
      <c r="NSN88" s="356"/>
      <c r="NSO88" s="356"/>
      <c r="NSP88" s="356"/>
      <c r="NSQ88" s="356"/>
      <c r="NSR88" s="356"/>
      <c r="NSS88" s="356"/>
      <c r="NST88" s="356"/>
      <c r="NSU88" s="356"/>
      <c r="NSV88" s="356"/>
      <c r="NSW88" s="356"/>
      <c r="NSX88" s="356"/>
      <c r="NSY88" s="356"/>
      <c r="NSZ88" s="356"/>
      <c r="NTA88" s="356"/>
      <c r="NTB88" s="356"/>
      <c r="NTC88" s="356"/>
      <c r="NTD88" s="356"/>
      <c r="NTE88" s="356"/>
      <c r="NTF88" s="356"/>
      <c r="NTG88" s="356"/>
      <c r="NTH88" s="356"/>
      <c r="NTI88" s="356"/>
      <c r="NTJ88" s="356"/>
      <c r="NTK88" s="356"/>
      <c r="NTL88" s="356"/>
      <c r="NTM88" s="356"/>
      <c r="NTN88" s="356"/>
      <c r="NTO88" s="356"/>
      <c r="NTP88" s="356"/>
      <c r="NTQ88" s="356"/>
      <c r="NTR88" s="356"/>
      <c r="NTS88" s="356"/>
      <c r="NTT88" s="356"/>
      <c r="NTU88" s="356"/>
      <c r="NTV88" s="356"/>
      <c r="NTW88" s="356"/>
      <c r="NTX88" s="356"/>
      <c r="NTY88" s="356"/>
      <c r="NTZ88" s="356"/>
      <c r="NUA88" s="356"/>
      <c r="NUB88" s="356"/>
      <c r="NUC88" s="356"/>
      <c r="NUD88" s="356"/>
      <c r="NUE88" s="356"/>
      <c r="NUF88" s="356"/>
      <c r="NUG88" s="356"/>
      <c r="NUH88" s="356"/>
      <c r="NUI88" s="356"/>
      <c r="NUJ88" s="356"/>
      <c r="NUK88" s="356"/>
      <c r="NUL88" s="356"/>
      <c r="NUM88" s="356"/>
      <c r="NUN88" s="356"/>
      <c r="NUO88" s="356"/>
      <c r="NUP88" s="356"/>
      <c r="NUQ88" s="356"/>
      <c r="NUR88" s="356"/>
      <c r="NUS88" s="356"/>
      <c r="NUT88" s="356"/>
      <c r="NUU88" s="356"/>
      <c r="NUV88" s="356"/>
      <c r="NUW88" s="356"/>
      <c r="NUX88" s="356"/>
      <c r="NUY88" s="356"/>
      <c r="NUZ88" s="356"/>
      <c r="NVA88" s="356"/>
      <c r="NVB88" s="356"/>
      <c r="NVC88" s="356"/>
      <c r="NVD88" s="356"/>
      <c r="NVE88" s="356"/>
      <c r="NVF88" s="356"/>
      <c r="NVG88" s="356"/>
      <c r="NVH88" s="356"/>
      <c r="NVI88" s="356"/>
      <c r="NVJ88" s="356"/>
      <c r="NVK88" s="356"/>
      <c r="NVL88" s="356"/>
      <c r="NVM88" s="356"/>
      <c r="NVN88" s="356"/>
      <c r="NVO88" s="356"/>
      <c r="NVP88" s="356"/>
      <c r="NVQ88" s="356"/>
      <c r="NVR88" s="356"/>
      <c r="NVS88" s="356"/>
      <c r="NVT88" s="356"/>
      <c r="NVU88" s="356"/>
      <c r="NVV88" s="356"/>
      <c r="NVW88" s="356"/>
      <c r="NVX88" s="356"/>
      <c r="NVY88" s="356"/>
      <c r="NVZ88" s="356"/>
      <c r="NWA88" s="356"/>
      <c r="NWB88" s="356"/>
      <c r="NWC88" s="356"/>
      <c r="NWD88" s="356"/>
      <c r="NWE88" s="356"/>
      <c r="NWF88" s="356"/>
      <c r="NWG88" s="356"/>
      <c r="NWH88" s="356"/>
      <c r="NWI88" s="356"/>
      <c r="NWJ88" s="356"/>
      <c r="NWK88" s="356"/>
      <c r="NWL88" s="356"/>
      <c r="NWM88" s="356"/>
      <c r="NWN88" s="356"/>
      <c r="NWO88" s="356"/>
      <c r="NWP88" s="356"/>
      <c r="NWQ88" s="356"/>
      <c r="NWR88" s="356"/>
      <c r="NWS88" s="356"/>
      <c r="NWT88" s="356"/>
      <c r="NWU88" s="356"/>
      <c r="NWV88" s="356"/>
      <c r="NWW88" s="356"/>
      <c r="NWX88" s="356"/>
      <c r="NWY88" s="356"/>
      <c r="NWZ88" s="356"/>
      <c r="NXA88" s="356"/>
      <c r="NXB88" s="356"/>
      <c r="NXC88" s="356"/>
      <c r="NXD88" s="356"/>
      <c r="NXE88" s="356"/>
      <c r="NXF88" s="356"/>
      <c r="NXG88" s="356"/>
      <c r="NXH88" s="356"/>
      <c r="NXI88" s="356"/>
      <c r="NXJ88" s="356"/>
      <c r="NXK88" s="356"/>
      <c r="NXL88" s="356"/>
      <c r="NXM88" s="356"/>
      <c r="NXN88" s="356"/>
      <c r="NXO88" s="356"/>
      <c r="NXP88" s="356"/>
      <c r="NXQ88" s="356"/>
      <c r="NXR88" s="356"/>
      <c r="NXS88" s="356"/>
      <c r="NXT88" s="356"/>
      <c r="NXU88" s="356"/>
      <c r="NXV88" s="356"/>
      <c r="NXW88" s="356"/>
      <c r="NXX88" s="356"/>
      <c r="NXY88" s="356"/>
      <c r="NXZ88" s="356"/>
      <c r="NYA88" s="356"/>
      <c r="NYB88" s="356"/>
      <c r="NYC88" s="356"/>
      <c r="NYD88" s="356"/>
      <c r="NYE88" s="356"/>
      <c r="NYF88" s="356"/>
      <c r="NYG88" s="356"/>
      <c r="NYH88" s="356"/>
      <c r="NYI88" s="356"/>
      <c r="NYJ88" s="356"/>
      <c r="NYK88" s="356"/>
      <c r="NYL88" s="356"/>
      <c r="NYM88" s="356"/>
      <c r="NYN88" s="356"/>
      <c r="NYO88" s="356"/>
      <c r="NYP88" s="356"/>
      <c r="NYQ88" s="356"/>
      <c r="NYR88" s="356"/>
      <c r="NYS88" s="356"/>
      <c r="NYT88" s="356"/>
      <c r="NYU88" s="356"/>
      <c r="NYV88" s="356"/>
      <c r="NYW88" s="356"/>
      <c r="NYX88" s="356"/>
      <c r="NYY88" s="356"/>
      <c r="NYZ88" s="356"/>
      <c r="NZA88" s="356"/>
      <c r="NZB88" s="356"/>
      <c r="NZC88" s="356"/>
      <c r="NZD88" s="356"/>
      <c r="NZE88" s="356"/>
      <c r="NZF88" s="356"/>
      <c r="NZG88" s="356"/>
      <c r="NZH88" s="356"/>
      <c r="NZI88" s="356"/>
      <c r="NZJ88" s="356"/>
      <c r="NZK88" s="356"/>
      <c r="NZL88" s="356"/>
      <c r="NZM88" s="356"/>
      <c r="NZN88" s="356"/>
      <c r="NZO88" s="356"/>
      <c r="NZP88" s="356"/>
      <c r="NZQ88" s="356"/>
      <c r="NZR88" s="356"/>
      <c r="NZS88" s="356"/>
      <c r="NZT88" s="356"/>
      <c r="NZU88" s="356"/>
      <c r="NZV88" s="356"/>
      <c r="NZW88" s="356"/>
      <c r="NZX88" s="356"/>
      <c r="NZY88" s="356"/>
      <c r="NZZ88" s="356"/>
      <c r="OAA88" s="356"/>
      <c r="OAB88" s="356"/>
      <c r="OAC88" s="356"/>
      <c r="OAD88" s="356"/>
      <c r="OAE88" s="356"/>
      <c r="OAF88" s="356"/>
      <c r="OAG88" s="356"/>
      <c r="OAH88" s="356"/>
      <c r="OAI88" s="356"/>
      <c r="OAJ88" s="356"/>
      <c r="OAK88" s="356"/>
      <c r="OAL88" s="356"/>
      <c r="OAM88" s="356"/>
      <c r="OAN88" s="356"/>
      <c r="OAO88" s="356"/>
      <c r="OAP88" s="356"/>
      <c r="OAQ88" s="356"/>
      <c r="OAR88" s="356"/>
      <c r="OAS88" s="356"/>
      <c r="OAT88" s="356"/>
      <c r="OAU88" s="356"/>
      <c r="OAV88" s="356"/>
      <c r="OAW88" s="356"/>
      <c r="OAX88" s="356"/>
      <c r="OAY88" s="356"/>
      <c r="OAZ88" s="356"/>
      <c r="OBA88" s="356"/>
      <c r="OBB88" s="356"/>
      <c r="OBC88" s="356"/>
      <c r="OBD88" s="356"/>
      <c r="OBE88" s="356"/>
      <c r="OBF88" s="356"/>
      <c r="OBG88" s="356"/>
      <c r="OBH88" s="356"/>
      <c r="OBI88" s="356"/>
      <c r="OBJ88" s="356"/>
      <c r="OBK88" s="356"/>
      <c r="OBL88" s="356"/>
      <c r="OBM88" s="356"/>
      <c r="OBN88" s="356"/>
      <c r="OBO88" s="356"/>
      <c r="OBP88" s="356"/>
      <c r="OBQ88" s="356"/>
      <c r="OBR88" s="356"/>
      <c r="OBS88" s="356"/>
      <c r="OBT88" s="356"/>
      <c r="OBU88" s="356"/>
      <c r="OBV88" s="356"/>
      <c r="OBW88" s="356"/>
      <c r="OBX88" s="356"/>
      <c r="OBY88" s="356"/>
      <c r="OBZ88" s="356"/>
      <c r="OCA88" s="356"/>
      <c r="OCB88" s="356"/>
      <c r="OCC88" s="356"/>
      <c r="OCD88" s="356"/>
      <c r="OCE88" s="356"/>
      <c r="OCF88" s="356"/>
      <c r="OCG88" s="356"/>
      <c r="OCH88" s="356"/>
      <c r="OCI88" s="356"/>
      <c r="OCJ88" s="356"/>
      <c r="OCK88" s="356"/>
      <c r="OCL88" s="356"/>
      <c r="OCM88" s="356"/>
      <c r="OCN88" s="356"/>
      <c r="OCO88" s="356"/>
      <c r="OCP88" s="356"/>
      <c r="OCQ88" s="356"/>
      <c r="OCR88" s="356"/>
      <c r="OCS88" s="356"/>
      <c r="OCT88" s="356"/>
      <c r="OCU88" s="356"/>
      <c r="OCV88" s="356"/>
      <c r="OCW88" s="356"/>
      <c r="OCX88" s="356"/>
      <c r="OCY88" s="356"/>
      <c r="OCZ88" s="356"/>
      <c r="ODA88" s="356"/>
      <c r="ODB88" s="356"/>
      <c r="ODC88" s="356"/>
      <c r="ODD88" s="356"/>
      <c r="ODE88" s="356"/>
      <c r="ODF88" s="356"/>
      <c r="ODG88" s="356"/>
      <c r="ODH88" s="356"/>
      <c r="ODI88" s="356"/>
      <c r="ODJ88" s="356"/>
      <c r="ODK88" s="356"/>
      <c r="ODL88" s="356"/>
      <c r="ODM88" s="356"/>
      <c r="ODN88" s="356"/>
      <c r="ODO88" s="356"/>
      <c r="ODP88" s="356"/>
      <c r="ODQ88" s="356"/>
      <c r="ODR88" s="356"/>
      <c r="ODS88" s="356"/>
      <c r="ODT88" s="356"/>
      <c r="ODU88" s="356"/>
      <c r="ODV88" s="356"/>
      <c r="ODW88" s="356"/>
      <c r="ODX88" s="356"/>
      <c r="ODY88" s="356"/>
      <c r="ODZ88" s="356"/>
      <c r="OEA88" s="356"/>
      <c r="OEB88" s="356"/>
      <c r="OEC88" s="356"/>
      <c r="OED88" s="356"/>
      <c r="OEE88" s="356"/>
      <c r="OEF88" s="356"/>
      <c r="OEG88" s="356"/>
      <c r="OEH88" s="356"/>
      <c r="OEI88" s="356"/>
      <c r="OEJ88" s="356"/>
      <c r="OEK88" s="356"/>
      <c r="OEL88" s="356"/>
      <c r="OEM88" s="356"/>
      <c r="OEN88" s="356"/>
      <c r="OEO88" s="356"/>
      <c r="OEP88" s="356"/>
      <c r="OEQ88" s="356"/>
      <c r="OER88" s="356"/>
      <c r="OES88" s="356"/>
      <c r="OET88" s="356"/>
      <c r="OEU88" s="356"/>
      <c r="OEV88" s="356"/>
      <c r="OEW88" s="356"/>
      <c r="OEX88" s="356"/>
      <c r="OEY88" s="356"/>
      <c r="OEZ88" s="356"/>
      <c r="OFA88" s="356"/>
      <c r="OFB88" s="356"/>
      <c r="OFC88" s="356"/>
      <c r="OFD88" s="356"/>
      <c r="OFE88" s="356"/>
      <c r="OFF88" s="356"/>
      <c r="OFG88" s="356"/>
      <c r="OFH88" s="356"/>
      <c r="OFI88" s="356"/>
      <c r="OFJ88" s="356"/>
      <c r="OFK88" s="356"/>
      <c r="OFL88" s="356"/>
      <c r="OFM88" s="356"/>
      <c r="OFN88" s="356"/>
      <c r="OFO88" s="356"/>
      <c r="OFP88" s="356"/>
      <c r="OFQ88" s="356"/>
      <c r="OFR88" s="356"/>
      <c r="OFS88" s="356"/>
      <c r="OFT88" s="356"/>
      <c r="OFU88" s="356"/>
      <c r="OFV88" s="356"/>
      <c r="OFW88" s="356"/>
      <c r="OFX88" s="356"/>
      <c r="OFY88" s="356"/>
      <c r="OFZ88" s="356"/>
      <c r="OGA88" s="356"/>
      <c r="OGB88" s="356"/>
      <c r="OGC88" s="356"/>
      <c r="OGD88" s="356"/>
      <c r="OGE88" s="356"/>
      <c r="OGF88" s="356"/>
      <c r="OGG88" s="356"/>
      <c r="OGH88" s="356"/>
      <c r="OGI88" s="356"/>
      <c r="OGJ88" s="356"/>
      <c r="OGK88" s="356"/>
      <c r="OGL88" s="356"/>
      <c r="OGM88" s="356"/>
      <c r="OGN88" s="356"/>
      <c r="OGO88" s="356"/>
      <c r="OGP88" s="356"/>
      <c r="OGQ88" s="356"/>
      <c r="OGR88" s="356"/>
      <c r="OGS88" s="356"/>
      <c r="OGT88" s="356"/>
      <c r="OGU88" s="356"/>
      <c r="OGV88" s="356"/>
      <c r="OGW88" s="356"/>
      <c r="OGX88" s="356"/>
      <c r="OGY88" s="356"/>
      <c r="OGZ88" s="356"/>
      <c r="OHA88" s="356"/>
      <c r="OHB88" s="356"/>
      <c r="OHC88" s="356"/>
      <c r="OHD88" s="356"/>
      <c r="OHE88" s="356"/>
      <c r="OHF88" s="356"/>
      <c r="OHG88" s="356"/>
      <c r="OHH88" s="356"/>
      <c r="OHI88" s="356"/>
      <c r="OHJ88" s="356"/>
      <c r="OHK88" s="356"/>
      <c r="OHL88" s="356"/>
      <c r="OHM88" s="356"/>
      <c r="OHN88" s="356"/>
      <c r="OHO88" s="356"/>
      <c r="OHP88" s="356"/>
      <c r="OHQ88" s="356"/>
      <c r="OHR88" s="356"/>
      <c r="OHS88" s="356"/>
      <c r="OHT88" s="356"/>
      <c r="OHU88" s="356"/>
      <c r="OHV88" s="356"/>
      <c r="OHW88" s="356"/>
      <c r="OHX88" s="356"/>
      <c r="OHY88" s="356"/>
      <c r="OHZ88" s="356"/>
      <c r="OIA88" s="356"/>
      <c r="OIB88" s="356"/>
      <c r="OIC88" s="356"/>
      <c r="OID88" s="356"/>
      <c r="OIE88" s="356"/>
      <c r="OIF88" s="356"/>
      <c r="OIG88" s="356"/>
      <c r="OIH88" s="356"/>
      <c r="OII88" s="356"/>
      <c r="OIJ88" s="356"/>
      <c r="OIK88" s="356"/>
      <c r="OIL88" s="356"/>
      <c r="OIM88" s="356"/>
      <c r="OIN88" s="356"/>
      <c r="OIO88" s="356"/>
      <c r="OIP88" s="356"/>
      <c r="OIQ88" s="356"/>
      <c r="OIR88" s="356"/>
      <c r="OIS88" s="356"/>
      <c r="OIT88" s="356"/>
      <c r="OIU88" s="356"/>
      <c r="OIV88" s="356"/>
      <c r="OIW88" s="356"/>
      <c r="OIX88" s="356"/>
      <c r="OIY88" s="356"/>
      <c r="OIZ88" s="356"/>
      <c r="OJA88" s="356"/>
      <c r="OJB88" s="356"/>
      <c r="OJC88" s="356"/>
      <c r="OJD88" s="356"/>
      <c r="OJE88" s="356"/>
      <c r="OJF88" s="356"/>
      <c r="OJG88" s="356"/>
      <c r="OJH88" s="356"/>
      <c r="OJI88" s="356"/>
      <c r="OJJ88" s="356"/>
      <c r="OJK88" s="356"/>
      <c r="OJL88" s="356"/>
      <c r="OJM88" s="356"/>
      <c r="OJN88" s="356"/>
      <c r="OJO88" s="356"/>
      <c r="OJP88" s="356"/>
      <c r="OJQ88" s="356"/>
      <c r="OJR88" s="356"/>
      <c r="OJS88" s="356"/>
      <c r="OJT88" s="356"/>
      <c r="OJU88" s="356"/>
      <c r="OJV88" s="356"/>
      <c r="OJW88" s="356"/>
      <c r="OJX88" s="356"/>
      <c r="OJY88" s="356"/>
      <c r="OJZ88" s="356"/>
      <c r="OKA88" s="356"/>
      <c r="OKB88" s="356"/>
      <c r="OKC88" s="356"/>
      <c r="OKD88" s="356"/>
      <c r="OKE88" s="356"/>
      <c r="OKF88" s="356"/>
      <c r="OKG88" s="356"/>
      <c r="OKH88" s="356"/>
      <c r="OKI88" s="356"/>
      <c r="OKJ88" s="356"/>
      <c r="OKK88" s="356"/>
      <c r="OKL88" s="356"/>
      <c r="OKM88" s="356"/>
      <c r="OKN88" s="356"/>
      <c r="OKO88" s="356"/>
      <c r="OKP88" s="356"/>
      <c r="OKQ88" s="356"/>
      <c r="OKR88" s="356"/>
      <c r="OKS88" s="356"/>
      <c r="OKT88" s="356"/>
      <c r="OKU88" s="356"/>
      <c r="OKV88" s="356"/>
      <c r="OKW88" s="356"/>
      <c r="OKX88" s="356"/>
      <c r="OKY88" s="356"/>
      <c r="OKZ88" s="356"/>
      <c r="OLA88" s="356"/>
      <c r="OLB88" s="356"/>
      <c r="OLC88" s="356"/>
      <c r="OLD88" s="356"/>
      <c r="OLE88" s="356"/>
      <c r="OLF88" s="356"/>
      <c r="OLG88" s="356"/>
      <c r="OLH88" s="356"/>
      <c r="OLI88" s="356"/>
      <c r="OLJ88" s="356"/>
      <c r="OLK88" s="356"/>
      <c r="OLL88" s="356"/>
      <c r="OLM88" s="356"/>
      <c r="OLN88" s="356"/>
      <c r="OLO88" s="356"/>
      <c r="OLP88" s="356"/>
      <c r="OLQ88" s="356"/>
      <c r="OLR88" s="356"/>
      <c r="OLS88" s="356"/>
      <c r="OLT88" s="356"/>
      <c r="OLU88" s="356"/>
      <c r="OLV88" s="356"/>
      <c r="OLW88" s="356"/>
      <c r="OLX88" s="356"/>
      <c r="OLY88" s="356"/>
      <c r="OLZ88" s="356"/>
      <c r="OMA88" s="356"/>
      <c r="OMB88" s="356"/>
      <c r="OMC88" s="356"/>
      <c r="OMD88" s="356"/>
      <c r="OME88" s="356"/>
      <c r="OMF88" s="356"/>
      <c r="OMG88" s="356"/>
      <c r="OMH88" s="356"/>
      <c r="OMI88" s="356"/>
      <c r="OMJ88" s="356"/>
      <c r="OMK88" s="356"/>
      <c r="OML88" s="356"/>
      <c r="OMM88" s="356"/>
      <c r="OMN88" s="356"/>
      <c r="OMO88" s="356"/>
      <c r="OMP88" s="356"/>
      <c r="OMQ88" s="356"/>
      <c r="OMR88" s="356"/>
      <c r="OMS88" s="356"/>
      <c r="OMT88" s="356"/>
      <c r="OMU88" s="356"/>
      <c r="OMV88" s="356"/>
      <c r="OMW88" s="356"/>
      <c r="OMX88" s="356"/>
      <c r="OMY88" s="356"/>
      <c r="OMZ88" s="356"/>
      <c r="ONA88" s="356"/>
      <c r="ONB88" s="356"/>
      <c r="ONC88" s="356"/>
      <c r="OND88" s="356"/>
      <c r="ONE88" s="356"/>
      <c r="ONF88" s="356"/>
      <c r="ONG88" s="356"/>
      <c r="ONH88" s="356"/>
      <c r="ONI88" s="356"/>
      <c r="ONJ88" s="356"/>
      <c r="ONK88" s="356"/>
      <c r="ONL88" s="356"/>
      <c r="ONM88" s="356"/>
      <c r="ONN88" s="356"/>
      <c r="ONO88" s="356"/>
      <c r="ONP88" s="356"/>
      <c r="ONQ88" s="356"/>
      <c r="ONR88" s="356"/>
      <c r="ONS88" s="356"/>
      <c r="ONT88" s="356"/>
      <c r="ONU88" s="356"/>
      <c r="ONV88" s="356"/>
      <c r="ONW88" s="356"/>
      <c r="ONX88" s="356"/>
      <c r="ONY88" s="356"/>
      <c r="ONZ88" s="356"/>
      <c r="OOA88" s="356"/>
      <c r="OOB88" s="356"/>
      <c r="OOC88" s="356"/>
      <c r="OOD88" s="356"/>
      <c r="OOE88" s="356"/>
      <c r="OOF88" s="356"/>
      <c r="OOG88" s="356"/>
      <c r="OOH88" s="356"/>
      <c r="OOI88" s="356"/>
      <c r="OOJ88" s="356"/>
      <c r="OOK88" s="356"/>
      <c r="OOL88" s="356"/>
      <c r="OOM88" s="356"/>
      <c r="OON88" s="356"/>
      <c r="OOO88" s="356"/>
      <c r="OOP88" s="356"/>
      <c r="OOQ88" s="356"/>
      <c r="OOR88" s="356"/>
      <c r="OOS88" s="356"/>
      <c r="OOT88" s="356"/>
      <c r="OOU88" s="356"/>
      <c r="OOV88" s="356"/>
      <c r="OOW88" s="356"/>
      <c r="OOX88" s="356"/>
      <c r="OOY88" s="356"/>
      <c r="OOZ88" s="356"/>
      <c r="OPA88" s="356"/>
      <c r="OPB88" s="356"/>
      <c r="OPC88" s="356"/>
      <c r="OPD88" s="356"/>
      <c r="OPE88" s="356"/>
      <c r="OPF88" s="356"/>
      <c r="OPG88" s="356"/>
      <c r="OPH88" s="356"/>
      <c r="OPI88" s="356"/>
      <c r="OPJ88" s="356"/>
      <c r="OPK88" s="356"/>
      <c r="OPL88" s="356"/>
      <c r="OPM88" s="356"/>
      <c r="OPN88" s="356"/>
      <c r="OPO88" s="356"/>
      <c r="OPP88" s="356"/>
      <c r="OPQ88" s="356"/>
      <c r="OPR88" s="356"/>
      <c r="OPS88" s="356"/>
      <c r="OPT88" s="356"/>
      <c r="OPU88" s="356"/>
      <c r="OPV88" s="356"/>
      <c r="OPW88" s="356"/>
      <c r="OPX88" s="356"/>
      <c r="OPY88" s="356"/>
      <c r="OPZ88" s="356"/>
      <c r="OQA88" s="356"/>
      <c r="OQB88" s="356"/>
      <c r="OQC88" s="356"/>
      <c r="OQD88" s="356"/>
      <c r="OQE88" s="356"/>
      <c r="OQF88" s="356"/>
      <c r="OQG88" s="356"/>
      <c r="OQH88" s="356"/>
      <c r="OQI88" s="356"/>
      <c r="OQJ88" s="356"/>
      <c r="OQK88" s="356"/>
      <c r="OQL88" s="356"/>
      <c r="OQM88" s="356"/>
      <c r="OQN88" s="356"/>
      <c r="OQO88" s="356"/>
      <c r="OQP88" s="356"/>
      <c r="OQQ88" s="356"/>
      <c r="OQR88" s="356"/>
      <c r="OQS88" s="356"/>
      <c r="OQT88" s="356"/>
      <c r="OQU88" s="356"/>
      <c r="OQV88" s="356"/>
      <c r="OQW88" s="356"/>
      <c r="OQX88" s="356"/>
      <c r="OQY88" s="356"/>
      <c r="OQZ88" s="356"/>
      <c r="ORA88" s="356"/>
      <c r="ORB88" s="356"/>
      <c r="ORC88" s="356"/>
      <c r="ORD88" s="356"/>
      <c r="ORE88" s="356"/>
      <c r="ORF88" s="356"/>
      <c r="ORG88" s="356"/>
      <c r="ORH88" s="356"/>
      <c r="ORI88" s="356"/>
      <c r="ORJ88" s="356"/>
      <c r="ORK88" s="356"/>
      <c r="ORL88" s="356"/>
      <c r="ORM88" s="356"/>
      <c r="ORN88" s="356"/>
      <c r="ORO88" s="356"/>
      <c r="ORP88" s="356"/>
      <c r="ORQ88" s="356"/>
      <c r="ORR88" s="356"/>
      <c r="ORS88" s="356"/>
      <c r="ORT88" s="356"/>
      <c r="ORU88" s="356"/>
      <c r="ORV88" s="356"/>
      <c r="ORW88" s="356"/>
      <c r="ORX88" s="356"/>
      <c r="ORY88" s="356"/>
      <c r="ORZ88" s="356"/>
      <c r="OSA88" s="356"/>
      <c r="OSB88" s="356"/>
      <c r="OSC88" s="356"/>
      <c r="OSD88" s="356"/>
      <c r="OSE88" s="356"/>
      <c r="OSF88" s="356"/>
      <c r="OSG88" s="356"/>
      <c r="OSH88" s="356"/>
      <c r="OSI88" s="356"/>
      <c r="OSJ88" s="356"/>
      <c r="OSK88" s="356"/>
      <c r="OSL88" s="356"/>
      <c r="OSM88" s="356"/>
      <c r="OSN88" s="356"/>
      <c r="OSO88" s="356"/>
      <c r="OSP88" s="356"/>
      <c r="OSQ88" s="356"/>
      <c r="OSR88" s="356"/>
      <c r="OSS88" s="356"/>
      <c r="OST88" s="356"/>
      <c r="OSU88" s="356"/>
      <c r="OSV88" s="356"/>
      <c r="OSW88" s="356"/>
      <c r="OSX88" s="356"/>
      <c r="OSY88" s="356"/>
      <c r="OSZ88" s="356"/>
      <c r="OTA88" s="356"/>
      <c r="OTB88" s="356"/>
      <c r="OTC88" s="356"/>
      <c r="OTD88" s="356"/>
      <c r="OTE88" s="356"/>
      <c r="OTF88" s="356"/>
      <c r="OTG88" s="356"/>
      <c r="OTH88" s="356"/>
      <c r="OTI88" s="356"/>
      <c r="OTJ88" s="356"/>
      <c r="OTK88" s="356"/>
      <c r="OTL88" s="356"/>
      <c r="OTM88" s="356"/>
      <c r="OTN88" s="356"/>
      <c r="OTO88" s="356"/>
      <c r="OTP88" s="356"/>
      <c r="OTQ88" s="356"/>
      <c r="OTR88" s="356"/>
      <c r="OTS88" s="356"/>
      <c r="OTT88" s="356"/>
      <c r="OTU88" s="356"/>
      <c r="OTV88" s="356"/>
      <c r="OTW88" s="356"/>
      <c r="OTX88" s="356"/>
      <c r="OTY88" s="356"/>
      <c r="OTZ88" s="356"/>
      <c r="OUA88" s="356"/>
      <c r="OUB88" s="356"/>
      <c r="OUC88" s="356"/>
      <c r="OUD88" s="356"/>
      <c r="OUE88" s="356"/>
      <c r="OUF88" s="356"/>
      <c r="OUG88" s="356"/>
      <c r="OUH88" s="356"/>
      <c r="OUI88" s="356"/>
      <c r="OUJ88" s="356"/>
      <c r="OUK88" s="356"/>
      <c r="OUL88" s="356"/>
      <c r="OUM88" s="356"/>
      <c r="OUN88" s="356"/>
      <c r="OUO88" s="356"/>
      <c r="OUP88" s="356"/>
      <c r="OUQ88" s="356"/>
      <c r="OUR88" s="356"/>
      <c r="OUS88" s="356"/>
      <c r="OUT88" s="356"/>
      <c r="OUU88" s="356"/>
      <c r="OUV88" s="356"/>
      <c r="OUW88" s="356"/>
      <c r="OUX88" s="356"/>
      <c r="OUY88" s="356"/>
      <c r="OUZ88" s="356"/>
      <c r="OVA88" s="356"/>
      <c r="OVB88" s="356"/>
      <c r="OVC88" s="356"/>
      <c r="OVD88" s="356"/>
      <c r="OVE88" s="356"/>
      <c r="OVF88" s="356"/>
      <c r="OVG88" s="356"/>
      <c r="OVH88" s="356"/>
      <c r="OVI88" s="356"/>
      <c r="OVJ88" s="356"/>
      <c r="OVK88" s="356"/>
      <c r="OVL88" s="356"/>
      <c r="OVM88" s="356"/>
      <c r="OVN88" s="356"/>
      <c r="OVO88" s="356"/>
      <c r="OVP88" s="356"/>
      <c r="OVQ88" s="356"/>
      <c r="OVR88" s="356"/>
      <c r="OVS88" s="356"/>
      <c r="OVT88" s="356"/>
      <c r="OVU88" s="356"/>
      <c r="OVV88" s="356"/>
      <c r="OVW88" s="356"/>
      <c r="OVX88" s="356"/>
      <c r="OVY88" s="356"/>
      <c r="OVZ88" s="356"/>
      <c r="OWA88" s="356"/>
      <c r="OWB88" s="356"/>
      <c r="OWC88" s="356"/>
      <c r="OWD88" s="356"/>
      <c r="OWE88" s="356"/>
      <c r="OWF88" s="356"/>
      <c r="OWG88" s="356"/>
      <c r="OWH88" s="356"/>
      <c r="OWI88" s="356"/>
      <c r="OWJ88" s="356"/>
      <c r="OWK88" s="356"/>
      <c r="OWL88" s="356"/>
      <c r="OWM88" s="356"/>
      <c r="OWN88" s="356"/>
      <c r="OWO88" s="356"/>
      <c r="OWP88" s="356"/>
      <c r="OWQ88" s="356"/>
      <c r="OWR88" s="356"/>
      <c r="OWS88" s="356"/>
      <c r="OWT88" s="356"/>
      <c r="OWU88" s="356"/>
      <c r="OWV88" s="356"/>
      <c r="OWW88" s="356"/>
      <c r="OWX88" s="356"/>
      <c r="OWY88" s="356"/>
      <c r="OWZ88" s="356"/>
      <c r="OXA88" s="356"/>
      <c r="OXB88" s="356"/>
      <c r="OXC88" s="356"/>
      <c r="OXD88" s="356"/>
      <c r="OXE88" s="356"/>
      <c r="OXF88" s="356"/>
      <c r="OXG88" s="356"/>
      <c r="OXH88" s="356"/>
      <c r="OXI88" s="356"/>
      <c r="OXJ88" s="356"/>
      <c r="OXK88" s="356"/>
      <c r="OXL88" s="356"/>
      <c r="OXM88" s="356"/>
      <c r="OXN88" s="356"/>
      <c r="OXO88" s="356"/>
      <c r="OXP88" s="356"/>
      <c r="OXQ88" s="356"/>
      <c r="OXR88" s="356"/>
      <c r="OXS88" s="356"/>
      <c r="OXT88" s="356"/>
      <c r="OXU88" s="356"/>
      <c r="OXV88" s="356"/>
      <c r="OXW88" s="356"/>
      <c r="OXX88" s="356"/>
      <c r="OXY88" s="356"/>
      <c r="OXZ88" s="356"/>
      <c r="OYA88" s="356"/>
      <c r="OYB88" s="356"/>
      <c r="OYC88" s="356"/>
      <c r="OYD88" s="356"/>
      <c r="OYE88" s="356"/>
      <c r="OYF88" s="356"/>
      <c r="OYG88" s="356"/>
      <c r="OYH88" s="356"/>
      <c r="OYI88" s="356"/>
      <c r="OYJ88" s="356"/>
      <c r="OYK88" s="356"/>
      <c r="OYL88" s="356"/>
      <c r="OYM88" s="356"/>
      <c r="OYN88" s="356"/>
      <c r="OYO88" s="356"/>
      <c r="OYP88" s="356"/>
      <c r="OYQ88" s="356"/>
      <c r="OYR88" s="356"/>
      <c r="OYS88" s="356"/>
      <c r="OYT88" s="356"/>
      <c r="OYU88" s="356"/>
      <c r="OYV88" s="356"/>
      <c r="OYW88" s="356"/>
      <c r="OYX88" s="356"/>
      <c r="OYY88" s="356"/>
      <c r="OYZ88" s="356"/>
      <c r="OZA88" s="356"/>
      <c r="OZB88" s="356"/>
      <c r="OZC88" s="356"/>
      <c r="OZD88" s="356"/>
      <c r="OZE88" s="356"/>
      <c r="OZF88" s="356"/>
      <c r="OZG88" s="356"/>
      <c r="OZH88" s="356"/>
      <c r="OZI88" s="356"/>
      <c r="OZJ88" s="356"/>
      <c r="OZK88" s="356"/>
      <c r="OZL88" s="356"/>
      <c r="OZM88" s="356"/>
      <c r="OZN88" s="356"/>
      <c r="OZO88" s="356"/>
      <c r="OZP88" s="356"/>
      <c r="OZQ88" s="356"/>
      <c r="OZR88" s="356"/>
      <c r="OZS88" s="356"/>
      <c r="OZT88" s="356"/>
      <c r="OZU88" s="356"/>
      <c r="OZV88" s="356"/>
      <c r="OZW88" s="356"/>
      <c r="OZX88" s="356"/>
      <c r="OZY88" s="356"/>
      <c r="OZZ88" s="356"/>
      <c r="PAA88" s="356"/>
      <c r="PAB88" s="356"/>
      <c r="PAC88" s="356"/>
      <c r="PAD88" s="356"/>
      <c r="PAE88" s="356"/>
      <c r="PAF88" s="356"/>
      <c r="PAG88" s="356"/>
      <c r="PAH88" s="356"/>
      <c r="PAI88" s="356"/>
      <c r="PAJ88" s="356"/>
      <c r="PAK88" s="356"/>
      <c r="PAL88" s="356"/>
      <c r="PAM88" s="356"/>
      <c r="PAN88" s="356"/>
      <c r="PAO88" s="356"/>
      <c r="PAP88" s="356"/>
      <c r="PAQ88" s="356"/>
      <c r="PAR88" s="356"/>
      <c r="PAS88" s="356"/>
      <c r="PAT88" s="356"/>
      <c r="PAU88" s="356"/>
      <c r="PAV88" s="356"/>
      <c r="PAW88" s="356"/>
      <c r="PAX88" s="356"/>
      <c r="PAY88" s="356"/>
      <c r="PAZ88" s="356"/>
      <c r="PBA88" s="356"/>
      <c r="PBB88" s="356"/>
      <c r="PBC88" s="356"/>
      <c r="PBD88" s="356"/>
      <c r="PBE88" s="356"/>
      <c r="PBF88" s="356"/>
      <c r="PBG88" s="356"/>
      <c r="PBH88" s="356"/>
      <c r="PBI88" s="356"/>
      <c r="PBJ88" s="356"/>
      <c r="PBK88" s="356"/>
      <c r="PBL88" s="356"/>
      <c r="PBM88" s="356"/>
      <c r="PBN88" s="356"/>
      <c r="PBO88" s="356"/>
      <c r="PBP88" s="356"/>
      <c r="PBQ88" s="356"/>
      <c r="PBR88" s="356"/>
      <c r="PBS88" s="356"/>
      <c r="PBT88" s="356"/>
      <c r="PBU88" s="356"/>
      <c r="PBV88" s="356"/>
      <c r="PBW88" s="356"/>
      <c r="PBX88" s="356"/>
      <c r="PBY88" s="356"/>
      <c r="PBZ88" s="356"/>
      <c r="PCA88" s="356"/>
      <c r="PCB88" s="356"/>
      <c r="PCC88" s="356"/>
      <c r="PCD88" s="356"/>
      <c r="PCE88" s="356"/>
      <c r="PCF88" s="356"/>
      <c r="PCG88" s="356"/>
      <c r="PCH88" s="356"/>
      <c r="PCI88" s="356"/>
      <c r="PCJ88" s="356"/>
      <c r="PCK88" s="356"/>
      <c r="PCL88" s="356"/>
      <c r="PCM88" s="356"/>
      <c r="PCN88" s="356"/>
      <c r="PCO88" s="356"/>
      <c r="PCP88" s="356"/>
      <c r="PCQ88" s="356"/>
      <c r="PCR88" s="356"/>
      <c r="PCS88" s="356"/>
      <c r="PCT88" s="356"/>
      <c r="PCU88" s="356"/>
      <c r="PCV88" s="356"/>
      <c r="PCW88" s="356"/>
      <c r="PCX88" s="356"/>
      <c r="PCY88" s="356"/>
      <c r="PCZ88" s="356"/>
      <c r="PDA88" s="356"/>
      <c r="PDB88" s="356"/>
      <c r="PDC88" s="356"/>
      <c r="PDD88" s="356"/>
      <c r="PDE88" s="356"/>
      <c r="PDF88" s="356"/>
      <c r="PDG88" s="356"/>
      <c r="PDH88" s="356"/>
      <c r="PDI88" s="356"/>
      <c r="PDJ88" s="356"/>
      <c r="PDK88" s="356"/>
      <c r="PDL88" s="356"/>
      <c r="PDM88" s="356"/>
      <c r="PDN88" s="356"/>
      <c r="PDO88" s="356"/>
      <c r="PDP88" s="356"/>
      <c r="PDQ88" s="356"/>
      <c r="PDR88" s="356"/>
      <c r="PDS88" s="356"/>
      <c r="PDT88" s="356"/>
      <c r="PDU88" s="356"/>
      <c r="PDV88" s="356"/>
      <c r="PDW88" s="356"/>
      <c r="PDX88" s="356"/>
      <c r="PDY88" s="356"/>
      <c r="PDZ88" s="356"/>
      <c r="PEA88" s="356"/>
      <c r="PEB88" s="356"/>
      <c r="PEC88" s="356"/>
      <c r="PED88" s="356"/>
      <c r="PEE88" s="356"/>
      <c r="PEF88" s="356"/>
      <c r="PEG88" s="356"/>
      <c r="PEH88" s="356"/>
      <c r="PEI88" s="356"/>
      <c r="PEJ88" s="356"/>
      <c r="PEK88" s="356"/>
      <c r="PEL88" s="356"/>
      <c r="PEM88" s="356"/>
      <c r="PEN88" s="356"/>
      <c r="PEO88" s="356"/>
      <c r="PEP88" s="356"/>
      <c r="PEQ88" s="356"/>
      <c r="PER88" s="356"/>
      <c r="PES88" s="356"/>
      <c r="PET88" s="356"/>
      <c r="PEU88" s="356"/>
      <c r="PEV88" s="356"/>
      <c r="PEW88" s="356"/>
      <c r="PEX88" s="356"/>
      <c r="PEY88" s="356"/>
      <c r="PEZ88" s="356"/>
      <c r="PFA88" s="356"/>
      <c r="PFB88" s="356"/>
      <c r="PFC88" s="356"/>
      <c r="PFD88" s="356"/>
      <c r="PFE88" s="356"/>
      <c r="PFF88" s="356"/>
      <c r="PFG88" s="356"/>
      <c r="PFH88" s="356"/>
      <c r="PFI88" s="356"/>
      <c r="PFJ88" s="356"/>
      <c r="PFK88" s="356"/>
      <c r="PFL88" s="356"/>
      <c r="PFM88" s="356"/>
      <c r="PFN88" s="356"/>
      <c r="PFO88" s="356"/>
      <c r="PFP88" s="356"/>
      <c r="PFQ88" s="356"/>
      <c r="PFR88" s="356"/>
      <c r="PFS88" s="356"/>
      <c r="PFT88" s="356"/>
      <c r="PFU88" s="356"/>
      <c r="PFV88" s="356"/>
      <c r="PFW88" s="356"/>
      <c r="PFX88" s="356"/>
      <c r="PFY88" s="356"/>
      <c r="PFZ88" s="356"/>
      <c r="PGA88" s="356"/>
      <c r="PGB88" s="356"/>
      <c r="PGC88" s="356"/>
      <c r="PGD88" s="356"/>
      <c r="PGE88" s="356"/>
      <c r="PGF88" s="356"/>
      <c r="PGG88" s="356"/>
      <c r="PGH88" s="356"/>
      <c r="PGI88" s="356"/>
      <c r="PGJ88" s="356"/>
      <c r="PGK88" s="356"/>
      <c r="PGL88" s="356"/>
      <c r="PGM88" s="356"/>
      <c r="PGN88" s="356"/>
      <c r="PGO88" s="356"/>
      <c r="PGP88" s="356"/>
      <c r="PGQ88" s="356"/>
      <c r="PGR88" s="356"/>
      <c r="PGS88" s="356"/>
      <c r="PGT88" s="356"/>
      <c r="PGU88" s="356"/>
      <c r="PGV88" s="356"/>
      <c r="PGW88" s="356"/>
      <c r="PGX88" s="356"/>
      <c r="PGY88" s="356"/>
      <c r="PGZ88" s="356"/>
      <c r="PHA88" s="356"/>
      <c r="PHB88" s="356"/>
      <c r="PHC88" s="356"/>
      <c r="PHD88" s="356"/>
      <c r="PHE88" s="356"/>
      <c r="PHF88" s="356"/>
      <c r="PHG88" s="356"/>
      <c r="PHH88" s="356"/>
      <c r="PHI88" s="356"/>
      <c r="PHJ88" s="356"/>
      <c r="PHK88" s="356"/>
      <c r="PHL88" s="356"/>
      <c r="PHM88" s="356"/>
      <c r="PHN88" s="356"/>
      <c r="PHO88" s="356"/>
      <c r="PHP88" s="356"/>
      <c r="PHQ88" s="356"/>
      <c r="PHR88" s="356"/>
      <c r="PHS88" s="356"/>
      <c r="PHT88" s="356"/>
      <c r="PHU88" s="356"/>
      <c r="PHV88" s="356"/>
      <c r="PHW88" s="356"/>
      <c r="PHX88" s="356"/>
      <c r="PHY88" s="356"/>
      <c r="PHZ88" s="356"/>
      <c r="PIA88" s="356"/>
      <c r="PIB88" s="356"/>
      <c r="PIC88" s="356"/>
      <c r="PID88" s="356"/>
      <c r="PIE88" s="356"/>
      <c r="PIF88" s="356"/>
      <c r="PIG88" s="356"/>
      <c r="PIH88" s="356"/>
      <c r="PII88" s="356"/>
      <c r="PIJ88" s="356"/>
      <c r="PIK88" s="356"/>
      <c r="PIL88" s="356"/>
      <c r="PIM88" s="356"/>
      <c r="PIN88" s="356"/>
      <c r="PIO88" s="356"/>
      <c r="PIP88" s="356"/>
      <c r="PIQ88" s="356"/>
      <c r="PIR88" s="356"/>
      <c r="PIS88" s="356"/>
      <c r="PIT88" s="356"/>
      <c r="PIU88" s="356"/>
      <c r="PIV88" s="356"/>
      <c r="PIW88" s="356"/>
      <c r="PIX88" s="356"/>
      <c r="PIY88" s="356"/>
      <c r="PIZ88" s="356"/>
      <c r="PJA88" s="356"/>
      <c r="PJB88" s="356"/>
      <c r="PJC88" s="356"/>
      <c r="PJD88" s="356"/>
      <c r="PJE88" s="356"/>
      <c r="PJF88" s="356"/>
      <c r="PJG88" s="356"/>
      <c r="PJH88" s="356"/>
      <c r="PJI88" s="356"/>
      <c r="PJJ88" s="356"/>
      <c r="PJK88" s="356"/>
      <c r="PJL88" s="356"/>
      <c r="PJM88" s="356"/>
      <c r="PJN88" s="356"/>
      <c r="PJO88" s="356"/>
      <c r="PJP88" s="356"/>
      <c r="PJQ88" s="356"/>
      <c r="PJR88" s="356"/>
      <c r="PJS88" s="356"/>
      <c r="PJT88" s="356"/>
      <c r="PJU88" s="356"/>
      <c r="PJV88" s="356"/>
      <c r="PJW88" s="356"/>
      <c r="PJX88" s="356"/>
      <c r="PJY88" s="356"/>
      <c r="PJZ88" s="356"/>
      <c r="PKA88" s="356"/>
      <c r="PKB88" s="356"/>
      <c r="PKC88" s="356"/>
      <c r="PKD88" s="356"/>
      <c r="PKE88" s="356"/>
      <c r="PKF88" s="356"/>
      <c r="PKG88" s="356"/>
      <c r="PKH88" s="356"/>
      <c r="PKI88" s="356"/>
      <c r="PKJ88" s="356"/>
      <c r="PKK88" s="356"/>
      <c r="PKL88" s="356"/>
      <c r="PKM88" s="356"/>
      <c r="PKN88" s="356"/>
      <c r="PKO88" s="356"/>
      <c r="PKP88" s="356"/>
      <c r="PKQ88" s="356"/>
      <c r="PKR88" s="356"/>
      <c r="PKS88" s="356"/>
      <c r="PKT88" s="356"/>
      <c r="PKU88" s="356"/>
      <c r="PKV88" s="356"/>
      <c r="PKW88" s="356"/>
      <c r="PKX88" s="356"/>
      <c r="PKY88" s="356"/>
      <c r="PKZ88" s="356"/>
      <c r="PLA88" s="356"/>
      <c r="PLB88" s="356"/>
      <c r="PLC88" s="356"/>
      <c r="PLD88" s="356"/>
      <c r="PLE88" s="356"/>
      <c r="PLF88" s="356"/>
      <c r="PLG88" s="356"/>
      <c r="PLH88" s="356"/>
      <c r="PLI88" s="356"/>
      <c r="PLJ88" s="356"/>
      <c r="PLK88" s="356"/>
      <c r="PLL88" s="356"/>
      <c r="PLM88" s="356"/>
      <c r="PLN88" s="356"/>
      <c r="PLO88" s="356"/>
      <c r="PLP88" s="356"/>
      <c r="PLQ88" s="356"/>
      <c r="PLR88" s="356"/>
      <c r="PLS88" s="356"/>
      <c r="PLT88" s="356"/>
      <c r="PLU88" s="356"/>
      <c r="PLV88" s="356"/>
      <c r="PLW88" s="356"/>
      <c r="PLX88" s="356"/>
      <c r="PLY88" s="356"/>
      <c r="PLZ88" s="356"/>
      <c r="PMA88" s="356"/>
      <c r="PMB88" s="356"/>
      <c r="PMC88" s="356"/>
      <c r="PMD88" s="356"/>
      <c r="PME88" s="356"/>
      <c r="PMF88" s="356"/>
      <c r="PMG88" s="356"/>
      <c r="PMH88" s="356"/>
      <c r="PMI88" s="356"/>
      <c r="PMJ88" s="356"/>
      <c r="PMK88" s="356"/>
      <c r="PML88" s="356"/>
      <c r="PMM88" s="356"/>
      <c r="PMN88" s="356"/>
      <c r="PMO88" s="356"/>
      <c r="PMP88" s="356"/>
      <c r="PMQ88" s="356"/>
      <c r="PMR88" s="356"/>
      <c r="PMS88" s="356"/>
      <c r="PMT88" s="356"/>
      <c r="PMU88" s="356"/>
      <c r="PMV88" s="356"/>
      <c r="PMW88" s="356"/>
      <c r="PMX88" s="356"/>
      <c r="PMY88" s="356"/>
      <c r="PMZ88" s="356"/>
      <c r="PNA88" s="356"/>
      <c r="PNB88" s="356"/>
      <c r="PNC88" s="356"/>
      <c r="PND88" s="356"/>
      <c r="PNE88" s="356"/>
      <c r="PNF88" s="356"/>
      <c r="PNG88" s="356"/>
      <c r="PNH88" s="356"/>
      <c r="PNI88" s="356"/>
      <c r="PNJ88" s="356"/>
      <c r="PNK88" s="356"/>
      <c r="PNL88" s="356"/>
      <c r="PNM88" s="356"/>
      <c r="PNN88" s="356"/>
      <c r="PNO88" s="356"/>
      <c r="PNP88" s="356"/>
      <c r="PNQ88" s="356"/>
      <c r="PNR88" s="356"/>
      <c r="PNS88" s="356"/>
      <c r="PNT88" s="356"/>
      <c r="PNU88" s="356"/>
      <c r="PNV88" s="356"/>
      <c r="PNW88" s="356"/>
      <c r="PNX88" s="356"/>
      <c r="PNY88" s="356"/>
      <c r="PNZ88" s="356"/>
      <c r="POA88" s="356"/>
      <c r="POB88" s="356"/>
      <c r="POC88" s="356"/>
      <c r="POD88" s="356"/>
      <c r="POE88" s="356"/>
      <c r="POF88" s="356"/>
      <c r="POG88" s="356"/>
      <c r="POH88" s="356"/>
      <c r="POI88" s="356"/>
      <c r="POJ88" s="356"/>
      <c r="POK88" s="356"/>
      <c r="POL88" s="356"/>
      <c r="POM88" s="356"/>
      <c r="PON88" s="356"/>
      <c r="POO88" s="356"/>
      <c r="POP88" s="356"/>
      <c r="POQ88" s="356"/>
      <c r="POR88" s="356"/>
      <c r="POS88" s="356"/>
      <c r="POT88" s="356"/>
      <c r="POU88" s="356"/>
      <c r="POV88" s="356"/>
      <c r="POW88" s="356"/>
      <c r="POX88" s="356"/>
      <c r="POY88" s="356"/>
      <c r="POZ88" s="356"/>
      <c r="PPA88" s="356"/>
      <c r="PPB88" s="356"/>
      <c r="PPC88" s="356"/>
      <c r="PPD88" s="356"/>
      <c r="PPE88" s="356"/>
      <c r="PPF88" s="356"/>
      <c r="PPG88" s="356"/>
      <c r="PPH88" s="356"/>
      <c r="PPI88" s="356"/>
      <c r="PPJ88" s="356"/>
      <c r="PPK88" s="356"/>
      <c r="PPL88" s="356"/>
      <c r="PPM88" s="356"/>
      <c r="PPN88" s="356"/>
      <c r="PPO88" s="356"/>
      <c r="PPP88" s="356"/>
      <c r="PPQ88" s="356"/>
      <c r="PPR88" s="356"/>
      <c r="PPS88" s="356"/>
      <c r="PPT88" s="356"/>
      <c r="PPU88" s="356"/>
      <c r="PPV88" s="356"/>
      <c r="PPW88" s="356"/>
      <c r="PPX88" s="356"/>
      <c r="PPY88" s="356"/>
      <c r="PPZ88" s="356"/>
      <c r="PQA88" s="356"/>
      <c r="PQB88" s="356"/>
      <c r="PQC88" s="356"/>
      <c r="PQD88" s="356"/>
      <c r="PQE88" s="356"/>
      <c r="PQF88" s="356"/>
      <c r="PQG88" s="356"/>
      <c r="PQH88" s="356"/>
      <c r="PQI88" s="356"/>
      <c r="PQJ88" s="356"/>
      <c r="PQK88" s="356"/>
      <c r="PQL88" s="356"/>
      <c r="PQM88" s="356"/>
      <c r="PQN88" s="356"/>
      <c r="PQO88" s="356"/>
      <c r="PQP88" s="356"/>
      <c r="PQQ88" s="356"/>
      <c r="PQR88" s="356"/>
      <c r="PQS88" s="356"/>
      <c r="PQT88" s="356"/>
      <c r="PQU88" s="356"/>
      <c r="PQV88" s="356"/>
      <c r="PQW88" s="356"/>
      <c r="PQX88" s="356"/>
      <c r="PQY88" s="356"/>
      <c r="PQZ88" s="356"/>
      <c r="PRA88" s="356"/>
      <c r="PRB88" s="356"/>
      <c r="PRC88" s="356"/>
      <c r="PRD88" s="356"/>
      <c r="PRE88" s="356"/>
      <c r="PRF88" s="356"/>
      <c r="PRG88" s="356"/>
      <c r="PRH88" s="356"/>
      <c r="PRI88" s="356"/>
      <c r="PRJ88" s="356"/>
      <c r="PRK88" s="356"/>
      <c r="PRL88" s="356"/>
      <c r="PRM88" s="356"/>
      <c r="PRN88" s="356"/>
      <c r="PRO88" s="356"/>
      <c r="PRP88" s="356"/>
      <c r="PRQ88" s="356"/>
      <c r="PRR88" s="356"/>
      <c r="PRS88" s="356"/>
      <c r="PRT88" s="356"/>
      <c r="PRU88" s="356"/>
      <c r="PRV88" s="356"/>
      <c r="PRW88" s="356"/>
      <c r="PRX88" s="356"/>
      <c r="PRY88" s="356"/>
      <c r="PRZ88" s="356"/>
      <c r="PSA88" s="356"/>
      <c r="PSB88" s="356"/>
      <c r="PSC88" s="356"/>
      <c r="PSD88" s="356"/>
      <c r="PSE88" s="356"/>
      <c r="PSF88" s="356"/>
      <c r="PSG88" s="356"/>
      <c r="PSH88" s="356"/>
      <c r="PSI88" s="356"/>
      <c r="PSJ88" s="356"/>
      <c r="PSK88" s="356"/>
      <c r="PSL88" s="356"/>
      <c r="PSM88" s="356"/>
      <c r="PSN88" s="356"/>
      <c r="PSO88" s="356"/>
      <c r="PSP88" s="356"/>
      <c r="PSQ88" s="356"/>
      <c r="PSR88" s="356"/>
      <c r="PSS88" s="356"/>
      <c r="PST88" s="356"/>
      <c r="PSU88" s="356"/>
      <c r="PSV88" s="356"/>
      <c r="PSW88" s="356"/>
      <c r="PSX88" s="356"/>
      <c r="PSY88" s="356"/>
      <c r="PSZ88" s="356"/>
      <c r="PTA88" s="356"/>
      <c r="PTB88" s="356"/>
      <c r="PTC88" s="356"/>
      <c r="PTD88" s="356"/>
      <c r="PTE88" s="356"/>
      <c r="PTF88" s="356"/>
      <c r="PTG88" s="356"/>
      <c r="PTH88" s="356"/>
      <c r="PTI88" s="356"/>
      <c r="PTJ88" s="356"/>
      <c r="PTK88" s="356"/>
      <c r="PTL88" s="356"/>
      <c r="PTM88" s="356"/>
      <c r="PTN88" s="356"/>
      <c r="PTO88" s="356"/>
      <c r="PTP88" s="356"/>
      <c r="PTQ88" s="356"/>
      <c r="PTR88" s="356"/>
      <c r="PTS88" s="356"/>
      <c r="PTT88" s="356"/>
      <c r="PTU88" s="356"/>
      <c r="PTV88" s="356"/>
      <c r="PTW88" s="356"/>
      <c r="PTX88" s="356"/>
      <c r="PTY88" s="356"/>
      <c r="PTZ88" s="356"/>
      <c r="PUA88" s="356"/>
      <c r="PUB88" s="356"/>
      <c r="PUC88" s="356"/>
      <c r="PUD88" s="356"/>
      <c r="PUE88" s="356"/>
      <c r="PUF88" s="356"/>
      <c r="PUG88" s="356"/>
      <c r="PUH88" s="356"/>
      <c r="PUI88" s="356"/>
      <c r="PUJ88" s="356"/>
      <c r="PUK88" s="356"/>
      <c r="PUL88" s="356"/>
      <c r="PUM88" s="356"/>
      <c r="PUN88" s="356"/>
      <c r="PUO88" s="356"/>
      <c r="PUP88" s="356"/>
      <c r="PUQ88" s="356"/>
      <c r="PUR88" s="356"/>
      <c r="PUS88" s="356"/>
      <c r="PUT88" s="356"/>
      <c r="PUU88" s="356"/>
      <c r="PUV88" s="356"/>
      <c r="PUW88" s="356"/>
      <c r="PUX88" s="356"/>
      <c r="PUY88" s="356"/>
      <c r="PUZ88" s="356"/>
      <c r="PVA88" s="356"/>
      <c r="PVB88" s="356"/>
      <c r="PVC88" s="356"/>
      <c r="PVD88" s="356"/>
      <c r="PVE88" s="356"/>
      <c r="PVF88" s="356"/>
      <c r="PVG88" s="356"/>
      <c r="PVH88" s="356"/>
      <c r="PVI88" s="356"/>
      <c r="PVJ88" s="356"/>
      <c r="PVK88" s="356"/>
      <c r="PVL88" s="356"/>
      <c r="PVM88" s="356"/>
      <c r="PVN88" s="356"/>
      <c r="PVO88" s="356"/>
      <c r="PVP88" s="356"/>
      <c r="PVQ88" s="356"/>
      <c r="PVR88" s="356"/>
      <c r="PVS88" s="356"/>
      <c r="PVT88" s="356"/>
      <c r="PVU88" s="356"/>
      <c r="PVV88" s="356"/>
      <c r="PVW88" s="356"/>
      <c r="PVX88" s="356"/>
      <c r="PVY88" s="356"/>
      <c r="PVZ88" s="356"/>
      <c r="PWA88" s="356"/>
      <c r="PWB88" s="356"/>
      <c r="PWC88" s="356"/>
      <c r="PWD88" s="356"/>
      <c r="PWE88" s="356"/>
      <c r="PWF88" s="356"/>
      <c r="PWG88" s="356"/>
      <c r="PWH88" s="356"/>
      <c r="PWI88" s="356"/>
      <c r="PWJ88" s="356"/>
      <c r="PWK88" s="356"/>
      <c r="PWL88" s="356"/>
      <c r="PWM88" s="356"/>
      <c r="PWN88" s="356"/>
      <c r="PWO88" s="356"/>
      <c r="PWP88" s="356"/>
      <c r="PWQ88" s="356"/>
      <c r="PWR88" s="356"/>
      <c r="PWS88" s="356"/>
      <c r="PWT88" s="356"/>
      <c r="PWU88" s="356"/>
      <c r="PWV88" s="356"/>
      <c r="PWW88" s="356"/>
      <c r="PWX88" s="356"/>
      <c r="PWY88" s="356"/>
      <c r="PWZ88" s="356"/>
      <c r="PXA88" s="356"/>
      <c r="PXB88" s="356"/>
      <c r="PXC88" s="356"/>
      <c r="PXD88" s="356"/>
      <c r="PXE88" s="356"/>
      <c r="PXF88" s="356"/>
      <c r="PXG88" s="356"/>
      <c r="PXH88" s="356"/>
      <c r="PXI88" s="356"/>
      <c r="PXJ88" s="356"/>
      <c r="PXK88" s="356"/>
      <c r="PXL88" s="356"/>
      <c r="PXM88" s="356"/>
      <c r="PXN88" s="356"/>
      <c r="PXO88" s="356"/>
      <c r="PXP88" s="356"/>
      <c r="PXQ88" s="356"/>
      <c r="PXR88" s="356"/>
      <c r="PXS88" s="356"/>
      <c r="PXT88" s="356"/>
      <c r="PXU88" s="356"/>
      <c r="PXV88" s="356"/>
      <c r="PXW88" s="356"/>
      <c r="PXX88" s="356"/>
      <c r="PXY88" s="356"/>
      <c r="PXZ88" s="356"/>
      <c r="PYA88" s="356"/>
      <c r="PYB88" s="356"/>
      <c r="PYC88" s="356"/>
      <c r="PYD88" s="356"/>
      <c r="PYE88" s="356"/>
      <c r="PYF88" s="356"/>
      <c r="PYG88" s="356"/>
      <c r="PYH88" s="356"/>
      <c r="PYI88" s="356"/>
      <c r="PYJ88" s="356"/>
      <c r="PYK88" s="356"/>
      <c r="PYL88" s="356"/>
      <c r="PYM88" s="356"/>
      <c r="PYN88" s="356"/>
      <c r="PYO88" s="356"/>
      <c r="PYP88" s="356"/>
      <c r="PYQ88" s="356"/>
      <c r="PYR88" s="356"/>
      <c r="PYS88" s="356"/>
      <c r="PYT88" s="356"/>
      <c r="PYU88" s="356"/>
      <c r="PYV88" s="356"/>
      <c r="PYW88" s="356"/>
      <c r="PYX88" s="356"/>
      <c r="PYY88" s="356"/>
      <c r="PYZ88" s="356"/>
      <c r="PZA88" s="356"/>
      <c r="PZB88" s="356"/>
      <c r="PZC88" s="356"/>
      <c r="PZD88" s="356"/>
      <c r="PZE88" s="356"/>
      <c r="PZF88" s="356"/>
      <c r="PZG88" s="356"/>
      <c r="PZH88" s="356"/>
      <c r="PZI88" s="356"/>
      <c r="PZJ88" s="356"/>
      <c r="PZK88" s="356"/>
      <c r="PZL88" s="356"/>
      <c r="PZM88" s="356"/>
      <c r="PZN88" s="356"/>
      <c r="PZO88" s="356"/>
      <c r="PZP88" s="356"/>
      <c r="PZQ88" s="356"/>
      <c r="PZR88" s="356"/>
      <c r="PZS88" s="356"/>
      <c r="PZT88" s="356"/>
      <c r="PZU88" s="356"/>
      <c r="PZV88" s="356"/>
      <c r="PZW88" s="356"/>
      <c r="PZX88" s="356"/>
      <c r="PZY88" s="356"/>
      <c r="PZZ88" s="356"/>
      <c r="QAA88" s="356"/>
      <c r="QAB88" s="356"/>
      <c r="QAC88" s="356"/>
      <c r="QAD88" s="356"/>
      <c r="QAE88" s="356"/>
      <c r="QAF88" s="356"/>
      <c r="QAG88" s="356"/>
      <c r="QAH88" s="356"/>
      <c r="QAI88" s="356"/>
      <c r="QAJ88" s="356"/>
      <c r="QAK88" s="356"/>
      <c r="QAL88" s="356"/>
      <c r="QAM88" s="356"/>
      <c r="QAN88" s="356"/>
      <c r="QAO88" s="356"/>
      <c r="QAP88" s="356"/>
      <c r="QAQ88" s="356"/>
      <c r="QAR88" s="356"/>
      <c r="QAS88" s="356"/>
      <c r="QAT88" s="356"/>
      <c r="QAU88" s="356"/>
      <c r="QAV88" s="356"/>
      <c r="QAW88" s="356"/>
      <c r="QAX88" s="356"/>
      <c r="QAY88" s="356"/>
      <c r="QAZ88" s="356"/>
      <c r="QBA88" s="356"/>
      <c r="QBB88" s="356"/>
      <c r="QBC88" s="356"/>
      <c r="QBD88" s="356"/>
      <c r="QBE88" s="356"/>
      <c r="QBF88" s="356"/>
      <c r="QBG88" s="356"/>
      <c r="QBH88" s="356"/>
      <c r="QBI88" s="356"/>
      <c r="QBJ88" s="356"/>
      <c r="QBK88" s="356"/>
      <c r="QBL88" s="356"/>
      <c r="QBM88" s="356"/>
      <c r="QBN88" s="356"/>
      <c r="QBO88" s="356"/>
      <c r="QBP88" s="356"/>
      <c r="QBQ88" s="356"/>
      <c r="QBR88" s="356"/>
      <c r="QBS88" s="356"/>
      <c r="QBT88" s="356"/>
      <c r="QBU88" s="356"/>
      <c r="QBV88" s="356"/>
      <c r="QBW88" s="356"/>
      <c r="QBX88" s="356"/>
      <c r="QBY88" s="356"/>
      <c r="QBZ88" s="356"/>
      <c r="QCA88" s="356"/>
      <c r="QCB88" s="356"/>
      <c r="QCC88" s="356"/>
      <c r="QCD88" s="356"/>
      <c r="QCE88" s="356"/>
      <c r="QCF88" s="356"/>
      <c r="QCG88" s="356"/>
      <c r="QCH88" s="356"/>
      <c r="QCI88" s="356"/>
      <c r="QCJ88" s="356"/>
      <c r="QCK88" s="356"/>
      <c r="QCL88" s="356"/>
      <c r="QCM88" s="356"/>
      <c r="QCN88" s="356"/>
      <c r="QCO88" s="356"/>
      <c r="QCP88" s="356"/>
      <c r="QCQ88" s="356"/>
      <c r="QCR88" s="356"/>
      <c r="QCS88" s="356"/>
      <c r="QCT88" s="356"/>
      <c r="QCU88" s="356"/>
      <c r="QCV88" s="356"/>
      <c r="QCW88" s="356"/>
      <c r="QCX88" s="356"/>
      <c r="QCY88" s="356"/>
      <c r="QCZ88" s="356"/>
      <c r="QDA88" s="356"/>
      <c r="QDB88" s="356"/>
      <c r="QDC88" s="356"/>
      <c r="QDD88" s="356"/>
      <c r="QDE88" s="356"/>
      <c r="QDF88" s="356"/>
      <c r="QDG88" s="356"/>
      <c r="QDH88" s="356"/>
      <c r="QDI88" s="356"/>
      <c r="QDJ88" s="356"/>
      <c r="QDK88" s="356"/>
      <c r="QDL88" s="356"/>
      <c r="QDM88" s="356"/>
      <c r="QDN88" s="356"/>
      <c r="QDO88" s="356"/>
      <c r="QDP88" s="356"/>
      <c r="QDQ88" s="356"/>
      <c r="QDR88" s="356"/>
      <c r="QDS88" s="356"/>
      <c r="QDT88" s="356"/>
      <c r="QDU88" s="356"/>
      <c r="QDV88" s="356"/>
      <c r="QDW88" s="356"/>
      <c r="QDX88" s="356"/>
      <c r="QDY88" s="356"/>
      <c r="QDZ88" s="356"/>
      <c r="QEA88" s="356"/>
      <c r="QEB88" s="356"/>
      <c r="QEC88" s="356"/>
      <c r="QED88" s="356"/>
      <c r="QEE88" s="356"/>
      <c r="QEF88" s="356"/>
      <c r="QEG88" s="356"/>
      <c r="QEH88" s="356"/>
      <c r="QEI88" s="356"/>
      <c r="QEJ88" s="356"/>
      <c r="QEK88" s="356"/>
      <c r="QEL88" s="356"/>
      <c r="QEM88" s="356"/>
      <c r="QEN88" s="356"/>
      <c r="QEO88" s="356"/>
      <c r="QEP88" s="356"/>
      <c r="QEQ88" s="356"/>
      <c r="QER88" s="356"/>
      <c r="QES88" s="356"/>
      <c r="QET88" s="356"/>
      <c r="QEU88" s="356"/>
      <c r="QEV88" s="356"/>
      <c r="QEW88" s="356"/>
      <c r="QEX88" s="356"/>
      <c r="QEY88" s="356"/>
      <c r="QEZ88" s="356"/>
      <c r="QFA88" s="356"/>
      <c r="QFB88" s="356"/>
      <c r="QFC88" s="356"/>
      <c r="QFD88" s="356"/>
      <c r="QFE88" s="356"/>
      <c r="QFF88" s="356"/>
      <c r="QFG88" s="356"/>
      <c r="QFH88" s="356"/>
      <c r="QFI88" s="356"/>
      <c r="QFJ88" s="356"/>
      <c r="QFK88" s="356"/>
      <c r="QFL88" s="356"/>
      <c r="QFM88" s="356"/>
      <c r="QFN88" s="356"/>
      <c r="QFO88" s="356"/>
      <c r="QFP88" s="356"/>
      <c r="QFQ88" s="356"/>
      <c r="QFR88" s="356"/>
      <c r="QFS88" s="356"/>
      <c r="QFT88" s="356"/>
      <c r="QFU88" s="356"/>
      <c r="QFV88" s="356"/>
      <c r="QFW88" s="356"/>
      <c r="QFX88" s="356"/>
      <c r="QFY88" s="356"/>
      <c r="QFZ88" s="356"/>
      <c r="QGA88" s="356"/>
      <c r="QGB88" s="356"/>
      <c r="QGC88" s="356"/>
      <c r="QGD88" s="356"/>
      <c r="QGE88" s="356"/>
      <c r="QGF88" s="356"/>
      <c r="QGG88" s="356"/>
      <c r="QGH88" s="356"/>
      <c r="QGI88" s="356"/>
      <c r="QGJ88" s="356"/>
      <c r="QGK88" s="356"/>
      <c r="QGL88" s="356"/>
      <c r="QGM88" s="356"/>
      <c r="QGN88" s="356"/>
      <c r="QGO88" s="356"/>
      <c r="QGP88" s="356"/>
      <c r="QGQ88" s="356"/>
      <c r="QGR88" s="356"/>
      <c r="QGS88" s="356"/>
      <c r="QGT88" s="356"/>
      <c r="QGU88" s="356"/>
      <c r="QGV88" s="356"/>
      <c r="QGW88" s="356"/>
      <c r="QGX88" s="356"/>
      <c r="QGY88" s="356"/>
      <c r="QGZ88" s="356"/>
      <c r="QHA88" s="356"/>
      <c r="QHB88" s="356"/>
      <c r="QHC88" s="356"/>
      <c r="QHD88" s="356"/>
      <c r="QHE88" s="356"/>
      <c r="QHF88" s="356"/>
      <c r="QHG88" s="356"/>
      <c r="QHH88" s="356"/>
      <c r="QHI88" s="356"/>
      <c r="QHJ88" s="356"/>
      <c r="QHK88" s="356"/>
      <c r="QHL88" s="356"/>
      <c r="QHM88" s="356"/>
      <c r="QHN88" s="356"/>
      <c r="QHO88" s="356"/>
      <c r="QHP88" s="356"/>
      <c r="QHQ88" s="356"/>
      <c r="QHR88" s="356"/>
      <c r="QHS88" s="356"/>
      <c r="QHT88" s="356"/>
      <c r="QHU88" s="356"/>
      <c r="QHV88" s="356"/>
      <c r="QHW88" s="356"/>
      <c r="QHX88" s="356"/>
      <c r="QHY88" s="356"/>
      <c r="QHZ88" s="356"/>
      <c r="QIA88" s="356"/>
      <c r="QIB88" s="356"/>
      <c r="QIC88" s="356"/>
      <c r="QID88" s="356"/>
      <c r="QIE88" s="356"/>
      <c r="QIF88" s="356"/>
      <c r="QIG88" s="356"/>
      <c r="QIH88" s="356"/>
      <c r="QII88" s="356"/>
      <c r="QIJ88" s="356"/>
      <c r="QIK88" s="356"/>
      <c r="QIL88" s="356"/>
      <c r="QIM88" s="356"/>
      <c r="QIN88" s="356"/>
      <c r="QIO88" s="356"/>
      <c r="QIP88" s="356"/>
      <c r="QIQ88" s="356"/>
      <c r="QIR88" s="356"/>
      <c r="QIS88" s="356"/>
      <c r="QIT88" s="356"/>
      <c r="QIU88" s="356"/>
      <c r="QIV88" s="356"/>
      <c r="QIW88" s="356"/>
      <c r="QIX88" s="356"/>
      <c r="QIY88" s="356"/>
      <c r="QIZ88" s="356"/>
      <c r="QJA88" s="356"/>
      <c r="QJB88" s="356"/>
      <c r="QJC88" s="356"/>
      <c r="QJD88" s="356"/>
      <c r="QJE88" s="356"/>
      <c r="QJF88" s="356"/>
      <c r="QJG88" s="356"/>
      <c r="QJH88" s="356"/>
      <c r="QJI88" s="356"/>
      <c r="QJJ88" s="356"/>
      <c r="QJK88" s="356"/>
      <c r="QJL88" s="356"/>
      <c r="QJM88" s="356"/>
      <c r="QJN88" s="356"/>
      <c r="QJO88" s="356"/>
      <c r="QJP88" s="356"/>
      <c r="QJQ88" s="356"/>
      <c r="QJR88" s="356"/>
      <c r="QJS88" s="356"/>
      <c r="QJT88" s="356"/>
      <c r="QJU88" s="356"/>
      <c r="QJV88" s="356"/>
      <c r="QJW88" s="356"/>
      <c r="QJX88" s="356"/>
      <c r="QJY88" s="356"/>
      <c r="QJZ88" s="356"/>
      <c r="QKA88" s="356"/>
      <c r="QKB88" s="356"/>
      <c r="QKC88" s="356"/>
      <c r="QKD88" s="356"/>
      <c r="QKE88" s="356"/>
      <c r="QKF88" s="356"/>
      <c r="QKG88" s="356"/>
      <c r="QKH88" s="356"/>
      <c r="QKI88" s="356"/>
      <c r="QKJ88" s="356"/>
      <c r="QKK88" s="356"/>
      <c r="QKL88" s="356"/>
      <c r="QKM88" s="356"/>
      <c r="QKN88" s="356"/>
      <c r="QKO88" s="356"/>
      <c r="QKP88" s="356"/>
      <c r="QKQ88" s="356"/>
      <c r="QKR88" s="356"/>
      <c r="QKS88" s="356"/>
      <c r="QKT88" s="356"/>
      <c r="QKU88" s="356"/>
      <c r="QKV88" s="356"/>
      <c r="QKW88" s="356"/>
      <c r="QKX88" s="356"/>
      <c r="QKY88" s="356"/>
      <c r="QKZ88" s="356"/>
      <c r="QLA88" s="356"/>
      <c r="QLB88" s="356"/>
      <c r="QLC88" s="356"/>
      <c r="QLD88" s="356"/>
      <c r="QLE88" s="356"/>
      <c r="QLF88" s="356"/>
      <c r="QLG88" s="356"/>
      <c r="QLH88" s="356"/>
      <c r="QLI88" s="356"/>
      <c r="QLJ88" s="356"/>
      <c r="QLK88" s="356"/>
      <c r="QLL88" s="356"/>
      <c r="QLM88" s="356"/>
      <c r="QLN88" s="356"/>
      <c r="QLO88" s="356"/>
      <c r="QLP88" s="356"/>
      <c r="QLQ88" s="356"/>
      <c r="QLR88" s="356"/>
      <c r="QLS88" s="356"/>
      <c r="QLT88" s="356"/>
      <c r="QLU88" s="356"/>
      <c r="QLV88" s="356"/>
      <c r="QLW88" s="356"/>
      <c r="QLX88" s="356"/>
      <c r="QLY88" s="356"/>
      <c r="QLZ88" s="356"/>
      <c r="QMA88" s="356"/>
      <c r="QMB88" s="356"/>
      <c r="QMC88" s="356"/>
      <c r="QMD88" s="356"/>
      <c r="QME88" s="356"/>
      <c r="QMF88" s="356"/>
      <c r="QMG88" s="356"/>
      <c r="QMH88" s="356"/>
      <c r="QMI88" s="356"/>
      <c r="QMJ88" s="356"/>
      <c r="QMK88" s="356"/>
      <c r="QML88" s="356"/>
      <c r="QMM88" s="356"/>
      <c r="QMN88" s="356"/>
      <c r="QMO88" s="356"/>
      <c r="QMP88" s="356"/>
      <c r="QMQ88" s="356"/>
      <c r="QMR88" s="356"/>
      <c r="QMS88" s="356"/>
      <c r="QMT88" s="356"/>
      <c r="QMU88" s="356"/>
      <c r="QMV88" s="356"/>
      <c r="QMW88" s="356"/>
      <c r="QMX88" s="356"/>
      <c r="QMY88" s="356"/>
      <c r="QMZ88" s="356"/>
      <c r="QNA88" s="356"/>
      <c r="QNB88" s="356"/>
      <c r="QNC88" s="356"/>
      <c r="QND88" s="356"/>
      <c r="QNE88" s="356"/>
      <c r="QNF88" s="356"/>
      <c r="QNG88" s="356"/>
      <c r="QNH88" s="356"/>
      <c r="QNI88" s="356"/>
      <c r="QNJ88" s="356"/>
      <c r="QNK88" s="356"/>
      <c r="QNL88" s="356"/>
      <c r="QNM88" s="356"/>
      <c r="QNN88" s="356"/>
      <c r="QNO88" s="356"/>
      <c r="QNP88" s="356"/>
      <c r="QNQ88" s="356"/>
      <c r="QNR88" s="356"/>
      <c r="QNS88" s="356"/>
      <c r="QNT88" s="356"/>
      <c r="QNU88" s="356"/>
      <c r="QNV88" s="356"/>
      <c r="QNW88" s="356"/>
      <c r="QNX88" s="356"/>
      <c r="QNY88" s="356"/>
      <c r="QNZ88" s="356"/>
      <c r="QOA88" s="356"/>
      <c r="QOB88" s="356"/>
      <c r="QOC88" s="356"/>
      <c r="QOD88" s="356"/>
      <c r="QOE88" s="356"/>
      <c r="QOF88" s="356"/>
      <c r="QOG88" s="356"/>
      <c r="QOH88" s="356"/>
      <c r="QOI88" s="356"/>
      <c r="QOJ88" s="356"/>
      <c r="QOK88" s="356"/>
      <c r="QOL88" s="356"/>
      <c r="QOM88" s="356"/>
      <c r="QON88" s="356"/>
      <c r="QOO88" s="356"/>
      <c r="QOP88" s="356"/>
      <c r="QOQ88" s="356"/>
      <c r="QOR88" s="356"/>
      <c r="QOS88" s="356"/>
      <c r="QOT88" s="356"/>
      <c r="QOU88" s="356"/>
      <c r="QOV88" s="356"/>
      <c r="QOW88" s="356"/>
      <c r="QOX88" s="356"/>
      <c r="QOY88" s="356"/>
      <c r="QOZ88" s="356"/>
      <c r="QPA88" s="356"/>
      <c r="QPB88" s="356"/>
      <c r="QPC88" s="356"/>
      <c r="QPD88" s="356"/>
      <c r="QPE88" s="356"/>
      <c r="QPF88" s="356"/>
      <c r="QPG88" s="356"/>
      <c r="QPH88" s="356"/>
      <c r="QPI88" s="356"/>
      <c r="QPJ88" s="356"/>
      <c r="QPK88" s="356"/>
      <c r="QPL88" s="356"/>
      <c r="QPM88" s="356"/>
      <c r="QPN88" s="356"/>
      <c r="QPO88" s="356"/>
      <c r="QPP88" s="356"/>
      <c r="QPQ88" s="356"/>
      <c r="QPR88" s="356"/>
      <c r="QPS88" s="356"/>
      <c r="QPT88" s="356"/>
      <c r="QPU88" s="356"/>
      <c r="QPV88" s="356"/>
      <c r="QPW88" s="356"/>
      <c r="QPX88" s="356"/>
      <c r="QPY88" s="356"/>
      <c r="QPZ88" s="356"/>
      <c r="QQA88" s="356"/>
      <c r="QQB88" s="356"/>
      <c r="QQC88" s="356"/>
      <c r="QQD88" s="356"/>
      <c r="QQE88" s="356"/>
      <c r="QQF88" s="356"/>
      <c r="QQG88" s="356"/>
      <c r="QQH88" s="356"/>
      <c r="QQI88" s="356"/>
      <c r="QQJ88" s="356"/>
      <c r="QQK88" s="356"/>
      <c r="QQL88" s="356"/>
      <c r="QQM88" s="356"/>
      <c r="QQN88" s="356"/>
      <c r="QQO88" s="356"/>
      <c r="QQP88" s="356"/>
      <c r="QQQ88" s="356"/>
      <c r="QQR88" s="356"/>
      <c r="QQS88" s="356"/>
      <c r="QQT88" s="356"/>
      <c r="QQU88" s="356"/>
      <c r="QQV88" s="356"/>
      <c r="QQW88" s="356"/>
      <c r="QQX88" s="356"/>
      <c r="QQY88" s="356"/>
      <c r="QQZ88" s="356"/>
      <c r="QRA88" s="356"/>
      <c r="QRB88" s="356"/>
      <c r="QRC88" s="356"/>
      <c r="QRD88" s="356"/>
      <c r="QRE88" s="356"/>
      <c r="QRF88" s="356"/>
      <c r="QRG88" s="356"/>
      <c r="QRH88" s="356"/>
      <c r="QRI88" s="356"/>
      <c r="QRJ88" s="356"/>
      <c r="QRK88" s="356"/>
      <c r="QRL88" s="356"/>
      <c r="QRM88" s="356"/>
      <c r="QRN88" s="356"/>
      <c r="QRO88" s="356"/>
      <c r="QRP88" s="356"/>
      <c r="QRQ88" s="356"/>
      <c r="QRR88" s="356"/>
      <c r="QRS88" s="356"/>
      <c r="QRT88" s="356"/>
      <c r="QRU88" s="356"/>
      <c r="QRV88" s="356"/>
      <c r="QRW88" s="356"/>
      <c r="QRX88" s="356"/>
      <c r="QRY88" s="356"/>
      <c r="QRZ88" s="356"/>
      <c r="QSA88" s="356"/>
      <c r="QSB88" s="356"/>
      <c r="QSC88" s="356"/>
      <c r="QSD88" s="356"/>
      <c r="QSE88" s="356"/>
      <c r="QSF88" s="356"/>
      <c r="QSG88" s="356"/>
      <c r="QSH88" s="356"/>
      <c r="QSI88" s="356"/>
      <c r="QSJ88" s="356"/>
      <c r="QSK88" s="356"/>
      <c r="QSL88" s="356"/>
      <c r="QSM88" s="356"/>
      <c r="QSN88" s="356"/>
      <c r="QSO88" s="356"/>
      <c r="QSP88" s="356"/>
      <c r="QSQ88" s="356"/>
      <c r="QSR88" s="356"/>
      <c r="QSS88" s="356"/>
      <c r="QST88" s="356"/>
      <c r="QSU88" s="356"/>
      <c r="QSV88" s="356"/>
      <c r="QSW88" s="356"/>
      <c r="QSX88" s="356"/>
      <c r="QSY88" s="356"/>
      <c r="QSZ88" s="356"/>
      <c r="QTA88" s="356"/>
      <c r="QTB88" s="356"/>
      <c r="QTC88" s="356"/>
      <c r="QTD88" s="356"/>
      <c r="QTE88" s="356"/>
      <c r="QTF88" s="356"/>
      <c r="QTG88" s="356"/>
      <c r="QTH88" s="356"/>
      <c r="QTI88" s="356"/>
      <c r="QTJ88" s="356"/>
      <c r="QTK88" s="356"/>
      <c r="QTL88" s="356"/>
      <c r="QTM88" s="356"/>
      <c r="QTN88" s="356"/>
      <c r="QTO88" s="356"/>
      <c r="QTP88" s="356"/>
      <c r="QTQ88" s="356"/>
      <c r="QTR88" s="356"/>
      <c r="QTS88" s="356"/>
      <c r="QTT88" s="356"/>
      <c r="QTU88" s="356"/>
      <c r="QTV88" s="356"/>
      <c r="QTW88" s="356"/>
      <c r="QTX88" s="356"/>
      <c r="QTY88" s="356"/>
      <c r="QTZ88" s="356"/>
      <c r="QUA88" s="356"/>
      <c r="QUB88" s="356"/>
      <c r="QUC88" s="356"/>
      <c r="QUD88" s="356"/>
      <c r="QUE88" s="356"/>
      <c r="QUF88" s="356"/>
      <c r="QUG88" s="356"/>
      <c r="QUH88" s="356"/>
      <c r="QUI88" s="356"/>
      <c r="QUJ88" s="356"/>
      <c r="QUK88" s="356"/>
      <c r="QUL88" s="356"/>
      <c r="QUM88" s="356"/>
      <c r="QUN88" s="356"/>
      <c r="QUO88" s="356"/>
      <c r="QUP88" s="356"/>
      <c r="QUQ88" s="356"/>
      <c r="QUR88" s="356"/>
      <c r="QUS88" s="356"/>
      <c r="QUT88" s="356"/>
      <c r="QUU88" s="356"/>
      <c r="QUV88" s="356"/>
      <c r="QUW88" s="356"/>
      <c r="QUX88" s="356"/>
      <c r="QUY88" s="356"/>
      <c r="QUZ88" s="356"/>
      <c r="QVA88" s="356"/>
      <c r="QVB88" s="356"/>
      <c r="QVC88" s="356"/>
      <c r="QVD88" s="356"/>
      <c r="QVE88" s="356"/>
      <c r="QVF88" s="356"/>
      <c r="QVG88" s="356"/>
      <c r="QVH88" s="356"/>
      <c r="QVI88" s="356"/>
      <c r="QVJ88" s="356"/>
      <c r="QVK88" s="356"/>
      <c r="QVL88" s="356"/>
      <c r="QVM88" s="356"/>
      <c r="QVN88" s="356"/>
      <c r="QVO88" s="356"/>
      <c r="QVP88" s="356"/>
      <c r="QVQ88" s="356"/>
      <c r="QVR88" s="356"/>
      <c r="QVS88" s="356"/>
      <c r="QVT88" s="356"/>
      <c r="QVU88" s="356"/>
      <c r="QVV88" s="356"/>
      <c r="QVW88" s="356"/>
      <c r="QVX88" s="356"/>
      <c r="QVY88" s="356"/>
      <c r="QVZ88" s="356"/>
      <c r="QWA88" s="356"/>
      <c r="QWB88" s="356"/>
      <c r="QWC88" s="356"/>
      <c r="QWD88" s="356"/>
      <c r="QWE88" s="356"/>
      <c r="QWF88" s="356"/>
      <c r="QWG88" s="356"/>
      <c r="QWH88" s="356"/>
      <c r="QWI88" s="356"/>
      <c r="QWJ88" s="356"/>
      <c r="QWK88" s="356"/>
      <c r="QWL88" s="356"/>
      <c r="QWM88" s="356"/>
      <c r="QWN88" s="356"/>
      <c r="QWO88" s="356"/>
      <c r="QWP88" s="356"/>
      <c r="QWQ88" s="356"/>
      <c r="QWR88" s="356"/>
      <c r="QWS88" s="356"/>
      <c r="QWT88" s="356"/>
      <c r="QWU88" s="356"/>
      <c r="QWV88" s="356"/>
      <c r="QWW88" s="356"/>
      <c r="QWX88" s="356"/>
      <c r="QWY88" s="356"/>
      <c r="QWZ88" s="356"/>
      <c r="QXA88" s="356"/>
      <c r="QXB88" s="356"/>
      <c r="QXC88" s="356"/>
      <c r="QXD88" s="356"/>
      <c r="QXE88" s="356"/>
      <c r="QXF88" s="356"/>
      <c r="QXG88" s="356"/>
      <c r="QXH88" s="356"/>
      <c r="QXI88" s="356"/>
      <c r="QXJ88" s="356"/>
      <c r="QXK88" s="356"/>
      <c r="QXL88" s="356"/>
      <c r="QXM88" s="356"/>
      <c r="QXN88" s="356"/>
      <c r="QXO88" s="356"/>
      <c r="QXP88" s="356"/>
      <c r="QXQ88" s="356"/>
      <c r="QXR88" s="356"/>
      <c r="QXS88" s="356"/>
      <c r="QXT88" s="356"/>
      <c r="QXU88" s="356"/>
      <c r="QXV88" s="356"/>
      <c r="QXW88" s="356"/>
      <c r="QXX88" s="356"/>
      <c r="QXY88" s="356"/>
      <c r="QXZ88" s="356"/>
      <c r="QYA88" s="356"/>
      <c r="QYB88" s="356"/>
      <c r="QYC88" s="356"/>
      <c r="QYD88" s="356"/>
      <c r="QYE88" s="356"/>
      <c r="QYF88" s="356"/>
      <c r="QYG88" s="356"/>
      <c r="QYH88" s="356"/>
      <c r="QYI88" s="356"/>
      <c r="QYJ88" s="356"/>
      <c r="QYK88" s="356"/>
      <c r="QYL88" s="356"/>
      <c r="QYM88" s="356"/>
      <c r="QYN88" s="356"/>
      <c r="QYO88" s="356"/>
      <c r="QYP88" s="356"/>
      <c r="QYQ88" s="356"/>
      <c r="QYR88" s="356"/>
      <c r="QYS88" s="356"/>
      <c r="QYT88" s="356"/>
      <c r="QYU88" s="356"/>
      <c r="QYV88" s="356"/>
      <c r="QYW88" s="356"/>
      <c r="QYX88" s="356"/>
      <c r="QYY88" s="356"/>
      <c r="QYZ88" s="356"/>
      <c r="QZA88" s="356"/>
      <c r="QZB88" s="356"/>
      <c r="QZC88" s="356"/>
      <c r="QZD88" s="356"/>
      <c r="QZE88" s="356"/>
      <c r="QZF88" s="356"/>
      <c r="QZG88" s="356"/>
      <c r="QZH88" s="356"/>
      <c r="QZI88" s="356"/>
      <c r="QZJ88" s="356"/>
      <c r="QZK88" s="356"/>
      <c r="QZL88" s="356"/>
      <c r="QZM88" s="356"/>
      <c r="QZN88" s="356"/>
      <c r="QZO88" s="356"/>
      <c r="QZP88" s="356"/>
      <c r="QZQ88" s="356"/>
      <c r="QZR88" s="356"/>
      <c r="QZS88" s="356"/>
      <c r="QZT88" s="356"/>
      <c r="QZU88" s="356"/>
      <c r="QZV88" s="356"/>
      <c r="QZW88" s="356"/>
      <c r="QZX88" s="356"/>
      <c r="QZY88" s="356"/>
      <c r="QZZ88" s="356"/>
      <c r="RAA88" s="356"/>
      <c r="RAB88" s="356"/>
      <c r="RAC88" s="356"/>
      <c r="RAD88" s="356"/>
      <c r="RAE88" s="356"/>
      <c r="RAF88" s="356"/>
      <c r="RAG88" s="356"/>
      <c r="RAH88" s="356"/>
      <c r="RAI88" s="356"/>
      <c r="RAJ88" s="356"/>
      <c r="RAK88" s="356"/>
      <c r="RAL88" s="356"/>
      <c r="RAM88" s="356"/>
      <c r="RAN88" s="356"/>
      <c r="RAO88" s="356"/>
      <c r="RAP88" s="356"/>
      <c r="RAQ88" s="356"/>
      <c r="RAR88" s="356"/>
      <c r="RAS88" s="356"/>
      <c r="RAT88" s="356"/>
      <c r="RAU88" s="356"/>
      <c r="RAV88" s="356"/>
      <c r="RAW88" s="356"/>
      <c r="RAX88" s="356"/>
      <c r="RAY88" s="356"/>
      <c r="RAZ88" s="356"/>
      <c r="RBA88" s="356"/>
      <c r="RBB88" s="356"/>
      <c r="RBC88" s="356"/>
      <c r="RBD88" s="356"/>
      <c r="RBE88" s="356"/>
      <c r="RBF88" s="356"/>
      <c r="RBG88" s="356"/>
      <c r="RBH88" s="356"/>
      <c r="RBI88" s="356"/>
      <c r="RBJ88" s="356"/>
      <c r="RBK88" s="356"/>
      <c r="RBL88" s="356"/>
      <c r="RBM88" s="356"/>
      <c r="RBN88" s="356"/>
      <c r="RBO88" s="356"/>
      <c r="RBP88" s="356"/>
      <c r="RBQ88" s="356"/>
      <c r="RBR88" s="356"/>
      <c r="RBS88" s="356"/>
      <c r="RBT88" s="356"/>
      <c r="RBU88" s="356"/>
      <c r="RBV88" s="356"/>
      <c r="RBW88" s="356"/>
      <c r="RBX88" s="356"/>
      <c r="RBY88" s="356"/>
      <c r="RBZ88" s="356"/>
      <c r="RCA88" s="356"/>
      <c r="RCB88" s="356"/>
      <c r="RCC88" s="356"/>
      <c r="RCD88" s="356"/>
      <c r="RCE88" s="356"/>
      <c r="RCF88" s="356"/>
      <c r="RCG88" s="356"/>
      <c r="RCH88" s="356"/>
      <c r="RCI88" s="356"/>
      <c r="RCJ88" s="356"/>
      <c r="RCK88" s="356"/>
      <c r="RCL88" s="356"/>
      <c r="RCM88" s="356"/>
      <c r="RCN88" s="356"/>
      <c r="RCO88" s="356"/>
      <c r="RCP88" s="356"/>
      <c r="RCQ88" s="356"/>
      <c r="RCR88" s="356"/>
      <c r="RCS88" s="356"/>
      <c r="RCT88" s="356"/>
      <c r="RCU88" s="356"/>
      <c r="RCV88" s="356"/>
      <c r="RCW88" s="356"/>
      <c r="RCX88" s="356"/>
      <c r="RCY88" s="356"/>
      <c r="RCZ88" s="356"/>
      <c r="RDA88" s="356"/>
      <c r="RDB88" s="356"/>
      <c r="RDC88" s="356"/>
      <c r="RDD88" s="356"/>
      <c r="RDE88" s="356"/>
      <c r="RDF88" s="356"/>
      <c r="RDG88" s="356"/>
      <c r="RDH88" s="356"/>
      <c r="RDI88" s="356"/>
      <c r="RDJ88" s="356"/>
      <c r="RDK88" s="356"/>
      <c r="RDL88" s="356"/>
      <c r="RDM88" s="356"/>
      <c r="RDN88" s="356"/>
      <c r="RDO88" s="356"/>
      <c r="RDP88" s="356"/>
      <c r="RDQ88" s="356"/>
      <c r="RDR88" s="356"/>
      <c r="RDS88" s="356"/>
      <c r="RDT88" s="356"/>
      <c r="RDU88" s="356"/>
      <c r="RDV88" s="356"/>
      <c r="RDW88" s="356"/>
      <c r="RDX88" s="356"/>
      <c r="RDY88" s="356"/>
      <c r="RDZ88" s="356"/>
      <c r="REA88" s="356"/>
      <c r="REB88" s="356"/>
      <c r="REC88" s="356"/>
      <c r="RED88" s="356"/>
      <c r="REE88" s="356"/>
      <c r="REF88" s="356"/>
      <c r="REG88" s="356"/>
      <c r="REH88" s="356"/>
      <c r="REI88" s="356"/>
      <c r="REJ88" s="356"/>
      <c r="REK88" s="356"/>
      <c r="REL88" s="356"/>
      <c r="REM88" s="356"/>
      <c r="REN88" s="356"/>
      <c r="REO88" s="356"/>
      <c r="REP88" s="356"/>
      <c r="REQ88" s="356"/>
      <c r="RER88" s="356"/>
      <c r="RES88" s="356"/>
      <c r="RET88" s="356"/>
      <c r="REU88" s="356"/>
      <c r="REV88" s="356"/>
      <c r="REW88" s="356"/>
      <c r="REX88" s="356"/>
      <c r="REY88" s="356"/>
      <c r="REZ88" s="356"/>
      <c r="RFA88" s="356"/>
      <c r="RFB88" s="356"/>
      <c r="RFC88" s="356"/>
      <c r="RFD88" s="356"/>
      <c r="RFE88" s="356"/>
      <c r="RFF88" s="356"/>
      <c r="RFG88" s="356"/>
      <c r="RFH88" s="356"/>
      <c r="RFI88" s="356"/>
      <c r="RFJ88" s="356"/>
      <c r="RFK88" s="356"/>
      <c r="RFL88" s="356"/>
      <c r="RFM88" s="356"/>
      <c r="RFN88" s="356"/>
      <c r="RFO88" s="356"/>
      <c r="RFP88" s="356"/>
      <c r="RFQ88" s="356"/>
      <c r="RFR88" s="356"/>
      <c r="RFS88" s="356"/>
      <c r="RFT88" s="356"/>
      <c r="RFU88" s="356"/>
      <c r="RFV88" s="356"/>
      <c r="RFW88" s="356"/>
      <c r="RFX88" s="356"/>
      <c r="RFY88" s="356"/>
      <c r="RFZ88" s="356"/>
      <c r="RGA88" s="356"/>
      <c r="RGB88" s="356"/>
      <c r="RGC88" s="356"/>
      <c r="RGD88" s="356"/>
      <c r="RGE88" s="356"/>
      <c r="RGF88" s="356"/>
      <c r="RGG88" s="356"/>
      <c r="RGH88" s="356"/>
      <c r="RGI88" s="356"/>
      <c r="RGJ88" s="356"/>
      <c r="RGK88" s="356"/>
      <c r="RGL88" s="356"/>
      <c r="RGM88" s="356"/>
      <c r="RGN88" s="356"/>
      <c r="RGO88" s="356"/>
      <c r="RGP88" s="356"/>
      <c r="RGQ88" s="356"/>
      <c r="RGR88" s="356"/>
      <c r="RGS88" s="356"/>
      <c r="RGT88" s="356"/>
      <c r="RGU88" s="356"/>
      <c r="RGV88" s="356"/>
      <c r="RGW88" s="356"/>
      <c r="RGX88" s="356"/>
      <c r="RGY88" s="356"/>
      <c r="RGZ88" s="356"/>
      <c r="RHA88" s="356"/>
      <c r="RHB88" s="356"/>
      <c r="RHC88" s="356"/>
      <c r="RHD88" s="356"/>
      <c r="RHE88" s="356"/>
      <c r="RHF88" s="356"/>
      <c r="RHG88" s="356"/>
      <c r="RHH88" s="356"/>
      <c r="RHI88" s="356"/>
      <c r="RHJ88" s="356"/>
      <c r="RHK88" s="356"/>
      <c r="RHL88" s="356"/>
      <c r="RHM88" s="356"/>
      <c r="RHN88" s="356"/>
      <c r="RHO88" s="356"/>
      <c r="RHP88" s="356"/>
      <c r="RHQ88" s="356"/>
      <c r="RHR88" s="356"/>
      <c r="RHS88" s="356"/>
      <c r="RHT88" s="356"/>
      <c r="RHU88" s="356"/>
      <c r="RHV88" s="356"/>
      <c r="RHW88" s="356"/>
      <c r="RHX88" s="356"/>
      <c r="RHY88" s="356"/>
      <c r="RHZ88" s="356"/>
      <c r="RIA88" s="356"/>
      <c r="RIB88" s="356"/>
      <c r="RIC88" s="356"/>
      <c r="RID88" s="356"/>
      <c r="RIE88" s="356"/>
      <c r="RIF88" s="356"/>
      <c r="RIG88" s="356"/>
      <c r="RIH88" s="356"/>
      <c r="RII88" s="356"/>
      <c r="RIJ88" s="356"/>
      <c r="RIK88" s="356"/>
      <c r="RIL88" s="356"/>
      <c r="RIM88" s="356"/>
      <c r="RIN88" s="356"/>
      <c r="RIO88" s="356"/>
      <c r="RIP88" s="356"/>
      <c r="RIQ88" s="356"/>
      <c r="RIR88" s="356"/>
      <c r="RIS88" s="356"/>
      <c r="RIT88" s="356"/>
      <c r="RIU88" s="356"/>
      <c r="RIV88" s="356"/>
      <c r="RIW88" s="356"/>
      <c r="RIX88" s="356"/>
      <c r="RIY88" s="356"/>
      <c r="RIZ88" s="356"/>
      <c r="RJA88" s="356"/>
      <c r="RJB88" s="356"/>
      <c r="RJC88" s="356"/>
      <c r="RJD88" s="356"/>
      <c r="RJE88" s="356"/>
      <c r="RJF88" s="356"/>
      <c r="RJG88" s="356"/>
      <c r="RJH88" s="356"/>
      <c r="RJI88" s="356"/>
      <c r="RJJ88" s="356"/>
      <c r="RJK88" s="356"/>
      <c r="RJL88" s="356"/>
      <c r="RJM88" s="356"/>
      <c r="RJN88" s="356"/>
      <c r="RJO88" s="356"/>
      <c r="RJP88" s="356"/>
      <c r="RJQ88" s="356"/>
      <c r="RJR88" s="356"/>
      <c r="RJS88" s="356"/>
      <c r="RJT88" s="356"/>
      <c r="RJU88" s="356"/>
      <c r="RJV88" s="356"/>
      <c r="RJW88" s="356"/>
      <c r="RJX88" s="356"/>
      <c r="RJY88" s="356"/>
      <c r="RJZ88" s="356"/>
      <c r="RKA88" s="356"/>
      <c r="RKB88" s="356"/>
      <c r="RKC88" s="356"/>
      <c r="RKD88" s="356"/>
      <c r="RKE88" s="356"/>
      <c r="RKF88" s="356"/>
      <c r="RKG88" s="356"/>
      <c r="RKH88" s="356"/>
      <c r="RKI88" s="356"/>
      <c r="RKJ88" s="356"/>
      <c r="RKK88" s="356"/>
      <c r="RKL88" s="356"/>
      <c r="RKM88" s="356"/>
      <c r="RKN88" s="356"/>
      <c r="RKO88" s="356"/>
      <c r="RKP88" s="356"/>
      <c r="RKQ88" s="356"/>
      <c r="RKR88" s="356"/>
      <c r="RKS88" s="356"/>
      <c r="RKT88" s="356"/>
      <c r="RKU88" s="356"/>
      <c r="RKV88" s="356"/>
      <c r="RKW88" s="356"/>
      <c r="RKX88" s="356"/>
      <c r="RKY88" s="356"/>
      <c r="RKZ88" s="356"/>
      <c r="RLA88" s="356"/>
      <c r="RLB88" s="356"/>
      <c r="RLC88" s="356"/>
      <c r="RLD88" s="356"/>
      <c r="RLE88" s="356"/>
      <c r="RLF88" s="356"/>
      <c r="RLG88" s="356"/>
      <c r="RLH88" s="356"/>
      <c r="RLI88" s="356"/>
      <c r="RLJ88" s="356"/>
      <c r="RLK88" s="356"/>
      <c r="RLL88" s="356"/>
      <c r="RLM88" s="356"/>
      <c r="RLN88" s="356"/>
      <c r="RLO88" s="356"/>
      <c r="RLP88" s="356"/>
      <c r="RLQ88" s="356"/>
      <c r="RLR88" s="356"/>
      <c r="RLS88" s="356"/>
      <c r="RLT88" s="356"/>
      <c r="RLU88" s="356"/>
      <c r="RLV88" s="356"/>
      <c r="RLW88" s="356"/>
      <c r="RLX88" s="356"/>
      <c r="RLY88" s="356"/>
      <c r="RLZ88" s="356"/>
      <c r="RMA88" s="356"/>
      <c r="RMB88" s="356"/>
      <c r="RMC88" s="356"/>
      <c r="RMD88" s="356"/>
      <c r="RME88" s="356"/>
      <c r="RMF88" s="356"/>
      <c r="RMG88" s="356"/>
      <c r="RMH88" s="356"/>
      <c r="RMI88" s="356"/>
      <c r="RMJ88" s="356"/>
      <c r="RMK88" s="356"/>
      <c r="RML88" s="356"/>
      <c r="RMM88" s="356"/>
      <c r="RMN88" s="356"/>
      <c r="RMO88" s="356"/>
      <c r="RMP88" s="356"/>
      <c r="RMQ88" s="356"/>
      <c r="RMR88" s="356"/>
      <c r="RMS88" s="356"/>
      <c r="RMT88" s="356"/>
      <c r="RMU88" s="356"/>
      <c r="RMV88" s="356"/>
      <c r="RMW88" s="356"/>
      <c r="RMX88" s="356"/>
      <c r="RMY88" s="356"/>
      <c r="RMZ88" s="356"/>
      <c r="RNA88" s="356"/>
      <c r="RNB88" s="356"/>
      <c r="RNC88" s="356"/>
      <c r="RND88" s="356"/>
      <c r="RNE88" s="356"/>
      <c r="RNF88" s="356"/>
      <c r="RNG88" s="356"/>
      <c r="RNH88" s="356"/>
      <c r="RNI88" s="356"/>
      <c r="RNJ88" s="356"/>
      <c r="RNK88" s="356"/>
      <c r="RNL88" s="356"/>
      <c r="RNM88" s="356"/>
      <c r="RNN88" s="356"/>
      <c r="RNO88" s="356"/>
      <c r="RNP88" s="356"/>
      <c r="RNQ88" s="356"/>
      <c r="RNR88" s="356"/>
      <c r="RNS88" s="356"/>
      <c r="RNT88" s="356"/>
      <c r="RNU88" s="356"/>
      <c r="RNV88" s="356"/>
      <c r="RNW88" s="356"/>
      <c r="RNX88" s="356"/>
      <c r="RNY88" s="356"/>
      <c r="RNZ88" s="356"/>
      <c r="ROA88" s="356"/>
      <c r="ROB88" s="356"/>
      <c r="ROC88" s="356"/>
      <c r="ROD88" s="356"/>
      <c r="ROE88" s="356"/>
      <c r="ROF88" s="356"/>
      <c r="ROG88" s="356"/>
      <c r="ROH88" s="356"/>
      <c r="ROI88" s="356"/>
      <c r="ROJ88" s="356"/>
      <c r="ROK88" s="356"/>
      <c r="ROL88" s="356"/>
      <c r="ROM88" s="356"/>
      <c r="RON88" s="356"/>
      <c r="ROO88" s="356"/>
      <c r="ROP88" s="356"/>
      <c r="ROQ88" s="356"/>
      <c r="ROR88" s="356"/>
      <c r="ROS88" s="356"/>
      <c r="ROT88" s="356"/>
      <c r="ROU88" s="356"/>
      <c r="ROV88" s="356"/>
      <c r="ROW88" s="356"/>
      <c r="ROX88" s="356"/>
      <c r="ROY88" s="356"/>
      <c r="ROZ88" s="356"/>
      <c r="RPA88" s="356"/>
      <c r="RPB88" s="356"/>
      <c r="RPC88" s="356"/>
      <c r="RPD88" s="356"/>
      <c r="RPE88" s="356"/>
      <c r="RPF88" s="356"/>
      <c r="RPG88" s="356"/>
      <c r="RPH88" s="356"/>
      <c r="RPI88" s="356"/>
      <c r="RPJ88" s="356"/>
      <c r="RPK88" s="356"/>
      <c r="RPL88" s="356"/>
      <c r="RPM88" s="356"/>
      <c r="RPN88" s="356"/>
      <c r="RPO88" s="356"/>
      <c r="RPP88" s="356"/>
      <c r="RPQ88" s="356"/>
      <c r="RPR88" s="356"/>
      <c r="RPS88" s="356"/>
      <c r="RPT88" s="356"/>
      <c r="RPU88" s="356"/>
      <c r="RPV88" s="356"/>
      <c r="RPW88" s="356"/>
      <c r="RPX88" s="356"/>
      <c r="RPY88" s="356"/>
      <c r="RPZ88" s="356"/>
      <c r="RQA88" s="356"/>
      <c r="RQB88" s="356"/>
      <c r="RQC88" s="356"/>
      <c r="RQD88" s="356"/>
      <c r="RQE88" s="356"/>
      <c r="RQF88" s="356"/>
      <c r="RQG88" s="356"/>
      <c r="RQH88" s="356"/>
      <c r="RQI88" s="356"/>
      <c r="RQJ88" s="356"/>
      <c r="RQK88" s="356"/>
      <c r="RQL88" s="356"/>
      <c r="RQM88" s="356"/>
      <c r="RQN88" s="356"/>
      <c r="RQO88" s="356"/>
      <c r="RQP88" s="356"/>
      <c r="RQQ88" s="356"/>
      <c r="RQR88" s="356"/>
      <c r="RQS88" s="356"/>
      <c r="RQT88" s="356"/>
      <c r="RQU88" s="356"/>
      <c r="RQV88" s="356"/>
      <c r="RQW88" s="356"/>
      <c r="RQX88" s="356"/>
      <c r="RQY88" s="356"/>
      <c r="RQZ88" s="356"/>
      <c r="RRA88" s="356"/>
      <c r="RRB88" s="356"/>
      <c r="RRC88" s="356"/>
      <c r="RRD88" s="356"/>
      <c r="RRE88" s="356"/>
      <c r="RRF88" s="356"/>
      <c r="RRG88" s="356"/>
      <c r="RRH88" s="356"/>
      <c r="RRI88" s="356"/>
      <c r="RRJ88" s="356"/>
      <c r="RRK88" s="356"/>
      <c r="RRL88" s="356"/>
      <c r="RRM88" s="356"/>
      <c r="RRN88" s="356"/>
      <c r="RRO88" s="356"/>
      <c r="RRP88" s="356"/>
      <c r="RRQ88" s="356"/>
      <c r="RRR88" s="356"/>
      <c r="RRS88" s="356"/>
      <c r="RRT88" s="356"/>
      <c r="RRU88" s="356"/>
      <c r="RRV88" s="356"/>
      <c r="RRW88" s="356"/>
      <c r="RRX88" s="356"/>
      <c r="RRY88" s="356"/>
      <c r="RRZ88" s="356"/>
      <c r="RSA88" s="356"/>
      <c r="RSB88" s="356"/>
      <c r="RSC88" s="356"/>
      <c r="RSD88" s="356"/>
      <c r="RSE88" s="356"/>
      <c r="RSF88" s="356"/>
      <c r="RSG88" s="356"/>
      <c r="RSH88" s="356"/>
      <c r="RSI88" s="356"/>
      <c r="RSJ88" s="356"/>
      <c r="RSK88" s="356"/>
      <c r="RSL88" s="356"/>
      <c r="RSM88" s="356"/>
      <c r="RSN88" s="356"/>
      <c r="RSO88" s="356"/>
      <c r="RSP88" s="356"/>
      <c r="RSQ88" s="356"/>
      <c r="RSR88" s="356"/>
      <c r="RSS88" s="356"/>
      <c r="RST88" s="356"/>
      <c r="RSU88" s="356"/>
      <c r="RSV88" s="356"/>
      <c r="RSW88" s="356"/>
      <c r="RSX88" s="356"/>
      <c r="RSY88" s="356"/>
      <c r="RSZ88" s="356"/>
      <c r="RTA88" s="356"/>
      <c r="RTB88" s="356"/>
      <c r="RTC88" s="356"/>
      <c r="RTD88" s="356"/>
      <c r="RTE88" s="356"/>
      <c r="RTF88" s="356"/>
      <c r="RTG88" s="356"/>
      <c r="RTH88" s="356"/>
      <c r="RTI88" s="356"/>
      <c r="RTJ88" s="356"/>
      <c r="RTK88" s="356"/>
      <c r="RTL88" s="356"/>
      <c r="RTM88" s="356"/>
      <c r="RTN88" s="356"/>
      <c r="RTO88" s="356"/>
      <c r="RTP88" s="356"/>
      <c r="RTQ88" s="356"/>
      <c r="RTR88" s="356"/>
      <c r="RTS88" s="356"/>
      <c r="RTT88" s="356"/>
      <c r="RTU88" s="356"/>
      <c r="RTV88" s="356"/>
      <c r="RTW88" s="356"/>
      <c r="RTX88" s="356"/>
      <c r="RTY88" s="356"/>
      <c r="RTZ88" s="356"/>
      <c r="RUA88" s="356"/>
      <c r="RUB88" s="356"/>
      <c r="RUC88" s="356"/>
      <c r="RUD88" s="356"/>
      <c r="RUE88" s="356"/>
      <c r="RUF88" s="356"/>
      <c r="RUG88" s="356"/>
      <c r="RUH88" s="356"/>
      <c r="RUI88" s="356"/>
      <c r="RUJ88" s="356"/>
      <c r="RUK88" s="356"/>
      <c r="RUL88" s="356"/>
      <c r="RUM88" s="356"/>
      <c r="RUN88" s="356"/>
      <c r="RUO88" s="356"/>
      <c r="RUP88" s="356"/>
      <c r="RUQ88" s="356"/>
      <c r="RUR88" s="356"/>
      <c r="RUS88" s="356"/>
      <c r="RUT88" s="356"/>
      <c r="RUU88" s="356"/>
      <c r="RUV88" s="356"/>
      <c r="RUW88" s="356"/>
      <c r="RUX88" s="356"/>
      <c r="RUY88" s="356"/>
      <c r="RUZ88" s="356"/>
      <c r="RVA88" s="356"/>
      <c r="RVB88" s="356"/>
      <c r="RVC88" s="356"/>
      <c r="RVD88" s="356"/>
      <c r="RVE88" s="356"/>
      <c r="RVF88" s="356"/>
      <c r="RVG88" s="356"/>
      <c r="RVH88" s="356"/>
      <c r="RVI88" s="356"/>
      <c r="RVJ88" s="356"/>
      <c r="RVK88" s="356"/>
      <c r="RVL88" s="356"/>
      <c r="RVM88" s="356"/>
      <c r="RVN88" s="356"/>
      <c r="RVO88" s="356"/>
      <c r="RVP88" s="356"/>
      <c r="RVQ88" s="356"/>
      <c r="RVR88" s="356"/>
      <c r="RVS88" s="356"/>
      <c r="RVT88" s="356"/>
      <c r="RVU88" s="356"/>
      <c r="RVV88" s="356"/>
      <c r="RVW88" s="356"/>
      <c r="RVX88" s="356"/>
      <c r="RVY88" s="356"/>
      <c r="RVZ88" s="356"/>
      <c r="RWA88" s="356"/>
      <c r="RWB88" s="356"/>
      <c r="RWC88" s="356"/>
      <c r="RWD88" s="356"/>
      <c r="RWE88" s="356"/>
      <c r="RWF88" s="356"/>
      <c r="RWG88" s="356"/>
      <c r="RWH88" s="356"/>
      <c r="RWI88" s="356"/>
      <c r="RWJ88" s="356"/>
      <c r="RWK88" s="356"/>
      <c r="RWL88" s="356"/>
      <c r="RWM88" s="356"/>
      <c r="RWN88" s="356"/>
      <c r="RWO88" s="356"/>
      <c r="RWP88" s="356"/>
      <c r="RWQ88" s="356"/>
      <c r="RWR88" s="356"/>
      <c r="RWS88" s="356"/>
      <c r="RWT88" s="356"/>
      <c r="RWU88" s="356"/>
      <c r="RWV88" s="356"/>
      <c r="RWW88" s="356"/>
      <c r="RWX88" s="356"/>
      <c r="RWY88" s="356"/>
      <c r="RWZ88" s="356"/>
      <c r="RXA88" s="356"/>
      <c r="RXB88" s="356"/>
      <c r="RXC88" s="356"/>
      <c r="RXD88" s="356"/>
      <c r="RXE88" s="356"/>
      <c r="RXF88" s="356"/>
      <c r="RXG88" s="356"/>
      <c r="RXH88" s="356"/>
      <c r="RXI88" s="356"/>
      <c r="RXJ88" s="356"/>
      <c r="RXK88" s="356"/>
      <c r="RXL88" s="356"/>
      <c r="RXM88" s="356"/>
      <c r="RXN88" s="356"/>
      <c r="RXO88" s="356"/>
      <c r="RXP88" s="356"/>
      <c r="RXQ88" s="356"/>
      <c r="RXR88" s="356"/>
      <c r="RXS88" s="356"/>
      <c r="RXT88" s="356"/>
      <c r="RXU88" s="356"/>
      <c r="RXV88" s="356"/>
      <c r="RXW88" s="356"/>
      <c r="RXX88" s="356"/>
      <c r="RXY88" s="356"/>
      <c r="RXZ88" s="356"/>
      <c r="RYA88" s="356"/>
      <c r="RYB88" s="356"/>
      <c r="RYC88" s="356"/>
      <c r="RYD88" s="356"/>
      <c r="RYE88" s="356"/>
      <c r="RYF88" s="356"/>
      <c r="RYG88" s="356"/>
      <c r="RYH88" s="356"/>
      <c r="RYI88" s="356"/>
      <c r="RYJ88" s="356"/>
      <c r="RYK88" s="356"/>
      <c r="RYL88" s="356"/>
      <c r="RYM88" s="356"/>
      <c r="RYN88" s="356"/>
      <c r="RYO88" s="356"/>
      <c r="RYP88" s="356"/>
      <c r="RYQ88" s="356"/>
      <c r="RYR88" s="356"/>
      <c r="RYS88" s="356"/>
      <c r="RYT88" s="356"/>
      <c r="RYU88" s="356"/>
      <c r="RYV88" s="356"/>
      <c r="RYW88" s="356"/>
      <c r="RYX88" s="356"/>
      <c r="RYY88" s="356"/>
      <c r="RYZ88" s="356"/>
      <c r="RZA88" s="356"/>
      <c r="RZB88" s="356"/>
      <c r="RZC88" s="356"/>
      <c r="RZD88" s="356"/>
      <c r="RZE88" s="356"/>
      <c r="RZF88" s="356"/>
      <c r="RZG88" s="356"/>
      <c r="RZH88" s="356"/>
      <c r="RZI88" s="356"/>
      <c r="RZJ88" s="356"/>
      <c r="RZK88" s="356"/>
      <c r="RZL88" s="356"/>
      <c r="RZM88" s="356"/>
      <c r="RZN88" s="356"/>
      <c r="RZO88" s="356"/>
      <c r="RZP88" s="356"/>
      <c r="RZQ88" s="356"/>
      <c r="RZR88" s="356"/>
      <c r="RZS88" s="356"/>
      <c r="RZT88" s="356"/>
      <c r="RZU88" s="356"/>
      <c r="RZV88" s="356"/>
      <c r="RZW88" s="356"/>
      <c r="RZX88" s="356"/>
      <c r="RZY88" s="356"/>
      <c r="RZZ88" s="356"/>
      <c r="SAA88" s="356"/>
      <c r="SAB88" s="356"/>
      <c r="SAC88" s="356"/>
      <c r="SAD88" s="356"/>
      <c r="SAE88" s="356"/>
      <c r="SAF88" s="356"/>
      <c r="SAG88" s="356"/>
      <c r="SAH88" s="356"/>
      <c r="SAI88" s="356"/>
      <c r="SAJ88" s="356"/>
      <c r="SAK88" s="356"/>
      <c r="SAL88" s="356"/>
      <c r="SAM88" s="356"/>
      <c r="SAN88" s="356"/>
      <c r="SAO88" s="356"/>
      <c r="SAP88" s="356"/>
      <c r="SAQ88" s="356"/>
      <c r="SAR88" s="356"/>
      <c r="SAS88" s="356"/>
      <c r="SAT88" s="356"/>
      <c r="SAU88" s="356"/>
      <c r="SAV88" s="356"/>
      <c r="SAW88" s="356"/>
      <c r="SAX88" s="356"/>
      <c r="SAY88" s="356"/>
      <c r="SAZ88" s="356"/>
      <c r="SBA88" s="356"/>
      <c r="SBB88" s="356"/>
      <c r="SBC88" s="356"/>
      <c r="SBD88" s="356"/>
      <c r="SBE88" s="356"/>
      <c r="SBF88" s="356"/>
      <c r="SBG88" s="356"/>
      <c r="SBH88" s="356"/>
      <c r="SBI88" s="356"/>
      <c r="SBJ88" s="356"/>
      <c r="SBK88" s="356"/>
      <c r="SBL88" s="356"/>
      <c r="SBM88" s="356"/>
      <c r="SBN88" s="356"/>
      <c r="SBO88" s="356"/>
      <c r="SBP88" s="356"/>
      <c r="SBQ88" s="356"/>
      <c r="SBR88" s="356"/>
      <c r="SBS88" s="356"/>
      <c r="SBT88" s="356"/>
      <c r="SBU88" s="356"/>
      <c r="SBV88" s="356"/>
      <c r="SBW88" s="356"/>
      <c r="SBX88" s="356"/>
      <c r="SBY88" s="356"/>
      <c r="SBZ88" s="356"/>
      <c r="SCA88" s="356"/>
      <c r="SCB88" s="356"/>
      <c r="SCC88" s="356"/>
      <c r="SCD88" s="356"/>
      <c r="SCE88" s="356"/>
      <c r="SCF88" s="356"/>
      <c r="SCG88" s="356"/>
      <c r="SCH88" s="356"/>
      <c r="SCI88" s="356"/>
      <c r="SCJ88" s="356"/>
      <c r="SCK88" s="356"/>
      <c r="SCL88" s="356"/>
      <c r="SCM88" s="356"/>
      <c r="SCN88" s="356"/>
      <c r="SCO88" s="356"/>
      <c r="SCP88" s="356"/>
      <c r="SCQ88" s="356"/>
      <c r="SCR88" s="356"/>
      <c r="SCS88" s="356"/>
      <c r="SCT88" s="356"/>
      <c r="SCU88" s="356"/>
      <c r="SCV88" s="356"/>
      <c r="SCW88" s="356"/>
      <c r="SCX88" s="356"/>
      <c r="SCY88" s="356"/>
      <c r="SCZ88" s="356"/>
      <c r="SDA88" s="356"/>
      <c r="SDB88" s="356"/>
      <c r="SDC88" s="356"/>
      <c r="SDD88" s="356"/>
      <c r="SDE88" s="356"/>
      <c r="SDF88" s="356"/>
      <c r="SDG88" s="356"/>
      <c r="SDH88" s="356"/>
      <c r="SDI88" s="356"/>
      <c r="SDJ88" s="356"/>
      <c r="SDK88" s="356"/>
      <c r="SDL88" s="356"/>
      <c r="SDM88" s="356"/>
      <c r="SDN88" s="356"/>
      <c r="SDO88" s="356"/>
      <c r="SDP88" s="356"/>
      <c r="SDQ88" s="356"/>
      <c r="SDR88" s="356"/>
      <c r="SDS88" s="356"/>
      <c r="SDT88" s="356"/>
      <c r="SDU88" s="356"/>
      <c r="SDV88" s="356"/>
      <c r="SDW88" s="356"/>
      <c r="SDX88" s="356"/>
      <c r="SDY88" s="356"/>
      <c r="SDZ88" s="356"/>
      <c r="SEA88" s="356"/>
      <c r="SEB88" s="356"/>
      <c r="SEC88" s="356"/>
      <c r="SED88" s="356"/>
      <c r="SEE88" s="356"/>
      <c r="SEF88" s="356"/>
      <c r="SEG88" s="356"/>
      <c r="SEH88" s="356"/>
      <c r="SEI88" s="356"/>
      <c r="SEJ88" s="356"/>
      <c r="SEK88" s="356"/>
      <c r="SEL88" s="356"/>
      <c r="SEM88" s="356"/>
      <c r="SEN88" s="356"/>
      <c r="SEO88" s="356"/>
      <c r="SEP88" s="356"/>
      <c r="SEQ88" s="356"/>
      <c r="SER88" s="356"/>
      <c r="SES88" s="356"/>
      <c r="SET88" s="356"/>
      <c r="SEU88" s="356"/>
      <c r="SEV88" s="356"/>
      <c r="SEW88" s="356"/>
      <c r="SEX88" s="356"/>
      <c r="SEY88" s="356"/>
      <c r="SEZ88" s="356"/>
      <c r="SFA88" s="356"/>
      <c r="SFB88" s="356"/>
      <c r="SFC88" s="356"/>
      <c r="SFD88" s="356"/>
      <c r="SFE88" s="356"/>
      <c r="SFF88" s="356"/>
      <c r="SFG88" s="356"/>
      <c r="SFH88" s="356"/>
      <c r="SFI88" s="356"/>
      <c r="SFJ88" s="356"/>
      <c r="SFK88" s="356"/>
      <c r="SFL88" s="356"/>
      <c r="SFM88" s="356"/>
      <c r="SFN88" s="356"/>
      <c r="SFO88" s="356"/>
      <c r="SFP88" s="356"/>
      <c r="SFQ88" s="356"/>
      <c r="SFR88" s="356"/>
      <c r="SFS88" s="356"/>
      <c r="SFT88" s="356"/>
      <c r="SFU88" s="356"/>
      <c r="SFV88" s="356"/>
      <c r="SFW88" s="356"/>
      <c r="SFX88" s="356"/>
      <c r="SFY88" s="356"/>
      <c r="SFZ88" s="356"/>
      <c r="SGA88" s="356"/>
      <c r="SGB88" s="356"/>
      <c r="SGC88" s="356"/>
      <c r="SGD88" s="356"/>
      <c r="SGE88" s="356"/>
      <c r="SGF88" s="356"/>
      <c r="SGG88" s="356"/>
      <c r="SGH88" s="356"/>
      <c r="SGI88" s="356"/>
      <c r="SGJ88" s="356"/>
      <c r="SGK88" s="356"/>
      <c r="SGL88" s="356"/>
      <c r="SGM88" s="356"/>
      <c r="SGN88" s="356"/>
      <c r="SGO88" s="356"/>
      <c r="SGP88" s="356"/>
      <c r="SGQ88" s="356"/>
      <c r="SGR88" s="356"/>
      <c r="SGS88" s="356"/>
      <c r="SGT88" s="356"/>
      <c r="SGU88" s="356"/>
      <c r="SGV88" s="356"/>
      <c r="SGW88" s="356"/>
      <c r="SGX88" s="356"/>
      <c r="SGY88" s="356"/>
      <c r="SGZ88" s="356"/>
      <c r="SHA88" s="356"/>
      <c r="SHB88" s="356"/>
      <c r="SHC88" s="356"/>
      <c r="SHD88" s="356"/>
      <c r="SHE88" s="356"/>
      <c r="SHF88" s="356"/>
      <c r="SHG88" s="356"/>
      <c r="SHH88" s="356"/>
      <c r="SHI88" s="356"/>
      <c r="SHJ88" s="356"/>
      <c r="SHK88" s="356"/>
      <c r="SHL88" s="356"/>
      <c r="SHM88" s="356"/>
      <c r="SHN88" s="356"/>
      <c r="SHO88" s="356"/>
      <c r="SHP88" s="356"/>
      <c r="SHQ88" s="356"/>
      <c r="SHR88" s="356"/>
      <c r="SHS88" s="356"/>
      <c r="SHT88" s="356"/>
      <c r="SHU88" s="356"/>
      <c r="SHV88" s="356"/>
      <c r="SHW88" s="356"/>
      <c r="SHX88" s="356"/>
      <c r="SHY88" s="356"/>
      <c r="SHZ88" s="356"/>
      <c r="SIA88" s="356"/>
      <c r="SIB88" s="356"/>
      <c r="SIC88" s="356"/>
      <c r="SID88" s="356"/>
      <c r="SIE88" s="356"/>
      <c r="SIF88" s="356"/>
      <c r="SIG88" s="356"/>
      <c r="SIH88" s="356"/>
      <c r="SII88" s="356"/>
      <c r="SIJ88" s="356"/>
      <c r="SIK88" s="356"/>
      <c r="SIL88" s="356"/>
      <c r="SIM88" s="356"/>
      <c r="SIN88" s="356"/>
      <c r="SIO88" s="356"/>
      <c r="SIP88" s="356"/>
      <c r="SIQ88" s="356"/>
      <c r="SIR88" s="356"/>
      <c r="SIS88" s="356"/>
      <c r="SIT88" s="356"/>
      <c r="SIU88" s="356"/>
      <c r="SIV88" s="356"/>
      <c r="SIW88" s="356"/>
      <c r="SIX88" s="356"/>
      <c r="SIY88" s="356"/>
      <c r="SIZ88" s="356"/>
      <c r="SJA88" s="356"/>
      <c r="SJB88" s="356"/>
      <c r="SJC88" s="356"/>
      <c r="SJD88" s="356"/>
      <c r="SJE88" s="356"/>
      <c r="SJF88" s="356"/>
      <c r="SJG88" s="356"/>
      <c r="SJH88" s="356"/>
      <c r="SJI88" s="356"/>
      <c r="SJJ88" s="356"/>
      <c r="SJK88" s="356"/>
      <c r="SJL88" s="356"/>
      <c r="SJM88" s="356"/>
      <c r="SJN88" s="356"/>
      <c r="SJO88" s="356"/>
      <c r="SJP88" s="356"/>
      <c r="SJQ88" s="356"/>
      <c r="SJR88" s="356"/>
      <c r="SJS88" s="356"/>
      <c r="SJT88" s="356"/>
      <c r="SJU88" s="356"/>
      <c r="SJV88" s="356"/>
      <c r="SJW88" s="356"/>
      <c r="SJX88" s="356"/>
      <c r="SJY88" s="356"/>
      <c r="SJZ88" s="356"/>
      <c r="SKA88" s="356"/>
      <c r="SKB88" s="356"/>
      <c r="SKC88" s="356"/>
      <c r="SKD88" s="356"/>
      <c r="SKE88" s="356"/>
      <c r="SKF88" s="356"/>
      <c r="SKG88" s="356"/>
      <c r="SKH88" s="356"/>
      <c r="SKI88" s="356"/>
      <c r="SKJ88" s="356"/>
      <c r="SKK88" s="356"/>
      <c r="SKL88" s="356"/>
      <c r="SKM88" s="356"/>
      <c r="SKN88" s="356"/>
      <c r="SKO88" s="356"/>
      <c r="SKP88" s="356"/>
      <c r="SKQ88" s="356"/>
      <c r="SKR88" s="356"/>
      <c r="SKS88" s="356"/>
      <c r="SKT88" s="356"/>
      <c r="SKU88" s="356"/>
      <c r="SKV88" s="356"/>
      <c r="SKW88" s="356"/>
      <c r="SKX88" s="356"/>
      <c r="SKY88" s="356"/>
      <c r="SKZ88" s="356"/>
      <c r="SLA88" s="356"/>
      <c r="SLB88" s="356"/>
      <c r="SLC88" s="356"/>
      <c r="SLD88" s="356"/>
      <c r="SLE88" s="356"/>
      <c r="SLF88" s="356"/>
      <c r="SLG88" s="356"/>
      <c r="SLH88" s="356"/>
      <c r="SLI88" s="356"/>
      <c r="SLJ88" s="356"/>
      <c r="SLK88" s="356"/>
      <c r="SLL88" s="356"/>
      <c r="SLM88" s="356"/>
      <c r="SLN88" s="356"/>
      <c r="SLO88" s="356"/>
      <c r="SLP88" s="356"/>
      <c r="SLQ88" s="356"/>
      <c r="SLR88" s="356"/>
      <c r="SLS88" s="356"/>
      <c r="SLT88" s="356"/>
      <c r="SLU88" s="356"/>
      <c r="SLV88" s="356"/>
      <c r="SLW88" s="356"/>
      <c r="SLX88" s="356"/>
      <c r="SLY88" s="356"/>
      <c r="SLZ88" s="356"/>
      <c r="SMA88" s="356"/>
      <c r="SMB88" s="356"/>
      <c r="SMC88" s="356"/>
      <c r="SMD88" s="356"/>
      <c r="SME88" s="356"/>
      <c r="SMF88" s="356"/>
      <c r="SMG88" s="356"/>
      <c r="SMH88" s="356"/>
      <c r="SMI88" s="356"/>
      <c r="SMJ88" s="356"/>
      <c r="SMK88" s="356"/>
      <c r="SML88" s="356"/>
      <c r="SMM88" s="356"/>
      <c r="SMN88" s="356"/>
      <c r="SMO88" s="356"/>
      <c r="SMP88" s="356"/>
      <c r="SMQ88" s="356"/>
      <c r="SMR88" s="356"/>
      <c r="SMS88" s="356"/>
      <c r="SMT88" s="356"/>
      <c r="SMU88" s="356"/>
      <c r="SMV88" s="356"/>
      <c r="SMW88" s="356"/>
      <c r="SMX88" s="356"/>
      <c r="SMY88" s="356"/>
      <c r="SMZ88" s="356"/>
      <c r="SNA88" s="356"/>
      <c r="SNB88" s="356"/>
      <c r="SNC88" s="356"/>
      <c r="SND88" s="356"/>
      <c r="SNE88" s="356"/>
      <c r="SNF88" s="356"/>
      <c r="SNG88" s="356"/>
      <c r="SNH88" s="356"/>
      <c r="SNI88" s="356"/>
      <c r="SNJ88" s="356"/>
      <c r="SNK88" s="356"/>
      <c r="SNL88" s="356"/>
      <c r="SNM88" s="356"/>
      <c r="SNN88" s="356"/>
      <c r="SNO88" s="356"/>
      <c r="SNP88" s="356"/>
      <c r="SNQ88" s="356"/>
      <c r="SNR88" s="356"/>
      <c r="SNS88" s="356"/>
      <c r="SNT88" s="356"/>
      <c r="SNU88" s="356"/>
      <c r="SNV88" s="356"/>
      <c r="SNW88" s="356"/>
      <c r="SNX88" s="356"/>
      <c r="SNY88" s="356"/>
      <c r="SNZ88" s="356"/>
      <c r="SOA88" s="356"/>
      <c r="SOB88" s="356"/>
      <c r="SOC88" s="356"/>
      <c r="SOD88" s="356"/>
      <c r="SOE88" s="356"/>
      <c r="SOF88" s="356"/>
      <c r="SOG88" s="356"/>
      <c r="SOH88" s="356"/>
      <c r="SOI88" s="356"/>
      <c r="SOJ88" s="356"/>
      <c r="SOK88" s="356"/>
      <c r="SOL88" s="356"/>
      <c r="SOM88" s="356"/>
      <c r="SON88" s="356"/>
      <c r="SOO88" s="356"/>
      <c r="SOP88" s="356"/>
      <c r="SOQ88" s="356"/>
      <c r="SOR88" s="356"/>
      <c r="SOS88" s="356"/>
      <c r="SOT88" s="356"/>
      <c r="SOU88" s="356"/>
      <c r="SOV88" s="356"/>
      <c r="SOW88" s="356"/>
      <c r="SOX88" s="356"/>
      <c r="SOY88" s="356"/>
      <c r="SOZ88" s="356"/>
      <c r="SPA88" s="356"/>
      <c r="SPB88" s="356"/>
      <c r="SPC88" s="356"/>
      <c r="SPD88" s="356"/>
      <c r="SPE88" s="356"/>
      <c r="SPF88" s="356"/>
      <c r="SPG88" s="356"/>
      <c r="SPH88" s="356"/>
      <c r="SPI88" s="356"/>
      <c r="SPJ88" s="356"/>
      <c r="SPK88" s="356"/>
      <c r="SPL88" s="356"/>
      <c r="SPM88" s="356"/>
      <c r="SPN88" s="356"/>
      <c r="SPO88" s="356"/>
      <c r="SPP88" s="356"/>
      <c r="SPQ88" s="356"/>
      <c r="SPR88" s="356"/>
      <c r="SPS88" s="356"/>
      <c r="SPT88" s="356"/>
      <c r="SPU88" s="356"/>
      <c r="SPV88" s="356"/>
      <c r="SPW88" s="356"/>
      <c r="SPX88" s="356"/>
      <c r="SPY88" s="356"/>
      <c r="SPZ88" s="356"/>
      <c r="SQA88" s="356"/>
      <c r="SQB88" s="356"/>
      <c r="SQC88" s="356"/>
      <c r="SQD88" s="356"/>
      <c r="SQE88" s="356"/>
      <c r="SQF88" s="356"/>
      <c r="SQG88" s="356"/>
      <c r="SQH88" s="356"/>
      <c r="SQI88" s="356"/>
      <c r="SQJ88" s="356"/>
      <c r="SQK88" s="356"/>
      <c r="SQL88" s="356"/>
      <c r="SQM88" s="356"/>
      <c r="SQN88" s="356"/>
      <c r="SQO88" s="356"/>
      <c r="SQP88" s="356"/>
      <c r="SQQ88" s="356"/>
      <c r="SQR88" s="356"/>
      <c r="SQS88" s="356"/>
      <c r="SQT88" s="356"/>
      <c r="SQU88" s="356"/>
      <c r="SQV88" s="356"/>
      <c r="SQW88" s="356"/>
      <c r="SQX88" s="356"/>
      <c r="SQY88" s="356"/>
      <c r="SQZ88" s="356"/>
      <c r="SRA88" s="356"/>
      <c r="SRB88" s="356"/>
      <c r="SRC88" s="356"/>
      <c r="SRD88" s="356"/>
      <c r="SRE88" s="356"/>
      <c r="SRF88" s="356"/>
      <c r="SRG88" s="356"/>
      <c r="SRH88" s="356"/>
      <c r="SRI88" s="356"/>
      <c r="SRJ88" s="356"/>
      <c r="SRK88" s="356"/>
      <c r="SRL88" s="356"/>
      <c r="SRM88" s="356"/>
      <c r="SRN88" s="356"/>
      <c r="SRO88" s="356"/>
      <c r="SRP88" s="356"/>
      <c r="SRQ88" s="356"/>
      <c r="SRR88" s="356"/>
      <c r="SRS88" s="356"/>
      <c r="SRT88" s="356"/>
      <c r="SRU88" s="356"/>
      <c r="SRV88" s="356"/>
      <c r="SRW88" s="356"/>
      <c r="SRX88" s="356"/>
      <c r="SRY88" s="356"/>
      <c r="SRZ88" s="356"/>
      <c r="SSA88" s="356"/>
      <c r="SSB88" s="356"/>
      <c r="SSC88" s="356"/>
      <c r="SSD88" s="356"/>
      <c r="SSE88" s="356"/>
      <c r="SSF88" s="356"/>
      <c r="SSG88" s="356"/>
      <c r="SSH88" s="356"/>
      <c r="SSI88" s="356"/>
      <c r="SSJ88" s="356"/>
      <c r="SSK88" s="356"/>
      <c r="SSL88" s="356"/>
      <c r="SSM88" s="356"/>
      <c r="SSN88" s="356"/>
      <c r="SSO88" s="356"/>
      <c r="SSP88" s="356"/>
      <c r="SSQ88" s="356"/>
      <c r="SSR88" s="356"/>
      <c r="SSS88" s="356"/>
      <c r="SST88" s="356"/>
      <c r="SSU88" s="356"/>
      <c r="SSV88" s="356"/>
      <c r="SSW88" s="356"/>
      <c r="SSX88" s="356"/>
      <c r="SSY88" s="356"/>
      <c r="SSZ88" s="356"/>
      <c r="STA88" s="356"/>
      <c r="STB88" s="356"/>
      <c r="STC88" s="356"/>
      <c r="STD88" s="356"/>
      <c r="STE88" s="356"/>
      <c r="STF88" s="356"/>
      <c r="STG88" s="356"/>
      <c r="STH88" s="356"/>
      <c r="STI88" s="356"/>
      <c r="STJ88" s="356"/>
      <c r="STK88" s="356"/>
      <c r="STL88" s="356"/>
      <c r="STM88" s="356"/>
      <c r="STN88" s="356"/>
      <c r="STO88" s="356"/>
      <c r="STP88" s="356"/>
      <c r="STQ88" s="356"/>
      <c r="STR88" s="356"/>
      <c r="STS88" s="356"/>
      <c r="STT88" s="356"/>
      <c r="STU88" s="356"/>
      <c r="STV88" s="356"/>
      <c r="STW88" s="356"/>
      <c r="STX88" s="356"/>
      <c r="STY88" s="356"/>
      <c r="STZ88" s="356"/>
      <c r="SUA88" s="356"/>
      <c r="SUB88" s="356"/>
      <c r="SUC88" s="356"/>
      <c r="SUD88" s="356"/>
      <c r="SUE88" s="356"/>
      <c r="SUF88" s="356"/>
      <c r="SUG88" s="356"/>
      <c r="SUH88" s="356"/>
      <c r="SUI88" s="356"/>
      <c r="SUJ88" s="356"/>
      <c r="SUK88" s="356"/>
      <c r="SUL88" s="356"/>
      <c r="SUM88" s="356"/>
      <c r="SUN88" s="356"/>
      <c r="SUO88" s="356"/>
      <c r="SUP88" s="356"/>
      <c r="SUQ88" s="356"/>
      <c r="SUR88" s="356"/>
      <c r="SUS88" s="356"/>
      <c r="SUT88" s="356"/>
      <c r="SUU88" s="356"/>
      <c r="SUV88" s="356"/>
      <c r="SUW88" s="356"/>
      <c r="SUX88" s="356"/>
      <c r="SUY88" s="356"/>
      <c r="SUZ88" s="356"/>
      <c r="SVA88" s="356"/>
      <c r="SVB88" s="356"/>
      <c r="SVC88" s="356"/>
      <c r="SVD88" s="356"/>
      <c r="SVE88" s="356"/>
      <c r="SVF88" s="356"/>
      <c r="SVG88" s="356"/>
      <c r="SVH88" s="356"/>
      <c r="SVI88" s="356"/>
      <c r="SVJ88" s="356"/>
      <c r="SVK88" s="356"/>
      <c r="SVL88" s="356"/>
      <c r="SVM88" s="356"/>
      <c r="SVN88" s="356"/>
      <c r="SVO88" s="356"/>
      <c r="SVP88" s="356"/>
      <c r="SVQ88" s="356"/>
      <c r="SVR88" s="356"/>
      <c r="SVS88" s="356"/>
      <c r="SVT88" s="356"/>
      <c r="SVU88" s="356"/>
      <c r="SVV88" s="356"/>
      <c r="SVW88" s="356"/>
      <c r="SVX88" s="356"/>
      <c r="SVY88" s="356"/>
      <c r="SVZ88" s="356"/>
      <c r="SWA88" s="356"/>
      <c r="SWB88" s="356"/>
      <c r="SWC88" s="356"/>
      <c r="SWD88" s="356"/>
      <c r="SWE88" s="356"/>
      <c r="SWF88" s="356"/>
      <c r="SWG88" s="356"/>
      <c r="SWH88" s="356"/>
      <c r="SWI88" s="356"/>
      <c r="SWJ88" s="356"/>
      <c r="SWK88" s="356"/>
      <c r="SWL88" s="356"/>
      <c r="SWM88" s="356"/>
      <c r="SWN88" s="356"/>
      <c r="SWO88" s="356"/>
      <c r="SWP88" s="356"/>
      <c r="SWQ88" s="356"/>
      <c r="SWR88" s="356"/>
      <c r="SWS88" s="356"/>
      <c r="SWT88" s="356"/>
      <c r="SWU88" s="356"/>
      <c r="SWV88" s="356"/>
      <c r="SWW88" s="356"/>
      <c r="SWX88" s="356"/>
      <c r="SWY88" s="356"/>
      <c r="SWZ88" s="356"/>
      <c r="SXA88" s="356"/>
      <c r="SXB88" s="356"/>
      <c r="SXC88" s="356"/>
      <c r="SXD88" s="356"/>
      <c r="SXE88" s="356"/>
      <c r="SXF88" s="356"/>
      <c r="SXG88" s="356"/>
      <c r="SXH88" s="356"/>
      <c r="SXI88" s="356"/>
      <c r="SXJ88" s="356"/>
      <c r="SXK88" s="356"/>
      <c r="SXL88" s="356"/>
      <c r="SXM88" s="356"/>
      <c r="SXN88" s="356"/>
      <c r="SXO88" s="356"/>
      <c r="SXP88" s="356"/>
      <c r="SXQ88" s="356"/>
      <c r="SXR88" s="356"/>
      <c r="SXS88" s="356"/>
      <c r="SXT88" s="356"/>
      <c r="SXU88" s="356"/>
      <c r="SXV88" s="356"/>
      <c r="SXW88" s="356"/>
      <c r="SXX88" s="356"/>
      <c r="SXY88" s="356"/>
      <c r="SXZ88" s="356"/>
      <c r="SYA88" s="356"/>
      <c r="SYB88" s="356"/>
      <c r="SYC88" s="356"/>
      <c r="SYD88" s="356"/>
      <c r="SYE88" s="356"/>
      <c r="SYF88" s="356"/>
      <c r="SYG88" s="356"/>
      <c r="SYH88" s="356"/>
      <c r="SYI88" s="356"/>
      <c r="SYJ88" s="356"/>
      <c r="SYK88" s="356"/>
      <c r="SYL88" s="356"/>
      <c r="SYM88" s="356"/>
      <c r="SYN88" s="356"/>
      <c r="SYO88" s="356"/>
      <c r="SYP88" s="356"/>
      <c r="SYQ88" s="356"/>
      <c r="SYR88" s="356"/>
      <c r="SYS88" s="356"/>
      <c r="SYT88" s="356"/>
      <c r="SYU88" s="356"/>
      <c r="SYV88" s="356"/>
      <c r="SYW88" s="356"/>
      <c r="SYX88" s="356"/>
      <c r="SYY88" s="356"/>
      <c r="SYZ88" s="356"/>
      <c r="SZA88" s="356"/>
      <c r="SZB88" s="356"/>
      <c r="SZC88" s="356"/>
      <c r="SZD88" s="356"/>
      <c r="SZE88" s="356"/>
      <c r="SZF88" s="356"/>
      <c r="SZG88" s="356"/>
      <c r="SZH88" s="356"/>
      <c r="SZI88" s="356"/>
      <c r="SZJ88" s="356"/>
      <c r="SZK88" s="356"/>
      <c r="SZL88" s="356"/>
      <c r="SZM88" s="356"/>
      <c r="SZN88" s="356"/>
      <c r="SZO88" s="356"/>
      <c r="SZP88" s="356"/>
      <c r="SZQ88" s="356"/>
      <c r="SZR88" s="356"/>
      <c r="SZS88" s="356"/>
      <c r="SZT88" s="356"/>
      <c r="SZU88" s="356"/>
      <c r="SZV88" s="356"/>
      <c r="SZW88" s="356"/>
      <c r="SZX88" s="356"/>
      <c r="SZY88" s="356"/>
      <c r="SZZ88" s="356"/>
      <c r="TAA88" s="356"/>
      <c r="TAB88" s="356"/>
      <c r="TAC88" s="356"/>
      <c r="TAD88" s="356"/>
      <c r="TAE88" s="356"/>
      <c r="TAF88" s="356"/>
      <c r="TAG88" s="356"/>
      <c r="TAH88" s="356"/>
      <c r="TAI88" s="356"/>
      <c r="TAJ88" s="356"/>
      <c r="TAK88" s="356"/>
      <c r="TAL88" s="356"/>
      <c r="TAM88" s="356"/>
      <c r="TAN88" s="356"/>
      <c r="TAO88" s="356"/>
      <c r="TAP88" s="356"/>
      <c r="TAQ88" s="356"/>
      <c r="TAR88" s="356"/>
      <c r="TAS88" s="356"/>
      <c r="TAT88" s="356"/>
      <c r="TAU88" s="356"/>
      <c r="TAV88" s="356"/>
      <c r="TAW88" s="356"/>
      <c r="TAX88" s="356"/>
      <c r="TAY88" s="356"/>
      <c r="TAZ88" s="356"/>
      <c r="TBA88" s="356"/>
      <c r="TBB88" s="356"/>
      <c r="TBC88" s="356"/>
      <c r="TBD88" s="356"/>
      <c r="TBE88" s="356"/>
      <c r="TBF88" s="356"/>
      <c r="TBG88" s="356"/>
      <c r="TBH88" s="356"/>
      <c r="TBI88" s="356"/>
      <c r="TBJ88" s="356"/>
      <c r="TBK88" s="356"/>
      <c r="TBL88" s="356"/>
      <c r="TBM88" s="356"/>
      <c r="TBN88" s="356"/>
      <c r="TBO88" s="356"/>
      <c r="TBP88" s="356"/>
      <c r="TBQ88" s="356"/>
      <c r="TBR88" s="356"/>
      <c r="TBS88" s="356"/>
      <c r="TBT88" s="356"/>
      <c r="TBU88" s="356"/>
      <c r="TBV88" s="356"/>
      <c r="TBW88" s="356"/>
      <c r="TBX88" s="356"/>
      <c r="TBY88" s="356"/>
      <c r="TBZ88" s="356"/>
      <c r="TCA88" s="356"/>
      <c r="TCB88" s="356"/>
      <c r="TCC88" s="356"/>
      <c r="TCD88" s="356"/>
      <c r="TCE88" s="356"/>
      <c r="TCF88" s="356"/>
      <c r="TCG88" s="356"/>
      <c r="TCH88" s="356"/>
      <c r="TCI88" s="356"/>
      <c r="TCJ88" s="356"/>
      <c r="TCK88" s="356"/>
      <c r="TCL88" s="356"/>
      <c r="TCM88" s="356"/>
      <c r="TCN88" s="356"/>
      <c r="TCO88" s="356"/>
      <c r="TCP88" s="356"/>
      <c r="TCQ88" s="356"/>
      <c r="TCR88" s="356"/>
      <c r="TCS88" s="356"/>
      <c r="TCT88" s="356"/>
      <c r="TCU88" s="356"/>
      <c r="TCV88" s="356"/>
      <c r="TCW88" s="356"/>
      <c r="TCX88" s="356"/>
      <c r="TCY88" s="356"/>
      <c r="TCZ88" s="356"/>
      <c r="TDA88" s="356"/>
      <c r="TDB88" s="356"/>
      <c r="TDC88" s="356"/>
      <c r="TDD88" s="356"/>
      <c r="TDE88" s="356"/>
      <c r="TDF88" s="356"/>
      <c r="TDG88" s="356"/>
      <c r="TDH88" s="356"/>
      <c r="TDI88" s="356"/>
      <c r="TDJ88" s="356"/>
      <c r="TDK88" s="356"/>
      <c r="TDL88" s="356"/>
      <c r="TDM88" s="356"/>
      <c r="TDN88" s="356"/>
      <c r="TDO88" s="356"/>
      <c r="TDP88" s="356"/>
      <c r="TDQ88" s="356"/>
      <c r="TDR88" s="356"/>
      <c r="TDS88" s="356"/>
      <c r="TDT88" s="356"/>
      <c r="TDU88" s="356"/>
      <c r="TDV88" s="356"/>
      <c r="TDW88" s="356"/>
      <c r="TDX88" s="356"/>
      <c r="TDY88" s="356"/>
      <c r="TDZ88" s="356"/>
      <c r="TEA88" s="356"/>
      <c r="TEB88" s="356"/>
      <c r="TEC88" s="356"/>
      <c r="TED88" s="356"/>
      <c r="TEE88" s="356"/>
      <c r="TEF88" s="356"/>
      <c r="TEG88" s="356"/>
      <c r="TEH88" s="356"/>
      <c r="TEI88" s="356"/>
      <c r="TEJ88" s="356"/>
      <c r="TEK88" s="356"/>
      <c r="TEL88" s="356"/>
      <c r="TEM88" s="356"/>
      <c r="TEN88" s="356"/>
      <c r="TEO88" s="356"/>
      <c r="TEP88" s="356"/>
      <c r="TEQ88" s="356"/>
      <c r="TER88" s="356"/>
      <c r="TES88" s="356"/>
      <c r="TET88" s="356"/>
      <c r="TEU88" s="356"/>
      <c r="TEV88" s="356"/>
      <c r="TEW88" s="356"/>
      <c r="TEX88" s="356"/>
      <c r="TEY88" s="356"/>
      <c r="TEZ88" s="356"/>
      <c r="TFA88" s="356"/>
      <c r="TFB88" s="356"/>
      <c r="TFC88" s="356"/>
      <c r="TFD88" s="356"/>
      <c r="TFE88" s="356"/>
      <c r="TFF88" s="356"/>
      <c r="TFG88" s="356"/>
      <c r="TFH88" s="356"/>
      <c r="TFI88" s="356"/>
      <c r="TFJ88" s="356"/>
      <c r="TFK88" s="356"/>
      <c r="TFL88" s="356"/>
      <c r="TFM88" s="356"/>
      <c r="TFN88" s="356"/>
      <c r="TFO88" s="356"/>
      <c r="TFP88" s="356"/>
      <c r="TFQ88" s="356"/>
      <c r="TFR88" s="356"/>
      <c r="TFS88" s="356"/>
      <c r="TFT88" s="356"/>
      <c r="TFU88" s="356"/>
      <c r="TFV88" s="356"/>
      <c r="TFW88" s="356"/>
      <c r="TFX88" s="356"/>
      <c r="TFY88" s="356"/>
      <c r="TFZ88" s="356"/>
      <c r="TGA88" s="356"/>
      <c r="TGB88" s="356"/>
      <c r="TGC88" s="356"/>
      <c r="TGD88" s="356"/>
      <c r="TGE88" s="356"/>
      <c r="TGF88" s="356"/>
      <c r="TGG88" s="356"/>
      <c r="TGH88" s="356"/>
      <c r="TGI88" s="356"/>
      <c r="TGJ88" s="356"/>
      <c r="TGK88" s="356"/>
      <c r="TGL88" s="356"/>
      <c r="TGM88" s="356"/>
      <c r="TGN88" s="356"/>
      <c r="TGO88" s="356"/>
      <c r="TGP88" s="356"/>
      <c r="TGQ88" s="356"/>
      <c r="TGR88" s="356"/>
      <c r="TGS88" s="356"/>
      <c r="TGT88" s="356"/>
      <c r="TGU88" s="356"/>
      <c r="TGV88" s="356"/>
      <c r="TGW88" s="356"/>
      <c r="TGX88" s="356"/>
      <c r="TGY88" s="356"/>
      <c r="TGZ88" s="356"/>
      <c r="THA88" s="356"/>
      <c r="THB88" s="356"/>
      <c r="THC88" s="356"/>
      <c r="THD88" s="356"/>
      <c r="THE88" s="356"/>
      <c r="THF88" s="356"/>
      <c r="THG88" s="356"/>
      <c r="THH88" s="356"/>
      <c r="THI88" s="356"/>
      <c r="THJ88" s="356"/>
      <c r="THK88" s="356"/>
      <c r="THL88" s="356"/>
      <c r="THM88" s="356"/>
      <c r="THN88" s="356"/>
      <c r="THO88" s="356"/>
      <c r="THP88" s="356"/>
      <c r="THQ88" s="356"/>
      <c r="THR88" s="356"/>
      <c r="THS88" s="356"/>
      <c r="THT88" s="356"/>
      <c r="THU88" s="356"/>
      <c r="THV88" s="356"/>
      <c r="THW88" s="356"/>
      <c r="THX88" s="356"/>
      <c r="THY88" s="356"/>
      <c r="THZ88" s="356"/>
      <c r="TIA88" s="356"/>
      <c r="TIB88" s="356"/>
      <c r="TIC88" s="356"/>
      <c r="TID88" s="356"/>
      <c r="TIE88" s="356"/>
      <c r="TIF88" s="356"/>
      <c r="TIG88" s="356"/>
      <c r="TIH88" s="356"/>
      <c r="TII88" s="356"/>
      <c r="TIJ88" s="356"/>
      <c r="TIK88" s="356"/>
      <c r="TIL88" s="356"/>
      <c r="TIM88" s="356"/>
      <c r="TIN88" s="356"/>
      <c r="TIO88" s="356"/>
      <c r="TIP88" s="356"/>
      <c r="TIQ88" s="356"/>
      <c r="TIR88" s="356"/>
      <c r="TIS88" s="356"/>
      <c r="TIT88" s="356"/>
      <c r="TIU88" s="356"/>
      <c r="TIV88" s="356"/>
      <c r="TIW88" s="356"/>
      <c r="TIX88" s="356"/>
      <c r="TIY88" s="356"/>
      <c r="TIZ88" s="356"/>
      <c r="TJA88" s="356"/>
      <c r="TJB88" s="356"/>
      <c r="TJC88" s="356"/>
      <c r="TJD88" s="356"/>
      <c r="TJE88" s="356"/>
      <c r="TJF88" s="356"/>
      <c r="TJG88" s="356"/>
      <c r="TJH88" s="356"/>
      <c r="TJI88" s="356"/>
      <c r="TJJ88" s="356"/>
      <c r="TJK88" s="356"/>
      <c r="TJL88" s="356"/>
      <c r="TJM88" s="356"/>
      <c r="TJN88" s="356"/>
      <c r="TJO88" s="356"/>
      <c r="TJP88" s="356"/>
      <c r="TJQ88" s="356"/>
      <c r="TJR88" s="356"/>
      <c r="TJS88" s="356"/>
      <c r="TJT88" s="356"/>
      <c r="TJU88" s="356"/>
      <c r="TJV88" s="356"/>
      <c r="TJW88" s="356"/>
      <c r="TJX88" s="356"/>
      <c r="TJY88" s="356"/>
      <c r="TJZ88" s="356"/>
      <c r="TKA88" s="356"/>
      <c r="TKB88" s="356"/>
      <c r="TKC88" s="356"/>
      <c r="TKD88" s="356"/>
      <c r="TKE88" s="356"/>
      <c r="TKF88" s="356"/>
      <c r="TKG88" s="356"/>
      <c r="TKH88" s="356"/>
      <c r="TKI88" s="356"/>
      <c r="TKJ88" s="356"/>
      <c r="TKK88" s="356"/>
      <c r="TKL88" s="356"/>
      <c r="TKM88" s="356"/>
      <c r="TKN88" s="356"/>
      <c r="TKO88" s="356"/>
      <c r="TKP88" s="356"/>
      <c r="TKQ88" s="356"/>
      <c r="TKR88" s="356"/>
      <c r="TKS88" s="356"/>
      <c r="TKT88" s="356"/>
      <c r="TKU88" s="356"/>
      <c r="TKV88" s="356"/>
      <c r="TKW88" s="356"/>
      <c r="TKX88" s="356"/>
      <c r="TKY88" s="356"/>
      <c r="TKZ88" s="356"/>
      <c r="TLA88" s="356"/>
      <c r="TLB88" s="356"/>
      <c r="TLC88" s="356"/>
      <c r="TLD88" s="356"/>
      <c r="TLE88" s="356"/>
      <c r="TLF88" s="356"/>
      <c r="TLG88" s="356"/>
      <c r="TLH88" s="356"/>
      <c r="TLI88" s="356"/>
      <c r="TLJ88" s="356"/>
      <c r="TLK88" s="356"/>
      <c r="TLL88" s="356"/>
      <c r="TLM88" s="356"/>
      <c r="TLN88" s="356"/>
      <c r="TLO88" s="356"/>
      <c r="TLP88" s="356"/>
      <c r="TLQ88" s="356"/>
      <c r="TLR88" s="356"/>
      <c r="TLS88" s="356"/>
      <c r="TLT88" s="356"/>
      <c r="TLU88" s="356"/>
      <c r="TLV88" s="356"/>
      <c r="TLW88" s="356"/>
      <c r="TLX88" s="356"/>
      <c r="TLY88" s="356"/>
      <c r="TLZ88" s="356"/>
      <c r="TMA88" s="356"/>
      <c r="TMB88" s="356"/>
      <c r="TMC88" s="356"/>
      <c r="TMD88" s="356"/>
      <c r="TME88" s="356"/>
      <c r="TMF88" s="356"/>
      <c r="TMG88" s="356"/>
      <c r="TMH88" s="356"/>
      <c r="TMI88" s="356"/>
      <c r="TMJ88" s="356"/>
      <c r="TMK88" s="356"/>
      <c r="TML88" s="356"/>
      <c r="TMM88" s="356"/>
      <c r="TMN88" s="356"/>
      <c r="TMO88" s="356"/>
      <c r="TMP88" s="356"/>
      <c r="TMQ88" s="356"/>
      <c r="TMR88" s="356"/>
      <c r="TMS88" s="356"/>
      <c r="TMT88" s="356"/>
      <c r="TMU88" s="356"/>
      <c r="TMV88" s="356"/>
      <c r="TMW88" s="356"/>
      <c r="TMX88" s="356"/>
      <c r="TMY88" s="356"/>
      <c r="TMZ88" s="356"/>
      <c r="TNA88" s="356"/>
      <c r="TNB88" s="356"/>
      <c r="TNC88" s="356"/>
      <c r="TND88" s="356"/>
      <c r="TNE88" s="356"/>
      <c r="TNF88" s="356"/>
      <c r="TNG88" s="356"/>
      <c r="TNH88" s="356"/>
      <c r="TNI88" s="356"/>
      <c r="TNJ88" s="356"/>
      <c r="TNK88" s="356"/>
      <c r="TNL88" s="356"/>
      <c r="TNM88" s="356"/>
      <c r="TNN88" s="356"/>
      <c r="TNO88" s="356"/>
      <c r="TNP88" s="356"/>
      <c r="TNQ88" s="356"/>
      <c r="TNR88" s="356"/>
      <c r="TNS88" s="356"/>
      <c r="TNT88" s="356"/>
      <c r="TNU88" s="356"/>
      <c r="TNV88" s="356"/>
      <c r="TNW88" s="356"/>
      <c r="TNX88" s="356"/>
      <c r="TNY88" s="356"/>
      <c r="TNZ88" s="356"/>
      <c r="TOA88" s="356"/>
      <c r="TOB88" s="356"/>
      <c r="TOC88" s="356"/>
      <c r="TOD88" s="356"/>
      <c r="TOE88" s="356"/>
      <c r="TOF88" s="356"/>
      <c r="TOG88" s="356"/>
      <c r="TOH88" s="356"/>
      <c r="TOI88" s="356"/>
      <c r="TOJ88" s="356"/>
      <c r="TOK88" s="356"/>
      <c r="TOL88" s="356"/>
      <c r="TOM88" s="356"/>
      <c r="TON88" s="356"/>
      <c r="TOO88" s="356"/>
      <c r="TOP88" s="356"/>
      <c r="TOQ88" s="356"/>
      <c r="TOR88" s="356"/>
      <c r="TOS88" s="356"/>
      <c r="TOT88" s="356"/>
      <c r="TOU88" s="356"/>
      <c r="TOV88" s="356"/>
      <c r="TOW88" s="356"/>
      <c r="TOX88" s="356"/>
      <c r="TOY88" s="356"/>
      <c r="TOZ88" s="356"/>
      <c r="TPA88" s="356"/>
      <c r="TPB88" s="356"/>
      <c r="TPC88" s="356"/>
      <c r="TPD88" s="356"/>
      <c r="TPE88" s="356"/>
      <c r="TPF88" s="356"/>
      <c r="TPG88" s="356"/>
      <c r="TPH88" s="356"/>
      <c r="TPI88" s="356"/>
      <c r="TPJ88" s="356"/>
      <c r="TPK88" s="356"/>
      <c r="TPL88" s="356"/>
      <c r="TPM88" s="356"/>
      <c r="TPN88" s="356"/>
      <c r="TPO88" s="356"/>
      <c r="TPP88" s="356"/>
      <c r="TPQ88" s="356"/>
      <c r="TPR88" s="356"/>
      <c r="TPS88" s="356"/>
      <c r="TPT88" s="356"/>
      <c r="TPU88" s="356"/>
      <c r="TPV88" s="356"/>
      <c r="TPW88" s="356"/>
      <c r="TPX88" s="356"/>
      <c r="TPY88" s="356"/>
      <c r="TPZ88" s="356"/>
      <c r="TQA88" s="356"/>
      <c r="TQB88" s="356"/>
      <c r="TQC88" s="356"/>
      <c r="TQD88" s="356"/>
      <c r="TQE88" s="356"/>
      <c r="TQF88" s="356"/>
      <c r="TQG88" s="356"/>
      <c r="TQH88" s="356"/>
      <c r="TQI88" s="356"/>
      <c r="TQJ88" s="356"/>
      <c r="TQK88" s="356"/>
      <c r="TQL88" s="356"/>
      <c r="TQM88" s="356"/>
      <c r="TQN88" s="356"/>
      <c r="TQO88" s="356"/>
      <c r="TQP88" s="356"/>
      <c r="TQQ88" s="356"/>
      <c r="TQR88" s="356"/>
      <c r="TQS88" s="356"/>
      <c r="TQT88" s="356"/>
      <c r="TQU88" s="356"/>
      <c r="TQV88" s="356"/>
      <c r="TQW88" s="356"/>
      <c r="TQX88" s="356"/>
      <c r="TQY88" s="356"/>
      <c r="TQZ88" s="356"/>
      <c r="TRA88" s="356"/>
      <c r="TRB88" s="356"/>
      <c r="TRC88" s="356"/>
      <c r="TRD88" s="356"/>
      <c r="TRE88" s="356"/>
      <c r="TRF88" s="356"/>
      <c r="TRG88" s="356"/>
      <c r="TRH88" s="356"/>
      <c r="TRI88" s="356"/>
      <c r="TRJ88" s="356"/>
      <c r="TRK88" s="356"/>
      <c r="TRL88" s="356"/>
      <c r="TRM88" s="356"/>
      <c r="TRN88" s="356"/>
      <c r="TRO88" s="356"/>
      <c r="TRP88" s="356"/>
      <c r="TRQ88" s="356"/>
      <c r="TRR88" s="356"/>
      <c r="TRS88" s="356"/>
      <c r="TRT88" s="356"/>
      <c r="TRU88" s="356"/>
      <c r="TRV88" s="356"/>
      <c r="TRW88" s="356"/>
      <c r="TRX88" s="356"/>
      <c r="TRY88" s="356"/>
      <c r="TRZ88" s="356"/>
      <c r="TSA88" s="356"/>
      <c r="TSB88" s="356"/>
      <c r="TSC88" s="356"/>
      <c r="TSD88" s="356"/>
      <c r="TSE88" s="356"/>
      <c r="TSF88" s="356"/>
      <c r="TSG88" s="356"/>
      <c r="TSH88" s="356"/>
      <c r="TSI88" s="356"/>
      <c r="TSJ88" s="356"/>
      <c r="TSK88" s="356"/>
      <c r="TSL88" s="356"/>
      <c r="TSM88" s="356"/>
      <c r="TSN88" s="356"/>
      <c r="TSO88" s="356"/>
      <c r="TSP88" s="356"/>
      <c r="TSQ88" s="356"/>
      <c r="TSR88" s="356"/>
      <c r="TSS88" s="356"/>
      <c r="TST88" s="356"/>
      <c r="TSU88" s="356"/>
      <c r="TSV88" s="356"/>
      <c r="TSW88" s="356"/>
      <c r="TSX88" s="356"/>
      <c r="TSY88" s="356"/>
      <c r="TSZ88" s="356"/>
      <c r="TTA88" s="356"/>
      <c r="TTB88" s="356"/>
      <c r="TTC88" s="356"/>
      <c r="TTD88" s="356"/>
      <c r="TTE88" s="356"/>
      <c r="TTF88" s="356"/>
      <c r="TTG88" s="356"/>
      <c r="TTH88" s="356"/>
      <c r="TTI88" s="356"/>
      <c r="TTJ88" s="356"/>
      <c r="TTK88" s="356"/>
      <c r="TTL88" s="356"/>
      <c r="TTM88" s="356"/>
      <c r="TTN88" s="356"/>
      <c r="TTO88" s="356"/>
      <c r="TTP88" s="356"/>
      <c r="TTQ88" s="356"/>
      <c r="TTR88" s="356"/>
      <c r="TTS88" s="356"/>
      <c r="TTT88" s="356"/>
      <c r="TTU88" s="356"/>
      <c r="TTV88" s="356"/>
      <c r="TTW88" s="356"/>
      <c r="TTX88" s="356"/>
      <c r="TTY88" s="356"/>
      <c r="TTZ88" s="356"/>
      <c r="TUA88" s="356"/>
      <c r="TUB88" s="356"/>
      <c r="TUC88" s="356"/>
      <c r="TUD88" s="356"/>
      <c r="TUE88" s="356"/>
      <c r="TUF88" s="356"/>
      <c r="TUG88" s="356"/>
      <c r="TUH88" s="356"/>
      <c r="TUI88" s="356"/>
      <c r="TUJ88" s="356"/>
      <c r="TUK88" s="356"/>
      <c r="TUL88" s="356"/>
      <c r="TUM88" s="356"/>
      <c r="TUN88" s="356"/>
      <c r="TUO88" s="356"/>
      <c r="TUP88" s="356"/>
      <c r="TUQ88" s="356"/>
      <c r="TUR88" s="356"/>
      <c r="TUS88" s="356"/>
      <c r="TUT88" s="356"/>
      <c r="TUU88" s="356"/>
      <c r="TUV88" s="356"/>
      <c r="TUW88" s="356"/>
      <c r="TUX88" s="356"/>
      <c r="TUY88" s="356"/>
      <c r="TUZ88" s="356"/>
      <c r="TVA88" s="356"/>
      <c r="TVB88" s="356"/>
      <c r="TVC88" s="356"/>
      <c r="TVD88" s="356"/>
      <c r="TVE88" s="356"/>
      <c r="TVF88" s="356"/>
      <c r="TVG88" s="356"/>
      <c r="TVH88" s="356"/>
      <c r="TVI88" s="356"/>
      <c r="TVJ88" s="356"/>
      <c r="TVK88" s="356"/>
      <c r="TVL88" s="356"/>
      <c r="TVM88" s="356"/>
      <c r="TVN88" s="356"/>
      <c r="TVO88" s="356"/>
      <c r="TVP88" s="356"/>
      <c r="TVQ88" s="356"/>
      <c r="TVR88" s="356"/>
      <c r="TVS88" s="356"/>
      <c r="TVT88" s="356"/>
      <c r="TVU88" s="356"/>
      <c r="TVV88" s="356"/>
      <c r="TVW88" s="356"/>
      <c r="TVX88" s="356"/>
      <c r="TVY88" s="356"/>
      <c r="TVZ88" s="356"/>
      <c r="TWA88" s="356"/>
      <c r="TWB88" s="356"/>
      <c r="TWC88" s="356"/>
      <c r="TWD88" s="356"/>
      <c r="TWE88" s="356"/>
      <c r="TWF88" s="356"/>
      <c r="TWG88" s="356"/>
      <c r="TWH88" s="356"/>
      <c r="TWI88" s="356"/>
      <c r="TWJ88" s="356"/>
      <c r="TWK88" s="356"/>
      <c r="TWL88" s="356"/>
      <c r="TWM88" s="356"/>
      <c r="TWN88" s="356"/>
      <c r="TWO88" s="356"/>
      <c r="TWP88" s="356"/>
      <c r="TWQ88" s="356"/>
      <c r="TWR88" s="356"/>
      <c r="TWS88" s="356"/>
      <c r="TWT88" s="356"/>
      <c r="TWU88" s="356"/>
      <c r="TWV88" s="356"/>
      <c r="TWW88" s="356"/>
      <c r="TWX88" s="356"/>
      <c r="TWY88" s="356"/>
      <c r="TWZ88" s="356"/>
      <c r="TXA88" s="356"/>
      <c r="TXB88" s="356"/>
      <c r="TXC88" s="356"/>
      <c r="TXD88" s="356"/>
      <c r="TXE88" s="356"/>
      <c r="TXF88" s="356"/>
      <c r="TXG88" s="356"/>
      <c r="TXH88" s="356"/>
      <c r="TXI88" s="356"/>
      <c r="TXJ88" s="356"/>
      <c r="TXK88" s="356"/>
      <c r="TXL88" s="356"/>
      <c r="TXM88" s="356"/>
      <c r="TXN88" s="356"/>
      <c r="TXO88" s="356"/>
      <c r="TXP88" s="356"/>
      <c r="TXQ88" s="356"/>
      <c r="TXR88" s="356"/>
      <c r="TXS88" s="356"/>
      <c r="TXT88" s="356"/>
      <c r="TXU88" s="356"/>
      <c r="TXV88" s="356"/>
      <c r="TXW88" s="356"/>
      <c r="TXX88" s="356"/>
      <c r="TXY88" s="356"/>
      <c r="TXZ88" s="356"/>
      <c r="TYA88" s="356"/>
      <c r="TYB88" s="356"/>
      <c r="TYC88" s="356"/>
      <c r="TYD88" s="356"/>
      <c r="TYE88" s="356"/>
      <c r="TYF88" s="356"/>
      <c r="TYG88" s="356"/>
      <c r="TYH88" s="356"/>
      <c r="TYI88" s="356"/>
      <c r="TYJ88" s="356"/>
      <c r="TYK88" s="356"/>
      <c r="TYL88" s="356"/>
      <c r="TYM88" s="356"/>
      <c r="TYN88" s="356"/>
      <c r="TYO88" s="356"/>
      <c r="TYP88" s="356"/>
      <c r="TYQ88" s="356"/>
      <c r="TYR88" s="356"/>
      <c r="TYS88" s="356"/>
      <c r="TYT88" s="356"/>
      <c r="TYU88" s="356"/>
      <c r="TYV88" s="356"/>
      <c r="TYW88" s="356"/>
      <c r="TYX88" s="356"/>
      <c r="TYY88" s="356"/>
      <c r="TYZ88" s="356"/>
      <c r="TZA88" s="356"/>
      <c r="TZB88" s="356"/>
      <c r="TZC88" s="356"/>
      <c r="TZD88" s="356"/>
      <c r="TZE88" s="356"/>
      <c r="TZF88" s="356"/>
      <c r="TZG88" s="356"/>
      <c r="TZH88" s="356"/>
      <c r="TZI88" s="356"/>
      <c r="TZJ88" s="356"/>
      <c r="TZK88" s="356"/>
      <c r="TZL88" s="356"/>
      <c r="TZM88" s="356"/>
      <c r="TZN88" s="356"/>
      <c r="TZO88" s="356"/>
      <c r="TZP88" s="356"/>
      <c r="TZQ88" s="356"/>
      <c r="TZR88" s="356"/>
      <c r="TZS88" s="356"/>
      <c r="TZT88" s="356"/>
      <c r="TZU88" s="356"/>
      <c r="TZV88" s="356"/>
      <c r="TZW88" s="356"/>
      <c r="TZX88" s="356"/>
      <c r="TZY88" s="356"/>
      <c r="TZZ88" s="356"/>
      <c r="UAA88" s="356"/>
      <c r="UAB88" s="356"/>
      <c r="UAC88" s="356"/>
      <c r="UAD88" s="356"/>
      <c r="UAE88" s="356"/>
      <c r="UAF88" s="356"/>
      <c r="UAG88" s="356"/>
      <c r="UAH88" s="356"/>
      <c r="UAI88" s="356"/>
      <c r="UAJ88" s="356"/>
      <c r="UAK88" s="356"/>
      <c r="UAL88" s="356"/>
      <c r="UAM88" s="356"/>
      <c r="UAN88" s="356"/>
      <c r="UAO88" s="356"/>
      <c r="UAP88" s="356"/>
      <c r="UAQ88" s="356"/>
      <c r="UAR88" s="356"/>
      <c r="UAS88" s="356"/>
      <c r="UAT88" s="356"/>
      <c r="UAU88" s="356"/>
      <c r="UAV88" s="356"/>
      <c r="UAW88" s="356"/>
      <c r="UAX88" s="356"/>
      <c r="UAY88" s="356"/>
      <c r="UAZ88" s="356"/>
      <c r="UBA88" s="356"/>
      <c r="UBB88" s="356"/>
      <c r="UBC88" s="356"/>
      <c r="UBD88" s="356"/>
      <c r="UBE88" s="356"/>
      <c r="UBF88" s="356"/>
      <c r="UBG88" s="356"/>
      <c r="UBH88" s="356"/>
      <c r="UBI88" s="356"/>
      <c r="UBJ88" s="356"/>
      <c r="UBK88" s="356"/>
      <c r="UBL88" s="356"/>
      <c r="UBM88" s="356"/>
      <c r="UBN88" s="356"/>
      <c r="UBO88" s="356"/>
      <c r="UBP88" s="356"/>
      <c r="UBQ88" s="356"/>
      <c r="UBR88" s="356"/>
      <c r="UBS88" s="356"/>
      <c r="UBT88" s="356"/>
      <c r="UBU88" s="356"/>
      <c r="UBV88" s="356"/>
      <c r="UBW88" s="356"/>
      <c r="UBX88" s="356"/>
      <c r="UBY88" s="356"/>
      <c r="UBZ88" s="356"/>
      <c r="UCA88" s="356"/>
      <c r="UCB88" s="356"/>
      <c r="UCC88" s="356"/>
      <c r="UCD88" s="356"/>
      <c r="UCE88" s="356"/>
      <c r="UCF88" s="356"/>
      <c r="UCG88" s="356"/>
      <c r="UCH88" s="356"/>
      <c r="UCI88" s="356"/>
      <c r="UCJ88" s="356"/>
      <c r="UCK88" s="356"/>
      <c r="UCL88" s="356"/>
      <c r="UCM88" s="356"/>
      <c r="UCN88" s="356"/>
      <c r="UCO88" s="356"/>
      <c r="UCP88" s="356"/>
      <c r="UCQ88" s="356"/>
      <c r="UCR88" s="356"/>
      <c r="UCS88" s="356"/>
      <c r="UCT88" s="356"/>
      <c r="UCU88" s="356"/>
      <c r="UCV88" s="356"/>
      <c r="UCW88" s="356"/>
      <c r="UCX88" s="356"/>
      <c r="UCY88" s="356"/>
      <c r="UCZ88" s="356"/>
      <c r="UDA88" s="356"/>
      <c r="UDB88" s="356"/>
      <c r="UDC88" s="356"/>
      <c r="UDD88" s="356"/>
      <c r="UDE88" s="356"/>
      <c r="UDF88" s="356"/>
      <c r="UDG88" s="356"/>
      <c r="UDH88" s="356"/>
      <c r="UDI88" s="356"/>
      <c r="UDJ88" s="356"/>
      <c r="UDK88" s="356"/>
      <c r="UDL88" s="356"/>
      <c r="UDM88" s="356"/>
      <c r="UDN88" s="356"/>
      <c r="UDO88" s="356"/>
      <c r="UDP88" s="356"/>
      <c r="UDQ88" s="356"/>
      <c r="UDR88" s="356"/>
      <c r="UDS88" s="356"/>
      <c r="UDT88" s="356"/>
      <c r="UDU88" s="356"/>
      <c r="UDV88" s="356"/>
      <c r="UDW88" s="356"/>
      <c r="UDX88" s="356"/>
      <c r="UDY88" s="356"/>
      <c r="UDZ88" s="356"/>
      <c r="UEA88" s="356"/>
      <c r="UEB88" s="356"/>
      <c r="UEC88" s="356"/>
      <c r="UED88" s="356"/>
      <c r="UEE88" s="356"/>
      <c r="UEF88" s="356"/>
      <c r="UEG88" s="356"/>
      <c r="UEH88" s="356"/>
      <c r="UEI88" s="356"/>
      <c r="UEJ88" s="356"/>
      <c r="UEK88" s="356"/>
      <c r="UEL88" s="356"/>
      <c r="UEM88" s="356"/>
      <c r="UEN88" s="356"/>
      <c r="UEO88" s="356"/>
      <c r="UEP88" s="356"/>
      <c r="UEQ88" s="356"/>
      <c r="UER88" s="356"/>
      <c r="UES88" s="356"/>
      <c r="UET88" s="356"/>
      <c r="UEU88" s="356"/>
      <c r="UEV88" s="356"/>
      <c r="UEW88" s="356"/>
      <c r="UEX88" s="356"/>
      <c r="UEY88" s="356"/>
      <c r="UEZ88" s="356"/>
      <c r="UFA88" s="356"/>
      <c r="UFB88" s="356"/>
      <c r="UFC88" s="356"/>
      <c r="UFD88" s="356"/>
      <c r="UFE88" s="356"/>
      <c r="UFF88" s="356"/>
      <c r="UFG88" s="356"/>
      <c r="UFH88" s="356"/>
      <c r="UFI88" s="356"/>
      <c r="UFJ88" s="356"/>
      <c r="UFK88" s="356"/>
      <c r="UFL88" s="356"/>
      <c r="UFM88" s="356"/>
      <c r="UFN88" s="356"/>
      <c r="UFO88" s="356"/>
      <c r="UFP88" s="356"/>
      <c r="UFQ88" s="356"/>
      <c r="UFR88" s="356"/>
      <c r="UFS88" s="356"/>
      <c r="UFT88" s="356"/>
      <c r="UFU88" s="356"/>
      <c r="UFV88" s="356"/>
      <c r="UFW88" s="356"/>
      <c r="UFX88" s="356"/>
      <c r="UFY88" s="356"/>
      <c r="UFZ88" s="356"/>
      <c r="UGA88" s="356"/>
      <c r="UGB88" s="356"/>
      <c r="UGC88" s="356"/>
      <c r="UGD88" s="356"/>
      <c r="UGE88" s="356"/>
      <c r="UGF88" s="356"/>
      <c r="UGG88" s="356"/>
      <c r="UGH88" s="356"/>
      <c r="UGI88" s="356"/>
      <c r="UGJ88" s="356"/>
      <c r="UGK88" s="356"/>
      <c r="UGL88" s="356"/>
      <c r="UGM88" s="356"/>
      <c r="UGN88" s="356"/>
      <c r="UGO88" s="356"/>
      <c r="UGP88" s="356"/>
      <c r="UGQ88" s="356"/>
      <c r="UGR88" s="356"/>
      <c r="UGS88" s="356"/>
      <c r="UGT88" s="356"/>
      <c r="UGU88" s="356"/>
      <c r="UGV88" s="356"/>
      <c r="UGW88" s="356"/>
      <c r="UGX88" s="356"/>
      <c r="UGY88" s="356"/>
      <c r="UGZ88" s="356"/>
      <c r="UHA88" s="356"/>
      <c r="UHB88" s="356"/>
      <c r="UHC88" s="356"/>
      <c r="UHD88" s="356"/>
      <c r="UHE88" s="356"/>
      <c r="UHF88" s="356"/>
      <c r="UHG88" s="356"/>
      <c r="UHH88" s="356"/>
      <c r="UHI88" s="356"/>
      <c r="UHJ88" s="356"/>
      <c r="UHK88" s="356"/>
      <c r="UHL88" s="356"/>
      <c r="UHM88" s="356"/>
      <c r="UHN88" s="356"/>
      <c r="UHO88" s="356"/>
      <c r="UHP88" s="356"/>
      <c r="UHQ88" s="356"/>
      <c r="UHR88" s="356"/>
      <c r="UHS88" s="356"/>
      <c r="UHT88" s="356"/>
      <c r="UHU88" s="356"/>
      <c r="UHV88" s="356"/>
      <c r="UHW88" s="356"/>
      <c r="UHX88" s="356"/>
      <c r="UHY88" s="356"/>
      <c r="UHZ88" s="356"/>
      <c r="UIA88" s="356"/>
      <c r="UIB88" s="356"/>
      <c r="UIC88" s="356"/>
      <c r="UID88" s="356"/>
      <c r="UIE88" s="356"/>
      <c r="UIF88" s="356"/>
      <c r="UIG88" s="356"/>
      <c r="UIH88" s="356"/>
      <c r="UII88" s="356"/>
      <c r="UIJ88" s="356"/>
      <c r="UIK88" s="356"/>
      <c r="UIL88" s="356"/>
      <c r="UIM88" s="356"/>
      <c r="UIN88" s="356"/>
      <c r="UIO88" s="356"/>
      <c r="UIP88" s="356"/>
      <c r="UIQ88" s="356"/>
      <c r="UIR88" s="356"/>
      <c r="UIS88" s="356"/>
      <c r="UIT88" s="356"/>
      <c r="UIU88" s="356"/>
      <c r="UIV88" s="356"/>
      <c r="UIW88" s="356"/>
      <c r="UIX88" s="356"/>
      <c r="UIY88" s="356"/>
      <c r="UIZ88" s="356"/>
      <c r="UJA88" s="356"/>
      <c r="UJB88" s="356"/>
      <c r="UJC88" s="356"/>
      <c r="UJD88" s="356"/>
      <c r="UJE88" s="356"/>
      <c r="UJF88" s="356"/>
      <c r="UJG88" s="356"/>
      <c r="UJH88" s="356"/>
      <c r="UJI88" s="356"/>
      <c r="UJJ88" s="356"/>
      <c r="UJK88" s="356"/>
      <c r="UJL88" s="356"/>
      <c r="UJM88" s="356"/>
      <c r="UJN88" s="356"/>
      <c r="UJO88" s="356"/>
      <c r="UJP88" s="356"/>
      <c r="UJQ88" s="356"/>
      <c r="UJR88" s="356"/>
      <c r="UJS88" s="356"/>
      <c r="UJT88" s="356"/>
      <c r="UJU88" s="356"/>
      <c r="UJV88" s="356"/>
      <c r="UJW88" s="356"/>
      <c r="UJX88" s="356"/>
      <c r="UJY88" s="356"/>
      <c r="UJZ88" s="356"/>
      <c r="UKA88" s="356"/>
      <c r="UKB88" s="356"/>
      <c r="UKC88" s="356"/>
      <c r="UKD88" s="356"/>
      <c r="UKE88" s="356"/>
      <c r="UKF88" s="356"/>
      <c r="UKG88" s="356"/>
      <c r="UKH88" s="356"/>
      <c r="UKI88" s="356"/>
      <c r="UKJ88" s="356"/>
      <c r="UKK88" s="356"/>
      <c r="UKL88" s="356"/>
      <c r="UKM88" s="356"/>
      <c r="UKN88" s="356"/>
      <c r="UKO88" s="356"/>
      <c r="UKP88" s="356"/>
      <c r="UKQ88" s="356"/>
      <c r="UKR88" s="356"/>
      <c r="UKS88" s="356"/>
      <c r="UKT88" s="356"/>
      <c r="UKU88" s="356"/>
      <c r="UKV88" s="356"/>
      <c r="UKW88" s="356"/>
      <c r="UKX88" s="356"/>
      <c r="UKY88" s="356"/>
      <c r="UKZ88" s="356"/>
      <c r="ULA88" s="356"/>
      <c r="ULB88" s="356"/>
      <c r="ULC88" s="356"/>
      <c r="ULD88" s="356"/>
      <c r="ULE88" s="356"/>
      <c r="ULF88" s="356"/>
      <c r="ULG88" s="356"/>
      <c r="ULH88" s="356"/>
      <c r="ULI88" s="356"/>
      <c r="ULJ88" s="356"/>
      <c r="ULK88" s="356"/>
      <c r="ULL88" s="356"/>
      <c r="ULM88" s="356"/>
      <c r="ULN88" s="356"/>
      <c r="ULO88" s="356"/>
      <c r="ULP88" s="356"/>
      <c r="ULQ88" s="356"/>
      <c r="ULR88" s="356"/>
      <c r="ULS88" s="356"/>
      <c r="ULT88" s="356"/>
      <c r="ULU88" s="356"/>
      <c r="ULV88" s="356"/>
      <c r="ULW88" s="356"/>
      <c r="ULX88" s="356"/>
      <c r="ULY88" s="356"/>
      <c r="ULZ88" s="356"/>
      <c r="UMA88" s="356"/>
      <c r="UMB88" s="356"/>
      <c r="UMC88" s="356"/>
      <c r="UMD88" s="356"/>
      <c r="UME88" s="356"/>
      <c r="UMF88" s="356"/>
      <c r="UMG88" s="356"/>
      <c r="UMH88" s="356"/>
      <c r="UMI88" s="356"/>
      <c r="UMJ88" s="356"/>
      <c r="UMK88" s="356"/>
      <c r="UML88" s="356"/>
      <c r="UMM88" s="356"/>
      <c r="UMN88" s="356"/>
      <c r="UMO88" s="356"/>
      <c r="UMP88" s="356"/>
      <c r="UMQ88" s="356"/>
      <c r="UMR88" s="356"/>
      <c r="UMS88" s="356"/>
      <c r="UMT88" s="356"/>
      <c r="UMU88" s="356"/>
      <c r="UMV88" s="356"/>
      <c r="UMW88" s="356"/>
      <c r="UMX88" s="356"/>
      <c r="UMY88" s="356"/>
      <c r="UMZ88" s="356"/>
      <c r="UNA88" s="356"/>
      <c r="UNB88" s="356"/>
      <c r="UNC88" s="356"/>
      <c r="UND88" s="356"/>
      <c r="UNE88" s="356"/>
      <c r="UNF88" s="356"/>
      <c r="UNG88" s="356"/>
      <c r="UNH88" s="356"/>
      <c r="UNI88" s="356"/>
      <c r="UNJ88" s="356"/>
      <c r="UNK88" s="356"/>
      <c r="UNL88" s="356"/>
      <c r="UNM88" s="356"/>
      <c r="UNN88" s="356"/>
      <c r="UNO88" s="356"/>
      <c r="UNP88" s="356"/>
      <c r="UNQ88" s="356"/>
      <c r="UNR88" s="356"/>
      <c r="UNS88" s="356"/>
      <c r="UNT88" s="356"/>
      <c r="UNU88" s="356"/>
      <c r="UNV88" s="356"/>
      <c r="UNW88" s="356"/>
      <c r="UNX88" s="356"/>
      <c r="UNY88" s="356"/>
      <c r="UNZ88" s="356"/>
      <c r="UOA88" s="356"/>
      <c r="UOB88" s="356"/>
      <c r="UOC88" s="356"/>
      <c r="UOD88" s="356"/>
      <c r="UOE88" s="356"/>
      <c r="UOF88" s="356"/>
      <c r="UOG88" s="356"/>
      <c r="UOH88" s="356"/>
      <c r="UOI88" s="356"/>
      <c r="UOJ88" s="356"/>
      <c r="UOK88" s="356"/>
      <c r="UOL88" s="356"/>
      <c r="UOM88" s="356"/>
      <c r="UON88" s="356"/>
      <c r="UOO88" s="356"/>
      <c r="UOP88" s="356"/>
      <c r="UOQ88" s="356"/>
      <c r="UOR88" s="356"/>
      <c r="UOS88" s="356"/>
      <c r="UOT88" s="356"/>
      <c r="UOU88" s="356"/>
      <c r="UOV88" s="356"/>
      <c r="UOW88" s="356"/>
      <c r="UOX88" s="356"/>
      <c r="UOY88" s="356"/>
      <c r="UOZ88" s="356"/>
      <c r="UPA88" s="356"/>
      <c r="UPB88" s="356"/>
      <c r="UPC88" s="356"/>
      <c r="UPD88" s="356"/>
      <c r="UPE88" s="356"/>
      <c r="UPF88" s="356"/>
      <c r="UPG88" s="356"/>
      <c r="UPH88" s="356"/>
      <c r="UPI88" s="356"/>
      <c r="UPJ88" s="356"/>
      <c r="UPK88" s="356"/>
      <c r="UPL88" s="356"/>
      <c r="UPM88" s="356"/>
      <c r="UPN88" s="356"/>
      <c r="UPO88" s="356"/>
      <c r="UPP88" s="356"/>
      <c r="UPQ88" s="356"/>
      <c r="UPR88" s="356"/>
      <c r="UPS88" s="356"/>
      <c r="UPT88" s="356"/>
      <c r="UPU88" s="356"/>
      <c r="UPV88" s="356"/>
      <c r="UPW88" s="356"/>
      <c r="UPX88" s="356"/>
      <c r="UPY88" s="356"/>
      <c r="UPZ88" s="356"/>
      <c r="UQA88" s="356"/>
      <c r="UQB88" s="356"/>
      <c r="UQC88" s="356"/>
      <c r="UQD88" s="356"/>
      <c r="UQE88" s="356"/>
      <c r="UQF88" s="356"/>
      <c r="UQG88" s="356"/>
      <c r="UQH88" s="356"/>
      <c r="UQI88" s="356"/>
      <c r="UQJ88" s="356"/>
      <c r="UQK88" s="356"/>
      <c r="UQL88" s="356"/>
      <c r="UQM88" s="356"/>
      <c r="UQN88" s="356"/>
      <c r="UQO88" s="356"/>
      <c r="UQP88" s="356"/>
      <c r="UQQ88" s="356"/>
      <c r="UQR88" s="356"/>
      <c r="UQS88" s="356"/>
      <c r="UQT88" s="356"/>
      <c r="UQU88" s="356"/>
      <c r="UQV88" s="356"/>
      <c r="UQW88" s="356"/>
      <c r="UQX88" s="356"/>
      <c r="UQY88" s="356"/>
      <c r="UQZ88" s="356"/>
      <c r="URA88" s="356"/>
      <c r="URB88" s="356"/>
      <c r="URC88" s="356"/>
      <c r="URD88" s="356"/>
      <c r="URE88" s="356"/>
      <c r="URF88" s="356"/>
      <c r="URG88" s="356"/>
      <c r="URH88" s="356"/>
      <c r="URI88" s="356"/>
      <c r="URJ88" s="356"/>
      <c r="URK88" s="356"/>
      <c r="URL88" s="356"/>
      <c r="URM88" s="356"/>
      <c r="URN88" s="356"/>
      <c r="URO88" s="356"/>
      <c r="URP88" s="356"/>
      <c r="URQ88" s="356"/>
      <c r="URR88" s="356"/>
      <c r="URS88" s="356"/>
      <c r="URT88" s="356"/>
      <c r="URU88" s="356"/>
      <c r="URV88" s="356"/>
      <c r="URW88" s="356"/>
      <c r="URX88" s="356"/>
      <c r="URY88" s="356"/>
      <c r="URZ88" s="356"/>
      <c r="USA88" s="356"/>
      <c r="USB88" s="356"/>
      <c r="USC88" s="356"/>
      <c r="USD88" s="356"/>
      <c r="USE88" s="356"/>
      <c r="USF88" s="356"/>
      <c r="USG88" s="356"/>
      <c r="USH88" s="356"/>
      <c r="USI88" s="356"/>
      <c r="USJ88" s="356"/>
      <c r="USK88" s="356"/>
      <c r="USL88" s="356"/>
      <c r="USM88" s="356"/>
      <c r="USN88" s="356"/>
      <c r="USO88" s="356"/>
      <c r="USP88" s="356"/>
      <c r="USQ88" s="356"/>
      <c r="USR88" s="356"/>
      <c r="USS88" s="356"/>
      <c r="UST88" s="356"/>
      <c r="USU88" s="356"/>
      <c r="USV88" s="356"/>
      <c r="USW88" s="356"/>
      <c r="USX88" s="356"/>
      <c r="USY88" s="356"/>
      <c r="USZ88" s="356"/>
      <c r="UTA88" s="356"/>
      <c r="UTB88" s="356"/>
      <c r="UTC88" s="356"/>
      <c r="UTD88" s="356"/>
      <c r="UTE88" s="356"/>
      <c r="UTF88" s="356"/>
      <c r="UTG88" s="356"/>
      <c r="UTH88" s="356"/>
      <c r="UTI88" s="356"/>
      <c r="UTJ88" s="356"/>
      <c r="UTK88" s="356"/>
      <c r="UTL88" s="356"/>
      <c r="UTM88" s="356"/>
      <c r="UTN88" s="356"/>
      <c r="UTO88" s="356"/>
      <c r="UTP88" s="356"/>
      <c r="UTQ88" s="356"/>
      <c r="UTR88" s="356"/>
      <c r="UTS88" s="356"/>
      <c r="UTT88" s="356"/>
      <c r="UTU88" s="356"/>
      <c r="UTV88" s="356"/>
      <c r="UTW88" s="356"/>
      <c r="UTX88" s="356"/>
      <c r="UTY88" s="356"/>
      <c r="UTZ88" s="356"/>
      <c r="UUA88" s="356"/>
      <c r="UUB88" s="356"/>
      <c r="UUC88" s="356"/>
      <c r="UUD88" s="356"/>
      <c r="UUE88" s="356"/>
      <c r="UUF88" s="356"/>
      <c r="UUG88" s="356"/>
      <c r="UUH88" s="356"/>
      <c r="UUI88" s="356"/>
      <c r="UUJ88" s="356"/>
      <c r="UUK88" s="356"/>
      <c r="UUL88" s="356"/>
      <c r="UUM88" s="356"/>
      <c r="UUN88" s="356"/>
      <c r="UUO88" s="356"/>
      <c r="UUP88" s="356"/>
      <c r="UUQ88" s="356"/>
      <c r="UUR88" s="356"/>
      <c r="UUS88" s="356"/>
      <c r="UUT88" s="356"/>
      <c r="UUU88" s="356"/>
      <c r="UUV88" s="356"/>
      <c r="UUW88" s="356"/>
      <c r="UUX88" s="356"/>
      <c r="UUY88" s="356"/>
      <c r="UUZ88" s="356"/>
      <c r="UVA88" s="356"/>
      <c r="UVB88" s="356"/>
      <c r="UVC88" s="356"/>
      <c r="UVD88" s="356"/>
      <c r="UVE88" s="356"/>
      <c r="UVF88" s="356"/>
      <c r="UVG88" s="356"/>
      <c r="UVH88" s="356"/>
      <c r="UVI88" s="356"/>
      <c r="UVJ88" s="356"/>
      <c r="UVK88" s="356"/>
      <c r="UVL88" s="356"/>
      <c r="UVM88" s="356"/>
      <c r="UVN88" s="356"/>
      <c r="UVO88" s="356"/>
      <c r="UVP88" s="356"/>
      <c r="UVQ88" s="356"/>
      <c r="UVR88" s="356"/>
      <c r="UVS88" s="356"/>
      <c r="UVT88" s="356"/>
      <c r="UVU88" s="356"/>
      <c r="UVV88" s="356"/>
      <c r="UVW88" s="356"/>
      <c r="UVX88" s="356"/>
      <c r="UVY88" s="356"/>
      <c r="UVZ88" s="356"/>
      <c r="UWA88" s="356"/>
      <c r="UWB88" s="356"/>
      <c r="UWC88" s="356"/>
      <c r="UWD88" s="356"/>
      <c r="UWE88" s="356"/>
      <c r="UWF88" s="356"/>
      <c r="UWG88" s="356"/>
      <c r="UWH88" s="356"/>
      <c r="UWI88" s="356"/>
      <c r="UWJ88" s="356"/>
      <c r="UWK88" s="356"/>
      <c r="UWL88" s="356"/>
      <c r="UWM88" s="356"/>
      <c r="UWN88" s="356"/>
      <c r="UWO88" s="356"/>
      <c r="UWP88" s="356"/>
      <c r="UWQ88" s="356"/>
      <c r="UWR88" s="356"/>
      <c r="UWS88" s="356"/>
      <c r="UWT88" s="356"/>
      <c r="UWU88" s="356"/>
      <c r="UWV88" s="356"/>
      <c r="UWW88" s="356"/>
      <c r="UWX88" s="356"/>
      <c r="UWY88" s="356"/>
      <c r="UWZ88" s="356"/>
      <c r="UXA88" s="356"/>
      <c r="UXB88" s="356"/>
      <c r="UXC88" s="356"/>
      <c r="UXD88" s="356"/>
      <c r="UXE88" s="356"/>
      <c r="UXF88" s="356"/>
      <c r="UXG88" s="356"/>
      <c r="UXH88" s="356"/>
      <c r="UXI88" s="356"/>
      <c r="UXJ88" s="356"/>
      <c r="UXK88" s="356"/>
      <c r="UXL88" s="356"/>
      <c r="UXM88" s="356"/>
      <c r="UXN88" s="356"/>
      <c r="UXO88" s="356"/>
      <c r="UXP88" s="356"/>
      <c r="UXQ88" s="356"/>
      <c r="UXR88" s="356"/>
      <c r="UXS88" s="356"/>
      <c r="UXT88" s="356"/>
      <c r="UXU88" s="356"/>
      <c r="UXV88" s="356"/>
      <c r="UXW88" s="356"/>
      <c r="UXX88" s="356"/>
      <c r="UXY88" s="356"/>
      <c r="UXZ88" s="356"/>
      <c r="UYA88" s="356"/>
      <c r="UYB88" s="356"/>
      <c r="UYC88" s="356"/>
      <c r="UYD88" s="356"/>
      <c r="UYE88" s="356"/>
      <c r="UYF88" s="356"/>
      <c r="UYG88" s="356"/>
      <c r="UYH88" s="356"/>
      <c r="UYI88" s="356"/>
      <c r="UYJ88" s="356"/>
      <c r="UYK88" s="356"/>
      <c r="UYL88" s="356"/>
      <c r="UYM88" s="356"/>
      <c r="UYN88" s="356"/>
      <c r="UYO88" s="356"/>
      <c r="UYP88" s="356"/>
      <c r="UYQ88" s="356"/>
      <c r="UYR88" s="356"/>
      <c r="UYS88" s="356"/>
      <c r="UYT88" s="356"/>
      <c r="UYU88" s="356"/>
      <c r="UYV88" s="356"/>
      <c r="UYW88" s="356"/>
      <c r="UYX88" s="356"/>
      <c r="UYY88" s="356"/>
      <c r="UYZ88" s="356"/>
      <c r="UZA88" s="356"/>
      <c r="UZB88" s="356"/>
      <c r="UZC88" s="356"/>
      <c r="UZD88" s="356"/>
      <c r="UZE88" s="356"/>
      <c r="UZF88" s="356"/>
      <c r="UZG88" s="356"/>
      <c r="UZH88" s="356"/>
      <c r="UZI88" s="356"/>
      <c r="UZJ88" s="356"/>
      <c r="UZK88" s="356"/>
      <c r="UZL88" s="356"/>
      <c r="UZM88" s="356"/>
      <c r="UZN88" s="356"/>
      <c r="UZO88" s="356"/>
      <c r="UZP88" s="356"/>
      <c r="UZQ88" s="356"/>
      <c r="UZR88" s="356"/>
      <c r="UZS88" s="356"/>
      <c r="UZT88" s="356"/>
      <c r="UZU88" s="356"/>
      <c r="UZV88" s="356"/>
      <c r="UZW88" s="356"/>
      <c r="UZX88" s="356"/>
      <c r="UZY88" s="356"/>
      <c r="UZZ88" s="356"/>
      <c r="VAA88" s="356"/>
      <c r="VAB88" s="356"/>
      <c r="VAC88" s="356"/>
      <c r="VAD88" s="356"/>
      <c r="VAE88" s="356"/>
      <c r="VAF88" s="356"/>
      <c r="VAG88" s="356"/>
      <c r="VAH88" s="356"/>
      <c r="VAI88" s="356"/>
      <c r="VAJ88" s="356"/>
      <c r="VAK88" s="356"/>
      <c r="VAL88" s="356"/>
      <c r="VAM88" s="356"/>
      <c r="VAN88" s="356"/>
      <c r="VAO88" s="356"/>
      <c r="VAP88" s="356"/>
      <c r="VAQ88" s="356"/>
      <c r="VAR88" s="356"/>
      <c r="VAS88" s="356"/>
      <c r="VAT88" s="356"/>
      <c r="VAU88" s="356"/>
      <c r="VAV88" s="356"/>
      <c r="VAW88" s="356"/>
      <c r="VAX88" s="356"/>
      <c r="VAY88" s="356"/>
      <c r="VAZ88" s="356"/>
      <c r="VBA88" s="356"/>
      <c r="VBB88" s="356"/>
      <c r="VBC88" s="356"/>
      <c r="VBD88" s="356"/>
      <c r="VBE88" s="356"/>
      <c r="VBF88" s="356"/>
      <c r="VBG88" s="356"/>
      <c r="VBH88" s="356"/>
      <c r="VBI88" s="356"/>
      <c r="VBJ88" s="356"/>
      <c r="VBK88" s="356"/>
      <c r="VBL88" s="356"/>
      <c r="VBM88" s="356"/>
      <c r="VBN88" s="356"/>
      <c r="VBO88" s="356"/>
      <c r="VBP88" s="356"/>
      <c r="VBQ88" s="356"/>
      <c r="VBR88" s="356"/>
      <c r="VBS88" s="356"/>
      <c r="VBT88" s="356"/>
      <c r="VBU88" s="356"/>
      <c r="VBV88" s="356"/>
      <c r="VBW88" s="356"/>
      <c r="VBX88" s="356"/>
      <c r="VBY88" s="356"/>
      <c r="VBZ88" s="356"/>
      <c r="VCA88" s="356"/>
      <c r="VCB88" s="356"/>
      <c r="VCC88" s="356"/>
      <c r="VCD88" s="356"/>
      <c r="VCE88" s="356"/>
      <c r="VCF88" s="356"/>
      <c r="VCG88" s="356"/>
      <c r="VCH88" s="356"/>
      <c r="VCI88" s="356"/>
      <c r="VCJ88" s="356"/>
      <c r="VCK88" s="356"/>
      <c r="VCL88" s="356"/>
      <c r="VCM88" s="356"/>
      <c r="VCN88" s="356"/>
      <c r="VCO88" s="356"/>
      <c r="VCP88" s="356"/>
      <c r="VCQ88" s="356"/>
      <c r="VCR88" s="356"/>
      <c r="VCS88" s="356"/>
      <c r="VCT88" s="356"/>
      <c r="VCU88" s="356"/>
      <c r="VCV88" s="356"/>
      <c r="VCW88" s="356"/>
      <c r="VCX88" s="356"/>
      <c r="VCY88" s="356"/>
      <c r="VCZ88" s="356"/>
      <c r="VDA88" s="356"/>
      <c r="VDB88" s="356"/>
      <c r="VDC88" s="356"/>
      <c r="VDD88" s="356"/>
      <c r="VDE88" s="356"/>
      <c r="VDF88" s="356"/>
      <c r="VDG88" s="356"/>
      <c r="VDH88" s="356"/>
      <c r="VDI88" s="356"/>
      <c r="VDJ88" s="356"/>
      <c r="VDK88" s="356"/>
      <c r="VDL88" s="356"/>
      <c r="VDM88" s="356"/>
      <c r="VDN88" s="356"/>
      <c r="VDO88" s="356"/>
      <c r="VDP88" s="356"/>
      <c r="VDQ88" s="356"/>
      <c r="VDR88" s="356"/>
      <c r="VDS88" s="356"/>
      <c r="VDT88" s="356"/>
      <c r="VDU88" s="356"/>
      <c r="VDV88" s="356"/>
      <c r="VDW88" s="356"/>
      <c r="VDX88" s="356"/>
      <c r="VDY88" s="356"/>
      <c r="VDZ88" s="356"/>
      <c r="VEA88" s="356"/>
      <c r="VEB88" s="356"/>
      <c r="VEC88" s="356"/>
      <c r="VED88" s="356"/>
      <c r="VEE88" s="356"/>
      <c r="VEF88" s="356"/>
      <c r="VEG88" s="356"/>
      <c r="VEH88" s="356"/>
      <c r="VEI88" s="356"/>
      <c r="VEJ88" s="356"/>
      <c r="VEK88" s="356"/>
      <c r="VEL88" s="356"/>
      <c r="VEM88" s="356"/>
      <c r="VEN88" s="356"/>
      <c r="VEO88" s="356"/>
      <c r="VEP88" s="356"/>
      <c r="VEQ88" s="356"/>
      <c r="VER88" s="356"/>
      <c r="VES88" s="356"/>
      <c r="VET88" s="356"/>
      <c r="VEU88" s="356"/>
      <c r="VEV88" s="356"/>
      <c r="VEW88" s="356"/>
      <c r="VEX88" s="356"/>
      <c r="VEY88" s="356"/>
      <c r="VEZ88" s="356"/>
      <c r="VFA88" s="356"/>
      <c r="VFB88" s="356"/>
      <c r="VFC88" s="356"/>
      <c r="VFD88" s="356"/>
      <c r="VFE88" s="356"/>
      <c r="VFF88" s="356"/>
      <c r="VFG88" s="356"/>
      <c r="VFH88" s="356"/>
      <c r="VFI88" s="356"/>
      <c r="VFJ88" s="356"/>
      <c r="VFK88" s="356"/>
      <c r="VFL88" s="356"/>
      <c r="VFM88" s="356"/>
      <c r="VFN88" s="356"/>
      <c r="VFO88" s="356"/>
      <c r="VFP88" s="356"/>
      <c r="VFQ88" s="356"/>
      <c r="VFR88" s="356"/>
      <c r="VFS88" s="356"/>
      <c r="VFT88" s="356"/>
      <c r="VFU88" s="356"/>
      <c r="VFV88" s="356"/>
      <c r="VFW88" s="356"/>
      <c r="VFX88" s="356"/>
      <c r="VFY88" s="356"/>
      <c r="VFZ88" s="356"/>
      <c r="VGA88" s="356"/>
      <c r="VGB88" s="356"/>
      <c r="VGC88" s="356"/>
      <c r="VGD88" s="356"/>
      <c r="VGE88" s="356"/>
      <c r="VGF88" s="356"/>
      <c r="VGG88" s="356"/>
      <c r="VGH88" s="356"/>
      <c r="VGI88" s="356"/>
      <c r="VGJ88" s="356"/>
      <c r="VGK88" s="356"/>
      <c r="VGL88" s="356"/>
      <c r="VGM88" s="356"/>
      <c r="VGN88" s="356"/>
      <c r="VGO88" s="356"/>
      <c r="VGP88" s="356"/>
      <c r="VGQ88" s="356"/>
      <c r="VGR88" s="356"/>
      <c r="VGS88" s="356"/>
      <c r="VGT88" s="356"/>
      <c r="VGU88" s="356"/>
      <c r="VGV88" s="356"/>
      <c r="VGW88" s="356"/>
      <c r="VGX88" s="356"/>
      <c r="VGY88" s="356"/>
      <c r="VGZ88" s="356"/>
      <c r="VHA88" s="356"/>
      <c r="VHB88" s="356"/>
      <c r="VHC88" s="356"/>
      <c r="VHD88" s="356"/>
      <c r="VHE88" s="356"/>
      <c r="VHF88" s="356"/>
      <c r="VHG88" s="356"/>
      <c r="VHH88" s="356"/>
      <c r="VHI88" s="356"/>
      <c r="VHJ88" s="356"/>
      <c r="VHK88" s="356"/>
      <c r="VHL88" s="356"/>
      <c r="VHM88" s="356"/>
      <c r="VHN88" s="356"/>
      <c r="VHO88" s="356"/>
      <c r="VHP88" s="356"/>
      <c r="VHQ88" s="356"/>
      <c r="VHR88" s="356"/>
      <c r="VHS88" s="356"/>
      <c r="VHT88" s="356"/>
      <c r="VHU88" s="356"/>
      <c r="VHV88" s="356"/>
      <c r="VHW88" s="356"/>
      <c r="VHX88" s="356"/>
      <c r="VHY88" s="356"/>
      <c r="VHZ88" s="356"/>
      <c r="VIA88" s="356"/>
      <c r="VIB88" s="356"/>
      <c r="VIC88" s="356"/>
      <c r="VID88" s="356"/>
      <c r="VIE88" s="356"/>
      <c r="VIF88" s="356"/>
      <c r="VIG88" s="356"/>
      <c r="VIH88" s="356"/>
      <c r="VII88" s="356"/>
      <c r="VIJ88" s="356"/>
      <c r="VIK88" s="356"/>
      <c r="VIL88" s="356"/>
      <c r="VIM88" s="356"/>
      <c r="VIN88" s="356"/>
      <c r="VIO88" s="356"/>
      <c r="VIP88" s="356"/>
      <c r="VIQ88" s="356"/>
      <c r="VIR88" s="356"/>
      <c r="VIS88" s="356"/>
      <c r="VIT88" s="356"/>
      <c r="VIU88" s="356"/>
      <c r="VIV88" s="356"/>
      <c r="VIW88" s="356"/>
      <c r="VIX88" s="356"/>
      <c r="VIY88" s="356"/>
      <c r="VIZ88" s="356"/>
      <c r="VJA88" s="356"/>
      <c r="VJB88" s="356"/>
      <c r="VJC88" s="356"/>
      <c r="VJD88" s="356"/>
      <c r="VJE88" s="356"/>
      <c r="VJF88" s="356"/>
      <c r="VJG88" s="356"/>
      <c r="VJH88" s="356"/>
      <c r="VJI88" s="356"/>
      <c r="VJJ88" s="356"/>
      <c r="VJK88" s="356"/>
      <c r="VJL88" s="356"/>
      <c r="VJM88" s="356"/>
      <c r="VJN88" s="356"/>
      <c r="VJO88" s="356"/>
      <c r="VJP88" s="356"/>
      <c r="VJQ88" s="356"/>
      <c r="VJR88" s="356"/>
      <c r="VJS88" s="356"/>
      <c r="VJT88" s="356"/>
      <c r="VJU88" s="356"/>
      <c r="VJV88" s="356"/>
      <c r="VJW88" s="356"/>
      <c r="VJX88" s="356"/>
      <c r="VJY88" s="356"/>
      <c r="VJZ88" s="356"/>
      <c r="VKA88" s="356"/>
      <c r="VKB88" s="356"/>
      <c r="VKC88" s="356"/>
      <c r="VKD88" s="356"/>
      <c r="VKE88" s="356"/>
      <c r="VKF88" s="356"/>
      <c r="VKG88" s="356"/>
      <c r="VKH88" s="356"/>
      <c r="VKI88" s="356"/>
      <c r="VKJ88" s="356"/>
      <c r="VKK88" s="356"/>
      <c r="VKL88" s="356"/>
      <c r="VKM88" s="356"/>
      <c r="VKN88" s="356"/>
      <c r="VKO88" s="356"/>
      <c r="VKP88" s="356"/>
      <c r="VKQ88" s="356"/>
      <c r="VKR88" s="356"/>
      <c r="VKS88" s="356"/>
      <c r="VKT88" s="356"/>
      <c r="VKU88" s="356"/>
      <c r="VKV88" s="356"/>
      <c r="VKW88" s="356"/>
      <c r="VKX88" s="356"/>
      <c r="VKY88" s="356"/>
      <c r="VKZ88" s="356"/>
      <c r="VLA88" s="356"/>
      <c r="VLB88" s="356"/>
      <c r="VLC88" s="356"/>
      <c r="VLD88" s="356"/>
      <c r="VLE88" s="356"/>
      <c r="VLF88" s="356"/>
      <c r="VLG88" s="356"/>
      <c r="VLH88" s="356"/>
      <c r="VLI88" s="356"/>
      <c r="VLJ88" s="356"/>
      <c r="VLK88" s="356"/>
      <c r="VLL88" s="356"/>
      <c r="VLM88" s="356"/>
      <c r="VLN88" s="356"/>
      <c r="VLO88" s="356"/>
      <c r="VLP88" s="356"/>
      <c r="VLQ88" s="356"/>
      <c r="VLR88" s="356"/>
      <c r="VLS88" s="356"/>
      <c r="VLT88" s="356"/>
      <c r="VLU88" s="356"/>
      <c r="VLV88" s="356"/>
      <c r="VLW88" s="356"/>
      <c r="VLX88" s="356"/>
      <c r="VLY88" s="356"/>
      <c r="VLZ88" s="356"/>
      <c r="VMA88" s="356"/>
      <c r="VMB88" s="356"/>
      <c r="VMC88" s="356"/>
      <c r="VMD88" s="356"/>
      <c r="VME88" s="356"/>
      <c r="VMF88" s="356"/>
      <c r="VMG88" s="356"/>
      <c r="VMH88" s="356"/>
      <c r="VMI88" s="356"/>
      <c r="VMJ88" s="356"/>
      <c r="VMK88" s="356"/>
      <c r="VML88" s="356"/>
      <c r="VMM88" s="356"/>
      <c r="VMN88" s="356"/>
      <c r="VMO88" s="356"/>
      <c r="VMP88" s="356"/>
      <c r="VMQ88" s="356"/>
      <c r="VMR88" s="356"/>
      <c r="VMS88" s="356"/>
      <c r="VMT88" s="356"/>
      <c r="VMU88" s="356"/>
      <c r="VMV88" s="356"/>
      <c r="VMW88" s="356"/>
      <c r="VMX88" s="356"/>
      <c r="VMY88" s="356"/>
      <c r="VMZ88" s="356"/>
      <c r="VNA88" s="356"/>
      <c r="VNB88" s="356"/>
      <c r="VNC88" s="356"/>
      <c r="VND88" s="356"/>
      <c r="VNE88" s="356"/>
      <c r="VNF88" s="356"/>
      <c r="VNG88" s="356"/>
      <c r="VNH88" s="356"/>
      <c r="VNI88" s="356"/>
      <c r="VNJ88" s="356"/>
      <c r="VNK88" s="356"/>
      <c r="VNL88" s="356"/>
      <c r="VNM88" s="356"/>
      <c r="VNN88" s="356"/>
      <c r="VNO88" s="356"/>
      <c r="VNP88" s="356"/>
      <c r="VNQ88" s="356"/>
      <c r="VNR88" s="356"/>
      <c r="VNS88" s="356"/>
      <c r="VNT88" s="356"/>
      <c r="VNU88" s="356"/>
      <c r="VNV88" s="356"/>
      <c r="VNW88" s="356"/>
      <c r="VNX88" s="356"/>
      <c r="VNY88" s="356"/>
      <c r="VNZ88" s="356"/>
      <c r="VOA88" s="356"/>
      <c r="VOB88" s="356"/>
      <c r="VOC88" s="356"/>
      <c r="VOD88" s="356"/>
      <c r="VOE88" s="356"/>
      <c r="VOF88" s="356"/>
      <c r="VOG88" s="356"/>
      <c r="VOH88" s="356"/>
      <c r="VOI88" s="356"/>
      <c r="VOJ88" s="356"/>
      <c r="VOK88" s="356"/>
      <c r="VOL88" s="356"/>
      <c r="VOM88" s="356"/>
      <c r="VON88" s="356"/>
      <c r="VOO88" s="356"/>
      <c r="VOP88" s="356"/>
      <c r="VOQ88" s="356"/>
      <c r="VOR88" s="356"/>
      <c r="VOS88" s="356"/>
      <c r="VOT88" s="356"/>
      <c r="VOU88" s="356"/>
      <c r="VOV88" s="356"/>
      <c r="VOW88" s="356"/>
      <c r="VOX88" s="356"/>
      <c r="VOY88" s="356"/>
      <c r="VOZ88" s="356"/>
      <c r="VPA88" s="356"/>
      <c r="VPB88" s="356"/>
      <c r="VPC88" s="356"/>
      <c r="VPD88" s="356"/>
      <c r="VPE88" s="356"/>
      <c r="VPF88" s="356"/>
      <c r="VPG88" s="356"/>
      <c r="VPH88" s="356"/>
      <c r="VPI88" s="356"/>
      <c r="VPJ88" s="356"/>
      <c r="VPK88" s="356"/>
      <c r="VPL88" s="356"/>
      <c r="VPM88" s="356"/>
      <c r="VPN88" s="356"/>
      <c r="VPO88" s="356"/>
      <c r="VPP88" s="356"/>
      <c r="VPQ88" s="356"/>
      <c r="VPR88" s="356"/>
      <c r="VPS88" s="356"/>
      <c r="VPT88" s="356"/>
      <c r="VPU88" s="356"/>
      <c r="VPV88" s="356"/>
      <c r="VPW88" s="356"/>
      <c r="VPX88" s="356"/>
      <c r="VPY88" s="356"/>
      <c r="VPZ88" s="356"/>
      <c r="VQA88" s="356"/>
      <c r="VQB88" s="356"/>
      <c r="VQC88" s="356"/>
      <c r="VQD88" s="356"/>
      <c r="VQE88" s="356"/>
      <c r="VQF88" s="356"/>
      <c r="VQG88" s="356"/>
      <c r="VQH88" s="356"/>
      <c r="VQI88" s="356"/>
      <c r="VQJ88" s="356"/>
      <c r="VQK88" s="356"/>
      <c r="VQL88" s="356"/>
      <c r="VQM88" s="356"/>
      <c r="VQN88" s="356"/>
      <c r="VQO88" s="356"/>
      <c r="VQP88" s="356"/>
      <c r="VQQ88" s="356"/>
      <c r="VQR88" s="356"/>
      <c r="VQS88" s="356"/>
      <c r="VQT88" s="356"/>
      <c r="VQU88" s="356"/>
      <c r="VQV88" s="356"/>
      <c r="VQW88" s="356"/>
      <c r="VQX88" s="356"/>
      <c r="VQY88" s="356"/>
      <c r="VQZ88" s="356"/>
      <c r="VRA88" s="356"/>
      <c r="VRB88" s="356"/>
      <c r="VRC88" s="356"/>
      <c r="VRD88" s="356"/>
      <c r="VRE88" s="356"/>
      <c r="VRF88" s="356"/>
      <c r="VRG88" s="356"/>
      <c r="VRH88" s="356"/>
      <c r="VRI88" s="356"/>
      <c r="VRJ88" s="356"/>
      <c r="VRK88" s="356"/>
      <c r="VRL88" s="356"/>
      <c r="VRM88" s="356"/>
      <c r="VRN88" s="356"/>
      <c r="VRO88" s="356"/>
      <c r="VRP88" s="356"/>
      <c r="VRQ88" s="356"/>
      <c r="VRR88" s="356"/>
      <c r="VRS88" s="356"/>
      <c r="VRT88" s="356"/>
      <c r="VRU88" s="356"/>
      <c r="VRV88" s="356"/>
      <c r="VRW88" s="356"/>
      <c r="VRX88" s="356"/>
      <c r="VRY88" s="356"/>
      <c r="VRZ88" s="356"/>
      <c r="VSA88" s="356"/>
      <c r="VSB88" s="356"/>
      <c r="VSC88" s="356"/>
      <c r="VSD88" s="356"/>
      <c r="VSE88" s="356"/>
      <c r="VSF88" s="356"/>
      <c r="VSG88" s="356"/>
      <c r="VSH88" s="356"/>
      <c r="VSI88" s="356"/>
      <c r="VSJ88" s="356"/>
      <c r="VSK88" s="356"/>
      <c r="VSL88" s="356"/>
      <c r="VSM88" s="356"/>
      <c r="VSN88" s="356"/>
      <c r="VSO88" s="356"/>
      <c r="VSP88" s="356"/>
      <c r="VSQ88" s="356"/>
      <c r="VSR88" s="356"/>
      <c r="VSS88" s="356"/>
      <c r="VST88" s="356"/>
      <c r="VSU88" s="356"/>
      <c r="VSV88" s="356"/>
      <c r="VSW88" s="356"/>
      <c r="VSX88" s="356"/>
      <c r="VSY88" s="356"/>
      <c r="VSZ88" s="356"/>
      <c r="VTA88" s="356"/>
      <c r="VTB88" s="356"/>
      <c r="VTC88" s="356"/>
      <c r="VTD88" s="356"/>
      <c r="VTE88" s="356"/>
      <c r="VTF88" s="356"/>
      <c r="VTG88" s="356"/>
      <c r="VTH88" s="356"/>
      <c r="VTI88" s="356"/>
      <c r="VTJ88" s="356"/>
      <c r="VTK88" s="356"/>
      <c r="VTL88" s="356"/>
      <c r="VTM88" s="356"/>
      <c r="VTN88" s="356"/>
      <c r="VTO88" s="356"/>
      <c r="VTP88" s="356"/>
      <c r="VTQ88" s="356"/>
      <c r="VTR88" s="356"/>
      <c r="VTS88" s="356"/>
      <c r="VTT88" s="356"/>
      <c r="VTU88" s="356"/>
      <c r="VTV88" s="356"/>
      <c r="VTW88" s="356"/>
      <c r="VTX88" s="356"/>
      <c r="VTY88" s="356"/>
      <c r="VTZ88" s="356"/>
      <c r="VUA88" s="356"/>
      <c r="VUB88" s="356"/>
      <c r="VUC88" s="356"/>
      <c r="VUD88" s="356"/>
      <c r="VUE88" s="356"/>
      <c r="VUF88" s="356"/>
      <c r="VUG88" s="356"/>
      <c r="VUH88" s="356"/>
      <c r="VUI88" s="356"/>
      <c r="VUJ88" s="356"/>
      <c r="VUK88" s="356"/>
      <c r="VUL88" s="356"/>
      <c r="VUM88" s="356"/>
      <c r="VUN88" s="356"/>
      <c r="VUO88" s="356"/>
      <c r="VUP88" s="356"/>
      <c r="VUQ88" s="356"/>
      <c r="VUR88" s="356"/>
      <c r="VUS88" s="356"/>
      <c r="VUT88" s="356"/>
      <c r="VUU88" s="356"/>
      <c r="VUV88" s="356"/>
      <c r="VUW88" s="356"/>
      <c r="VUX88" s="356"/>
      <c r="VUY88" s="356"/>
      <c r="VUZ88" s="356"/>
      <c r="VVA88" s="356"/>
      <c r="VVB88" s="356"/>
      <c r="VVC88" s="356"/>
      <c r="VVD88" s="356"/>
      <c r="VVE88" s="356"/>
      <c r="VVF88" s="356"/>
      <c r="VVG88" s="356"/>
      <c r="VVH88" s="356"/>
      <c r="VVI88" s="356"/>
      <c r="VVJ88" s="356"/>
      <c r="VVK88" s="356"/>
      <c r="VVL88" s="356"/>
      <c r="VVM88" s="356"/>
      <c r="VVN88" s="356"/>
      <c r="VVO88" s="356"/>
      <c r="VVP88" s="356"/>
      <c r="VVQ88" s="356"/>
      <c r="VVR88" s="356"/>
      <c r="VVS88" s="356"/>
      <c r="VVT88" s="356"/>
      <c r="VVU88" s="356"/>
      <c r="VVV88" s="356"/>
      <c r="VVW88" s="356"/>
      <c r="VVX88" s="356"/>
      <c r="VVY88" s="356"/>
      <c r="VVZ88" s="356"/>
      <c r="VWA88" s="356"/>
      <c r="VWB88" s="356"/>
      <c r="VWC88" s="356"/>
      <c r="VWD88" s="356"/>
      <c r="VWE88" s="356"/>
      <c r="VWF88" s="356"/>
      <c r="VWG88" s="356"/>
      <c r="VWH88" s="356"/>
      <c r="VWI88" s="356"/>
      <c r="VWJ88" s="356"/>
      <c r="VWK88" s="356"/>
      <c r="VWL88" s="356"/>
      <c r="VWM88" s="356"/>
      <c r="VWN88" s="356"/>
      <c r="VWO88" s="356"/>
      <c r="VWP88" s="356"/>
      <c r="VWQ88" s="356"/>
      <c r="VWR88" s="356"/>
      <c r="VWS88" s="356"/>
      <c r="VWT88" s="356"/>
      <c r="VWU88" s="356"/>
      <c r="VWV88" s="356"/>
      <c r="VWW88" s="356"/>
      <c r="VWX88" s="356"/>
      <c r="VWY88" s="356"/>
      <c r="VWZ88" s="356"/>
      <c r="VXA88" s="356"/>
      <c r="VXB88" s="356"/>
      <c r="VXC88" s="356"/>
      <c r="VXD88" s="356"/>
      <c r="VXE88" s="356"/>
      <c r="VXF88" s="356"/>
      <c r="VXG88" s="356"/>
      <c r="VXH88" s="356"/>
      <c r="VXI88" s="356"/>
      <c r="VXJ88" s="356"/>
      <c r="VXK88" s="356"/>
      <c r="VXL88" s="356"/>
      <c r="VXM88" s="356"/>
      <c r="VXN88" s="356"/>
      <c r="VXO88" s="356"/>
      <c r="VXP88" s="356"/>
      <c r="VXQ88" s="356"/>
      <c r="VXR88" s="356"/>
      <c r="VXS88" s="356"/>
      <c r="VXT88" s="356"/>
      <c r="VXU88" s="356"/>
      <c r="VXV88" s="356"/>
      <c r="VXW88" s="356"/>
      <c r="VXX88" s="356"/>
      <c r="VXY88" s="356"/>
      <c r="VXZ88" s="356"/>
      <c r="VYA88" s="356"/>
      <c r="VYB88" s="356"/>
      <c r="VYC88" s="356"/>
      <c r="VYD88" s="356"/>
      <c r="VYE88" s="356"/>
      <c r="VYF88" s="356"/>
      <c r="VYG88" s="356"/>
      <c r="VYH88" s="356"/>
      <c r="VYI88" s="356"/>
      <c r="VYJ88" s="356"/>
      <c r="VYK88" s="356"/>
      <c r="VYL88" s="356"/>
      <c r="VYM88" s="356"/>
      <c r="VYN88" s="356"/>
      <c r="VYO88" s="356"/>
      <c r="VYP88" s="356"/>
      <c r="VYQ88" s="356"/>
      <c r="VYR88" s="356"/>
      <c r="VYS88" s="356"/>
      <c r="VYT88" s="356"/>
      <c r="VYU88" s="356"/>
      <c r="VYV88" s="356"/>
      <c r="VYW88" s="356"/>
      <c r="VYX88" s="356"/>
      <c r="VYY88" s="356"/>
      <c r="VYZ88" s="356"/>
      <c r="VZA88" s="356"/>
      <c r="VZB88" s="356"/>
      <c r="VZC88" s="356"/>
      <c r="VZD88" s="356"/>
      <c r="VZE88" s="356"/>
      <c r="VZF88" s="356"/>
      <c r="VZG88" s="356"/>
      <c r="VZH88" s="356"/>
      <c r="VZI88" s="356"/>
      <c r="VZJ88" s="356"/>
      <c r="VZK88" s="356"/>
      <c r="VZL88" s="356"/>
      <c r="VZM88" s="356"/>
      <c r="VZN88" s="356"/>
      <c r="VZO88" s="356"/>
      <c r="VZP88" s="356"/>
      <c r="VZQ88" s="356"/>
      <c r="VZR88" s="356"/>
      <c r="VZS88" s="356"/>
      <c r="VZT88" s="356"/>
      <c r="VZU88" s="356"/>
      <c r="VZV88" s="356"/>
      <c r="VZW88" s="356"/>
      <c r="VZX88" s="356"/>
      <c r="VZY88" s="356"/>
      <c r="VZZ88" s="356"/>
      <c r="WAA88" s="356"/>
      <c r="WAB88" s="356"/>
      <c r="WAC88" s="356"/>
      <c r="WAD88" s="356"/>
      <c r="WAE88" s="356"/>
      <c r="WAF88" s="356"/>
      <c r="WAG88" s="356"/>
      <c r="WAH88" s="356"/>
      <c r="WAI88" s="356"/>
      <c r="WAJ88" s="356"/>
      <c r="WAK88" s="356"/>
      <c r="WAL88" s="356"/>
      <c r="WAM88" s="356"/>
      <c r="WAN88" s="356"/>
      <c r="WAO88" s="356"/>
      <c r="WAP88" s="356"/>
      <c r="WAQ88" s="356"/>
      <c r="WAR88" s="356"/>
      <c r="WAS88" s="356"/>
      <c r="WAT88" s="356"/>
      <c r="WAU88" s="356"/>
      <c r="WAV88" s="356"/>
      <c r="WAW88" s="356"/>
      <c r="WAX88" s="356"/>
      <c r="WAY88" s="356"/>
      <c r="WAZ88" s="356"/>
      <c r="WBA88" s="356"/>
      <c r="WBB88" s="356"/>
      <c r="WBC88" s="356"/>
      <c r="WBD88" s="356"/>
      <c r="WBE88" s="356"/>
      <c r="WBF88" s="356"/>
      <c r="WBG88" s="356"/>
      <c r="WBH88" s="356"/>
      <c r="WBI88" s="356"/>
      <c r="WBJ88" s="356"/>
      <c r="WBK88" s="356"/>
      <c r="WBL88" s="356"/>
      <c r="WBM88" s="356"/>
      <c r="WBN88" s="356"/>
      <c r="WBO88" s="356"/>
      <c r="WBP88" s="356"/>
      <c r="WBQ88" s="356"/>
      <c r="WBR88" s="356"/>
      <c r="WBS88" s="356"/>
      <c r="WBT88" s="356"/>
      <c r="WBU88" s="356"/>
      <c r="WBV88" s="356"/>
      <c r="WBW88" s="356"/>
      <c r="WBX88" s="356"/>
      <c r="WBY88" s="356"/>
      <c r="WBZ88" s="356"/>
      <c r="WCA88" s="356"/>
      <c r="WCB88" s="356"/>
      <c r="WCC88" s="356"/>
      <c r="WCD88" s="356"/>
      <c r="WCE88" s="356"/>
      <c r="WCF88" s="356"/>
      <c r="WCG88" s="356"/>
      <c r="WCH88" s="356"/>
      <c r="WCI88" s="356"/>
      <c r="WCJ88" s="356"/>
      <c r="WCK88" s="356"/>
      <c r="WCL88" s="356"/>
      <c r="WCM88" s="356"/>
      <c r="WCN88" s="356"/>
      <c r="WCO88" s="356"/>
      <c r="WCP88" s="356"/>
      <c r="WCQ88" s="356"/>
      <c r="WCR88" s="356"/>
      <c r="WCS88" s="356"/>
      <c r="WCT88" s="356"/>
      <c r="WCU88" s="356"/>
      <c r="WCV88" s="356"/>
      <c r="WCW88" s="356"/>
      <c r="WCX88" s="356"/>
      <c r="WCY88" s="356"/>
      <c r="WCZ88" s="356"/>
      <c r="WDA88" s="356"/>
      <c r="WDB88" s="356"/>
      <c r="WDC88" s="356"/>
      <c r="WDD88" s="356"/>
      <c r="WDE88" s="356"/>
      <c r="WDF88" s="356"/>
      <c r="WDG88" s="356"/>
      <c r="WDH88" s="356"/>
      <c r="WDI88" s="356"/>
      <c r="WDJ88" s="356"/>
      <c r="WDK88" s="356"/>
      <c r="WDL88" s="356"/>
      <c r="WDM88" s="356"/>
      <c r="WDN88" s="356"/>
      <c r="WDO88" s="356"/>
      <c r="WDP88" s="356"/>
      <c r="WDQ88" s="356"/>
      <c r="WDR88" s="356"/>
      <c r="WDS88" s="356"/>
      <c r="WDT88" s="356"/>
      <c r="WDU88" s="356"/>
      <c r="WDV88" s="356"/>
      <c r="WDW88" s="356"/>
      <c r="WDX88" s="356"/>
      <c r="WDY88" s="356"/>
      <c r="WDZ88" s="356"/>
      <c r="WEA88" s="356"/>
      <c r="WEB88" s="356"/>
      <c r="WEC88" s="356"/>
      <c r="WED88" s="356"/>
      <c r="WEE88" s="356"/>
      <c r="WEF88" s="356"/>
      <c r="WEG88" s="356"/>
      <c r="WEH88" s="356"/>
      <c r="WEI88" s="356"/>
      <c r="WEJ88" s="356"/>
      <c r="WEK88" s="356"/>
      <c r="WEL88" s="356"/>
      <c r="WEM88" s="356"/>
      <c r="WEN88" s="356"/>
      <c r="WEO88" s="356"/>
      <c r="WEP88" s="356"/>
      <c r="WEQ88" s="356"/>
      <c r="WER88" s="356"/>
      <c r="WES88" s="356"/>
      <c r="WET88" s="356"/>
      <c r="WEU88" s="356"/>
      <c r="WEV88" s="356"/>
      <c r="WEW88" s="356"/>
      <c r="WEX88" s="356"/>
      <c r="WEY88" s="356"/>
      <c r="WEZ88" s="356"/>
      <c r="WFA88" s="356"/>
      <c r="WFB88" s="356"/>
      <c r="WFC88" s="356"/>
      <c r="WFD88" s="356"/>
      <c r="WFE88" s="356"/>
      <c r="WFF88" s="356"/>
      <c r="WFG88" s="356"/>
      <c r="WFH88" s="356"/>
      <c r="WFI88" s="356"/>
      <c r="WFJ88" s="356"/>
      <c r="WFK88" s="356"/>
      <c r="WFL88" s="356"/>
      <c r="WFM88" s="356"/>
      <c r="WFN88" s="356"/>
      <c r="WFO88" s="356"/>
      <c r="WFP88" s="356"/>
      <c r="WFQ88" s="356"/>
      <c r="WFR88" s="356"/>
      <c r="WFS88" s="356"/>
      <c r="WFT88" s="356"/>
      <c r="WFU88" s="356"/>
      <c r="WFV88" s="356"/>
      <c r="WFW88" s="356"/>
      <c r="WFX88" s="356"/>
      <c r="WFY88" s="356"/>
      <c r="WFZ88" s="356"/>
      <c r="WGA88" s="356"/>
      <c r="WGB88" s="356"/>
      <c r="WGC88" s="356"/>
      <c r="WGD88" s="356"/>
      <c r="WGE88" s="356"/>
      <c r="WGF88" s="356"/>
      <c r="WGG88" s="356"/>
      <c r="WGH88" s="356"/>
      <c r="WGI88" s="356"/>
      <c r="WGJ88" s="356"/>
      <c r="WGK88" s="356"/>
      <c r="WGL88" s="356"/>
      <c r="WGM88" s="356"/>
      <c r="WGN88" s="356"/>
      <c r="WGO88" s="356"/>
      <c r="WGP88" s="356"/>
      <c r="WGQ88" s="356"/>
      <c r="WGR88" s="356"/>
      <c r="WGS88" s="356"/>
      <c r="WGT88" s="356"/>
      <c r="WGU88" s="356"/>
      <c r="WGV88" s="356"/>
      <c r="WGW88" s="356"/>
      <c r="WGX88" s="356"/>
      <c r="WGY88" s="356"/>
      <c r="WGZ88" s="356"/>
      <c r="WHA88" s="356"/>
      <c r="WHB88" s="356"/>
      <c r="WHC88" s="356"/>
      <c r="WHD88" s="356"/>
      <c r="WHE88" s="356"/>
      <c r="WHF88" s="356"/>
      <c r="WHG88" s="356"/>
      <c r="WHH88" s="356"/>
      <c r="WHI88" s="356"/>
      <c r="WHJ88" s="356"/>
      <c r="WHK88" s="356"/>
      <c r="WHL88" s="356"/>
      <c r="WHM88" s="356"/>
      <c r="WHN88" s="356"/>
      <c r="WHO88" s="356"/>
      <c r="WHP88" s="356"/>
      <c r="WHQ88" s="356"/>
      <c r="WHR88" s="356"/>
      <c r="WHS88" s="356"/>
      <c r="WHT88" s="356"/>
      <c r="WHU88" s="356"/>
      <c r="WHV88" s="356"/>
      <c r="WHW88" s="356"/>
      <c r="WHX88" s="356"/>
      <c r="WHY88" s="356"/>
      <c r="WHZ88" s="356"/>
      <c r="WIA88" s="356"/>
      <c r="WIB88" s="356"/>
      <c r="WIC88" s="356"/>
      <c r="WID88" s="356"/>
      <c r="WIE88" s="356"/>
      <c r="WIF88" s="356"/>
      <c r="WIG88" s="356"/>
      <c r="WIH88" s="356"/>
      <c r="WII88" s="356"/>
      <c r="WIJ88" s="356"/>
      <c r="WIK88" s="356"/>
      <c r="WIL88" s="356"/>
      <c r="WIM88" s="356"/>
      <c r="WIN88" s="356"/>
      <c r="WIO88" s="356"/>
      <c r="WIP88" s="356"/>
      <c r="WIQ88" s="356"/>
      <c r="WIR88" s="356"/>
      <c r="WIS88" s="356"/>
      <c r="WIT88" s="356"/>
      <c r="WIU88" s="356"/>
      <c r="WIV88" s="356"/>
      <c r="WIW88" s="356"/>
      <c r="WIX88" s="356"/>
      <c r="WIY88" s="356"/>
      <c r="WIZ88" s="356"/>
      <c r="WJA88" s="356"/>
      <c r="WJB88" s="356"/>
      <c r="WJC88" s="356"/>
      <c r="WJD88" s="356"/>
      <c r="WJE88" s="356"/>
      <c r="WJF88" s="356"/>
      <c r="WJG88" s="356"/>
      <c r="WJH88" s="356"/>
      <c r="WJI88" s="356"/>
      <c r="WJJ88" s="356"/>
      <c r="WJK88" s="356"/>
      <c r="WJL88" s="356"/>
      <c r="WJM88" s="356"/>
      <c r="WJN88" s="356"/>
      <c r="WJO88" s="356"/>
      <c r="WJP88" s="356"/>
      <c r="WJQ88" s="356"/>
      <c r="WJR88" s="356"/>
      <c r="WJS88" s="356"/>
      <c r="WJT88" s="356"/>
      <c r="WJU88" s="356"/>
      <c r="WJV88" s="356"/>
      <c r="WJW88" s="356"/>
      <c r="WJX88" s="356"/>
      <c r="WJY88" s="356"/>
      <c r="WJZ88" s="356"/>
      <c r="WKA88" s="356"/>
      <c r="WKB88" s="356"/>
      <c r="WKC88" s="356"/>
      <c r="WKD88" s="356"/>
      <c r="WKE88" s="356"/>
      <c r="WKF88" s="356"/>
      <c r="WKG88" s="356"/>
      <c r="WKH88" s="356"/>
      <c r="WKI88" s="356"/>
      <c r="WKJ88" s="356"/>
      <c r="WKK88" s="356"/>
      <c r="WKL88" s="356"/>
      <c r="WKM88" s="356"/>
      <c r="WKN88" s="356"/>
      <c r="WKO88" s="356"/>
      <c r="WKP88" s="356"/>
      <c r="WKQ88" s="356"/>
      <c r="WKR88" s="356"/>
      <c r="WKS88" s="356"/>
      <c r="WKT88" s="356"/>
      <c r="WKU88" s="356"/>
      <c r="WKV88" s="356"/>
      <c r="WKW88" s="356"/>
      <c r="WKX88" s="356"/>
      <c r="WKY88" s="356"/>
      <c r="WKZ88" s="356"/>
      <c r="WLA88" s="356"/>
      <c r="WLB88" s="356"/>
      <c r="WLC88" s="356"/>
      <c r="WLD88" s="356"/>
      <c r="WLE88" s="356"/>
      <c r="WLF88" s="356"/>
      <c r="WLG88" s="356"/>
      <c r="WLH88" s="356"/>
      <c r="WLI88" s="356"/>
      <c r="WLJ88" s="356"/>
      <c r="WLK88" s="356"/>
      <c r="WLL88" s="356"/>
      <c r="WLM88" s="356"/>
      <c r="WLN88" s="356"/>
      <c r="WLO88" s="356"/>
      <c r="WLP88" s="356"/>
      <c r="WLQ88" s="356"/>
      <c r="WLR88" s="356"/>
      <c r="WLS88" s="356"/>
      <c r="WLT88" s="356"/>
      <c r="WLU88" s="356"/>
      <c r="WLV88" s="356"/>
      <c r="WLW88" s="356"/>
      <c r="WLX88" s="356"/>
      <c r="WLY88" s="356"/>
      <c r="WLZ88" s="356"/>
      <c r="WMA88" s="356"/>
      <c r="WMB88" s="356"/>
      <c r="WMC88" s="356"/>
      <c r="WMD88" s="356"/>
      <c r="WME88" s="356"/>
      <c r="WMF88" s="356"/>
      <c r="WMG88" s="356"/>
      <c r="WMH88" s="356"/>
      <c r="WMI88" s="356"/>
      <c r="WMJ88" s="356"/>
      <c r="WMK88" s="356"/>
      <c r="WML88" s="356"/>
      <c r="WMM88" s="356"/>
      <c r="WMN88" s="356"/>
      <c r="WMO88" s="356"/>
      <c r="WMP88" s="356"/>
      <c r="WMQ88" s="356"/>
      <c r="WMR88" s="356"/>
      <c r="WMS88" s="356"/>
      <c r="WMT88" s="356"/>
      <c r="WMU88" s="356"/>
      <c r="WMV88" s="356"/>
      <c r="WMW88" s="356"/>
      <c r="WMX88" s="356"/>
      <c r="WMY88" s="356"/>
      <c r="WMZ88" s="356"/>
      <c r="WNA88" s="356"/>
      <c r="WNB88" s="356"/>
      <c r="WNC88" s="356"/>
      <c r="WND88" s="356"/>
      <c r="WNE88" s="356"/>
      <c r="WNF88" s="356"/>
      <c r="WNG88" s="356"/>
      <c r="WNH88" s="356"/>
      <c r="WNI88" s="356"/>
      <c r="WNJ88" s="356"/>
      <c r="WNK88" s="356"/>
      <c r="WNL88" s="356"/>
      <c r="WNM88" s="356"/>
      <c r="WNN88" s="356"/>
      <c r="WNO88" s="356"/>
      <c r="WNP88" s="356"/>
      <c r="WNQ88" s="356"/>
      <c r="WNR88" s="356"/>
      <c r="WNS88" s="356"/>
      <c r="WNT88" s="356"/>
      <c r="WNU88" s="356"/>
      <c r="WNV88" s="356"/>
      <c r="WNW88" s="356"/>
      <c r="WNX88" s="356"/>
      <c r="WNY88" s="356"/>
      <c r="WNZ88" s="356"/>
      <c r="WOA88" s="356"/>
      <c r="WOB88" s="356"/>
      <c r="WOC88" s="356"/>
      <c r="WOD88" s="356"/>
      <c r="WOE88" s="356"/>
      <c r="WOF88" s="356"/>
      <c r="WOG88" s="356"/>
      <c r="WOH88" s="356"/>
      <c r="WOI88" s="356"/>
      <c r="WOJ88" s="356"/>
      <c r="WOK88" s="356"/>
      <c r="WOL88" s="356"/>
      <c r="WOM88" s="356"/>
      <c r="WON88" s="356"/>
      <c r="WOO88" s="356"/>
      <c r="WOP88" s="356"/>
      <c r="WOQ88" s="356"/>
      <c r="WOR88" s="356"/>
      <c r="WOS88" s="356"/>
      <c r="WOT88" s="356"/>
      <c r="WOU88" s="356"/>
      <c r="WOV88" s="356"/>
      <c r="WOW88" s="356"/>
      <c r="WOX88" s="356"/>
      <c r="WOY88" s="356"/>
      <c r="WOZ88" s="356"/>
      <c r="WPA88" s="356"/>
      <c r="WPB88" s="356"/>
      <c r="WPC88" s="356"/>
      <c r="WPD88" s="356"/>
      <c r="WPE88" s="356"/>
      <c r="WPF88" s="356"/>
      <c r="WPG88" s="356"/>
      <c r="WPH88" s="356"/>
      <c r="WPI88" s="356"/>
      <c r="WPJ88" s="356"/>
      <c r="WPK88" s="356"/>
      <c r="WPL88" s="356"/>
      <c r="WPM88" s="356"/>
      <c r="WPN88" s="356"/>
      <c r="WPO88" s="356"/>
      <c r="WPP88" s="356"/>
      <c r="WPQ88" s="356"/>
      <c r="WPR88" s="356"/>
      <c r="WPS88" s="356"/>
      <c r="WPT88" s="356"/>
      <c r="WPU88" s="356"/>
      <c r="WPV88" s="356"/>
      <c r="WPW88" s="356"/>
      <c r="WPX88" s="356"/>
      <c r="WPY88" s="356"/>
      <c r="WPZ88" s="356"/>
      <c r="WQA88" s="356"/>
      <c r="WQB88" s="356"/>
      <c r="WQC88" s="356"/>
      <c r="WQD88" s="356"/>
      <c r="WQE88" s="356"/>
      <c r="WQF88" s="356"/>
      <c r="WQG88" s="356"/>
      <c r="WQH88" s="356"/>
      <c r="WQI88" s="356"/>
      <c r="WQJ88" s="356"/>
      <c r="WQK88" s="356"/>
      <c r="WQL88" s="356"/>
      <c r="WQM88" s="356"/>
      <c r="WQN88" s="356"/>
      <c r="WQO88" s="356"/>
      <c r="WQP88" s="356"/>
      <c r="WQQ88" s="356"/>
      <c r="WQR88" s="356"/>
      <c r="WQS88" s="356"/>
      <c r="WQT88" s="356"/>
      <c r="WQU88" s="356"/>
      <c r="WQV88" s="356"/>
      <c r="WQW88" s="356"/>
      <c r="WQX88" s="356"/>
      <c r="WQY88" s="356"/>
      <c r="WQZ88" s="356"/>
      <c r="WRA88" s="356"/>
      <c r="WRB88" s="356"/>
      <c r="WRC88" s="356"/>
      <c r="WRD88" s="356"/>
      <c r="WRE88" s="356"/>
      <c r="WRF88" s="356"/>
      <c r="WRG88" s="356"/>
      <c r="WRH88" s="356"/>
      <c r="WRI88" s="356"/>
      <c r="WRJ88" s="356"/>
      <c r="WRK88" s="356"/>
      <c r="WRL88" s="356"/>
      <c r="WRM88" s="356"/>
      <c r="WRN88" s="356"/>
      <c r="WRO88" s="356"/>
      <c r="WRP88" s="356"/>
      <c r="WRQ88" s="356"/>
      <c r="WRR88" s="356"/>
      <c r="WRS88" s="356"/>
      <c r="WRT88" s="356"/>
      <c r="WRU88" s="356"/>
      <c r="WRV88" s="356"/>
      <c r="WRW88" s="356"/>
      <c r="WRX88" s="356"/>
      <c r="WRY88" s="356"/>
      <c r="WRZ88" s="356"/>
      <c r="WSA88" s="356"/>
      <c r="WSB88" s="356"/>
      <c r="WSC88" s="356"/>
      <c r="WSD88" s="356"/>
      <c r="WSE88" s="356"/>
      <c r="WSF88" s="356"/>
      <c r="WSG88" s="356"/>
      <c r="WSH88" s="356"/>
      <c r="WSI88" s="356"/>
      <c r="WSJ88" s="356"/>
      <c r="WSK88" s="356"/>
      <c r="WSL88" s="356"/>
      <c r="WSM88" s="356"/>
      <c r="WSN88" s="356"/>
      <c r="WSO88" s="356"/>
      <c r="WSP88" s="356"/>
      <c r="WSQ88" s="356"/>
      <c r="WSR88" s="356"/>
      <c r="WSS88" s="356"/>
      <c r="WST88" s="356"/>
      <c r="WSU88" s="356"/>
      <c r="WSV88" s="356"/>
      <c r="WSW88" s="356"/>
      <c r="WSX88" s="356"/>
      <c r="WSY88" s="356"/>
      <c r="WSZ88" s="356"/>
      <c r="WTA88" s="356"/>
      <c r="WTB88" s="356"/>
      <c r="WTC88" s="356"/>
      <c r="WTD88" s="356"/>
      <c r="WTE88" s="356"/>
      <c r="WTF88" s="356"/>
      <c r="WTG88" s="356"/>
      <c r="WTH88" s="356"/>
      <c r="WTI88" s="356"/>
      <c r="WTJ88" s="356"/>
      <c r="WTK88" s="356"/>
      <c r="WTL88" s="356"/>
      <c r="WTM88" s="356"/>
      <c r="WTN88" s="356"/>
      <c r="WTO88" s="356"/>
      <c r="WTP88" s="356"/>
      <c r="WTQ88" s="356"/>
      <c r="WTR88" s="356"/>
      <c r="WTS88" s="356"/>
      <c r="WTT88" s="356"/>
      <c r="WTU88" s="356"/>
      <c r="WTV88" s="356"/>
      <c r="WTW88" s="356"/>
      <c r="WTX88" s="356"/>
      <c r="WTY88" s="356"/>
      <c r="WTZ88" s="356"/>
      <c r="WUA88" s="356"/>
      <c r="WUB88" s="356"/>
      <c r="WUC88" s="356"/>
      <c r="WUD88" s="356"/>
      <c r="WUE88" s="356"/>
      <c r="WUF88" s="356"/>
      <c r="WUG88" s="356"/>
      <c r="WUH88" s="356"/>
      <c r="WUI88" s="356"/>
      <c r="WUJ88" s="356"/>
      <c r="WUK88" s="356"/>
      <c r="WUL88" s="356"/>
      <c r="WUM88" s="356"/>
      <c r="WUN88" s="356"/>
      <c r="WUO88" s="356"/>
      <c r="WUP88" s="356"/>
      <c r="WUQ88" s="356"/>
      <c r="WUR88" s="356"/>
      <c r="WUS88" s="356"/>
      <c r="WUT88" s="356"/>
      <c r="WUU88" s="356"/>
      <c r="WUV88" s="356"/>
      <c r="WUW88" s="356"/>
      <c r="WUX88" s="356"/>
      <c r="WUY88" s="356"/>
      <c r="WUZ88" s="356"/>
      <c r="WVA88" s="356"/>
      <c r="WVB88" s="356"/>
      <c r="WVC88" s="356"/>
      <c r="WVD88" s="356"/>
      <c r="WVE88" s="356"/>
      <c r="WVF88" s="356"/>
      <c r="WVG88" s="356"/>
      <c r="WVH88" s="356"/>
      <c r="WVI88" s="356"/>
      <c r="WVJ88" s="356"/>
      <c r="WVK88" s="356"/>
      <c r="WVL88" s="356"/>
      <c r="WVM88" s="356"/>
      <c r="WVN88" s="356"/>
      <c r="WVO88" s="356"/>
      <c r="WVP88" s="356"/>
      <c r="WVQ88" s="356"/>
      <c r="WVR88" s="356"/>
      <c r="WVS88" s="356"/>
      <c r="WVT88" s="356"/>
      <c r="WVU88" s="356"/>
      <c r="WVV88" s="356"/>
      <c r="WVW88" s="356"/>
      <c r="WVX88" s="356"/>
      <c r="WVY88" s="356"/>
      <c r="WVZ88" s="356"/>
      <c r="WWA88" s="356"/>
      <c r="WWB88" s="356"/>
      <c r="WWC88" s="356"/>
      <c r="WWD88" s="356"/>
      <c r="WWE88" s="356"/>
      <c r="WWF88" s="356"/>
      <c r="WWG88" s="356"/>
      <c r="WWH88" s="356"/>
      <c r="WWI88" s="356"/>
      <c r="WWJ88" s="356"/>
      <c r="WWK88" s="356"/>
      <c r="WWL88" s="356"/>
      <c r="WWM88" s="356"/>
      <c r="WWN88" s="356"/>
      <c r="WWO88" s="356"/>
      <c r="WWP88" s="356"/>
      <c r="WWQ88" s="356"/>
      <c r="WWR88" s="356"/>
      <c r="WWS88" s="356"/>
      <c r="WWT88" s="356"/>
      <c r="WWU88" s="356"/>
      <c r="WWV88" s="356"/>
      <c r="WWW88" s="356"/>
      <c r="WWX88" s="356"/>
      <c r="WWY88" s="356"/>
      <c r="WWZ88" s="356"/>
      <c r="WXA88" s="356"/>
      <c r="WXB88" s="356"/>
      <c r="WXC88" s="356"/>
      <c r="WXD88" s="356"/>
      <c r="WXE88" s="356"/>
      <c r="WXF88" s="356"/>
      <c r="WXG88" s="356"/>
      <c r="WXH88" s="356"/>
      <c r="WXI88" s="356"/>
      <c r="WXJ88" s="356"/>
      <c r="WXK88" s="356"/>
      <c r="WXL88" s="356"/>
      <c r="WXM88" s="356"/>
      <c r="WXN88" s="356"/>
      <c r="WXO88" s="356"/>
      <c r="WXP88" s="356"/>
      <c r="WXQ88" s="356"/>
      <c r="WXR88" s="356"/>
      <c r="WXS88" s="356"/>
      <c r="WXT88" s="356"/>
      <c r="WXU88" s="356"/>
      <c r="WXV88" s="356"/>
      <c r="WXW88" s="356"/>
      <c r="WXX88" s="356"/>
      <c r="WXY88" s="356"/>
      <c r="WXZ88" s="356"/>
      <c r="WYA88" s="356"/>
      <c r="WYB88" s="356"/>
      <c r="WYC88" s="356"/>
      <c r="WYD88" s="356"/>
      <c r="WYE88" s="356"/>
      <c r="WYF88" s="356"/>
      <c r="WYG88" s="356"/>
      <c r="WYH88" s="356"/>
      <c r="WYI88" s="356"/>
      <c r="WYJ88" s="356"/>
      <c r="WYK88" s="356"/>
      <c r="WYL88" s="356"/>
      <c r="WYM88" s="356"/>
      <c r="WYN88" s="356"/>
      <c r="WYO88" s="356"/>
      <c r="WYP88" s="356"/>
      <c r="WYQ88" s="356"/>
      <c r="WYR88" s="356"/>
      <c r="WYS88" s="356"/>
      <c r="WYT88" s="356"/>
      <c r="WYU88" s="356"/>
      <c r="WYV88" s="356"/>
      <c r="WYW88" s="356"/>
      <c r="WYX88" s="356"/>
      <c r="WYY88" s="356"/>
      <c r="WYZ88" s="356"/>
      <c r="WZA88" s="356"/>
      <c r="WZB88" s="356"/>
      <c r="WZC88" s="356"/>
      <c r="WZD88" s="356"/>
      <c r="WZE88" s="356"/>
      <c r="WZF88" s="356"/>
      <c r="WZG88" s="356"/>
      <c r="WZH88" s="356"/>
      <c r="WZI88" s="356"/>
      <c r="WZJ88" s="356"/>
      <c r="WZK88" s="356"/>
      <c r="WZL88" s="356"/>
      <c r="WZM88" s="356"/>
      <c r="WZN88" s="356"/>
      <c r="WZO88" s="356"/>
      <c r="WZP88" s="356"/>
      <c r="WZQ88" s="356"/>
      <c r="WZR88" s="356"/>
      <c r="WZS88" s="356"/>
      <c r="WZT88" s="356"/>
      <c r="WZU88" s="356"/>
      <c r="WZV88" s="356"/>
      <c r="WZW88" s="356"/>
      <c r="WZX88" s="356"/>
      <c r="WZY88" s="356"/>
      <c r="WZZ88" s="356"/>
      <c r="XAA88" s="356"/>
      <c r="XAB88" s="356"/>
      <c r="XAC88" s="356"/>
      <c r="XAD88" s="356"/>
      <c r="XAE88" s="356"/>
      <c r="XAF88" s="356"/>
      <c r="XAG88" s="356"/>
      <c r="XAH88" s="356"/>
      <c r="XAI88" s="356"/>
      <c r="XAJ88" s="356"/>
      <c r="XAK88" s="356"/>
      <c r="XAL88" s="356"/>
      <c r="XAM88" s="356"/>
      <c r="XAN88" s="356"/>
      <c r="XAO88" s="356"/>
      <c r="XAP88" s="356"/>
      <c r="XAQ88" s="356"/>
      <c r="XAR88" s="356"/>
      <c r="XAS88" s="356"/>
      <c r="XAT88" s="356"/>
      <c r="XAU88" s="356"/>
      <c r="XAV88" s="356"/>
      <c r="XAW88" s="356"/>
      <c r="XAX88" s="356"/>
      <c r="XAY88" s="356"/>
      <c r="XAZ88" s="356"/>
      <c r="XBA88" s="356"/>
      <c r="XBB88" s="356"/>
      <c r="XBC88" s="356"/>
      <c r="XBD88" s="356"/>
      <c r="XBE88" s="356"/>
      <c r="XBF88" s="356"/>
      <c r="XBG88" s="356"/>
      <c r="XBH88" s="356"/>
      <c r="XBI88" s="356"/>
      <c r="XBJ88" s="356"/>
      <c r="XBK88" s="356"/>
      <c r="XBL88" s="356"/>
      <c r="XBM88" s="356"/>
      <c r="XBN88" s="356"/>
      <c r="XBO88" s="356"/>
      <c r="XBP88" s="356"/>
      <c r="XBQ88" s="356"/>
      <c r="XBR88" s="356"/>
      <c r="XBS88" s="356"/>
      <c r="XBT88" s="356"/>
      <c r="XBU88" s="356"/>
      <c r="XBV88" s="356"/>
      <c r="XBW88" s="356"/>
      <c r="XBX88" s="356"/>
      <c r="XBY88" s="356"/>
      <c r="XBZ88" s="356"/>
      <c r="XCA88" s="356"/>
      <c r="XCB88" s="356"/>
      <c r="XCC88" s="356"/>
      <c r="XCD88" s="356"/>
      <c r="XCE88" s="356"/>
      <c r="XCF88" s="356"/>
      <c r="XCG88" s="356"/>
      <c r="XCH88" s="356"/>
      <c r="XCI88" s="356"/>
      <c r="XCJ88" s="356"/>
      <c r="XCK88" s="356"/>
      <c r="XCL88" s="356"/>
      <c r="XCM88" s="356"/>
      <c r="XCN88" s="356"/>
      <c r="XCO88" s="356"/>
      <c r="XCP88" s="356"/>
      <c r="XCQ88" s="356"/>
      <c r="XCR88" s="356"/>
      <c r="XCS88" s="356"/>
      <c r="XCT88" s="356"/>
      <c r="XCU88" s="356"/>
      <c r="XCV88" s="356"/>
      <c r="XCW88" s="356"/>
      <c r="XCX88" s="356"/>
      <c r="XCY88" s="356"/>
      <c r="XCZ88" s="356"/>
      <c r="XDA88" s="356"/>
      <c r="XDB88" s="356"/>
      <c r="XDC88" s="356"/>
      <c r="XDD88" s="356"/>
      <c r="XDE88" s="356"/>
      <c r="XDF88" s="356"/>
      <c r="XDG88" s="356"/>
      <c r="XDH88" s="356"/>
      <c r="XDI88" s="356"/>
      <c r="XDJ88" s="356"/>
      <c r="XDK88" s="356"/>
      <c r="XDL88" s="356"/>
      <c r="XDM88" s="356"/>
      <c r="XDN88" s="356"/>
      <c r="XDO88" s="356"/>
      <c r="XDP88" s="356"/>
      <c r="XDQ88" s="356"/>
      <c r="XDR88" s="356"/>
      <c r="XDS88" s="356"/>
      <c r="XDT88" s="356"/>
      <c r="XDU88" s="356"/>
      <c r="XDV88" s="356"/>
      <c r="XDW88" s="356"/>
      <c r="XDX88" s="356"/>
      <c r="XDY88" s="356"/>
      <c r="XDZ88" s="356"/>
      <c r="XEA88" s="356"/>
      <c r="XEB88" s="356"/>
      <c r="XEC88" s="356"/>
      <c r="XED88" s="356"/>
      <c r="XEE88" s="356"/>
      <c r="XEF88" s="356"/>
      <c r="XEG88" s="356"/>
      <c r="XEH88" s="356"/>
      <c r="XEI88" s="356"/>
      <c r="XEJ88" s="356"/>
      <c r="XEK88" s="356"/>
      <c r="XEL88" s="356"/>
      <c r="XEM88" s="356"/>
      <c r="XEN88" s="356"/>
      <c r="XEO88" s="356"/>
      <c r="XEP88" s="356"/>
      <c r="XEQ88" s="356"/>
      <c r="XER88" s="356"/>
      <c r="XES88" s="356"/>
      <c r="XET88" s="356"/>
      <c r="XEU88" s="356"/>
      <c r="XEV88" s="356"/>
      <c r="XEW88" s="356"/>
      <c r="XEX88" s="356"/>
      <c r="XEY88" s="356"/>
      <c r="XEZ88" s="356"/>
      <c r="XFA88" s="356"/>
      <c r="XFB88" s="356"/>
      <c r="XFC88" s="356"/>
      <c r="XFD88" s="356"/>
    </row>
    <row r="89" spans="2:16384" ht="13.5">
      <c r="B89" s="1216"/>
      <c r="C89" s="1197"/>
      <c r="D89" s="2063"/>
      <c r="E89" s="1309"/>
      <c r="F89" s="2204"/>
      <c r="G89" s="2190"/>
      <c r="H89" s="2190"/>
      <c r="I89" s="1220"/>
      <c r="J89" s="1579"/>
      <c r="K89" s="1216"/>
      <c r="L89" s="1628" t="s">
        <v>1053</v>
      </c>
      <c r="M89" s="1197"/>
      <c r="N89" s="1197"/>
      <c r="O89" s="1197"/>
      <c r="P89" s="1197"/>
      <c r="R89" s="1505" t="s">
        <v>1837</v>
      </c>
      <c r="S89" s="1705">
        <v>0</v>
      </c>
      <c r="T89" s="1220"/>
      <c r="U89" s="356"/>
      <c r="AH89" s="1593"/>
      <c r="AI89" s="1593"/>
      <c r="AJ89" s="1593"/>
      <c r="AK89" s="1593"/>
      <c r="AL89" s="1593"/>
      <c r="AM89" s="1593"/>
      <c r="AN89" s="1593"/>
      <c r="AO89" s="1593"/>
      <c r="AP89" s="1593"/>
      <c r="AQ89" s="1593"/>
      <c r="AR89" s="1593"/>
      <c r="AS89" s="1593"/>
      <c r="AT89" s="1593"/>
      <c r="AU89" s="1593"/>
      <c r="AV89" s="1593"/>
      <c r="AW89" s="1593"/>
      <c r="AX89" s="1593"/>
      <c r="AY89" s="1593"/>
      <c r="AZ89" s="1593"/>
      <c r="BA89" s="1593"/>
      <c r="BB89" s="1593"/>
      <c r="BC89" s="1593"/>
      <c r="BD89" s="1593"/>
    </row>
    <row r="90" spans="2:16384" ht="13.5">
      <c r="B90" s="1216"/>
      <c r="C90" s="1197"/>
      <c r="D90" s="2063"/>
      <c r="E90" s="1309"/>
      <c r="F90" s="2204"/>
      <c r="G90" s="2190"/>
      <c r="H90" s="2190"/>
      <c r="I90" s="1220"/>
      <c r="J90" s="1579"/>
      <c r="K90" s="1216"/>
      <c r="L90" s="1509" t="s">
        <v>1055</v>
      </c>
      <c r="M90" s="1197"/>
      <c r="N90" s="1197"/>
      <c r="O90" s="1197"/>
      <c r="P90" s="1197"/>
      <c r="R90" s="1505" t="s">
        <v>1837</v>
      </c>
      <c r="S90" s="1706">
        <v>5.0000000000000001E-3</v>
      </c>
      <c r="T90" s="1220"/>
      <c r="U90" s="356"/>
      <c r="AH90" s="1593"/>
      <c r="AI90" s="1593"/>
      <c r="AJ90" s="1593"/>
      <c r="AK90" s="1593"/>
      <c r="AL90" s="1593"/>
      <c r="AM90" s="1593"/>
      <c r="AN90" s="1593"/>
      <c r="AO90" s="1593"/>
      <c r="AP90" s="1593"/>
      <c r="AQ90" s="1593"/>
      <c r="AR90" s="1593"/>
      <c r="AS90" s="1593"/>
      <c r="AT90" s="1593"/>
      <c r="AU90" s="1593"/>
      <c r="AV90" s="1593"/>
      <c r="AW90" s="1593"/>
      <c r="AX90" s="1593"/>
      <c r="AY90" s="1593"/>
      <c r="AZ90" s="1593"/>
      <c r="BA90" s="1593"/>
      <c r="BB90" s="1593"/>
      <c r="BC90" s="1593"/>
      <c r="BD90" s="1593"/>
    </row>
    <row r="91" spans="2:16384" ht="13.5">
      <c r="B91" s="1707"/>
      <c r="C91" s="1441"/>
      <c r="D91" s="2211"/>
      <c r="E91" s="2212"/>
      <c r="F91" s="2213"/>
      <c r="G91" s="2214"/>
      <c r="H91" s="2214"/>
      <c r="I91" s="1708"/>
      <c r="J91" s="1579"/>
      <c r="K91" s="1707"/>
      <c r="L91" s="1709" t="s">
        <v>1057</v>
      </c>
      <c r="M91" s="1441"/>
      <c r="N91" s="1441"/>
      <c r="O91" s="1441"/>
      <c r="P91" s="1441"/>
      <c r="Q91" s="1446"/>
      <c r="R91" s="1710" t="s">
        <v>1838</v>
      </c>
      <c r="S91" s="1711">
        <v>0.15</v>
      </c>
      <c r="T91" s="1708"/>
      <c r="U91" s="356"/>
      <c r="AH91" s="1593"/>
      <c r="AI91" s="1593"/>
      <c r="AJ91" s="1593"/>
      <c r="AK91" s="1593"/>
      <c r="AL91" s="1593"/>
      <c r="AM91" s="1593"/>
      <c r="AN91" s="1593"/>
      <c r="AO91" s="1593"/>
      <c r="AP91" s="1593"/>
      <c r="AQ91" s="1593"/>
      <c r="AR91" s="1593"/>
      <c r="AS91" s="1593"/>
      <c r="AT91" s="1593"/>
      <c r="AU91" s="1593"/>
      <c r="AV91" s="1593"/>
      <c r="AW91" s="1593"/>
      <c r="AX91" s="1593"/>
      <c r="AY91" s="1593"/>
      <c r="AZ91" s="1593"/>
      <c r="BA91" s="1593"/>
      <c r="BB91" s="1593"/>
      <c r="BC91" s="1593"/>
      <c r="BD91" s="1593"/>
    </row>
    <row r="92" spans="2:16384" ht="13.5" thickBot="1">
      <c r="B92" s="2215"/>
      <c r="C92" s="2215"/>
      <c r="D92" s="2215"/>
      <c r="E92" s="2215"/>
      <c r="F92" s="2216"/>
      <c r="G92" s="2217"/>
      <c r="H92" s="2218"/>
      <c r="I92" s="2215"/>
      <c r="J92" s="1715"/>
      <c r="K92" s="1716"/>
      <c r="L92" s="1716"/>
      <c r="M92" s="1716"/>
      <c r="N92" s="1716"/>
      <c r="O92" s="1716"/>
      <c r="P92" s="1716"/>
      <c r="Q92" s="1716"/>
      <c r="R92" s="1716"/>
      <c r="S92" s="1716"/>
      <c r="T92" s="1716"/>
      <c r="U92" s="356"/>
      <c r="AH92" s="1593"/>
      <c r="AI92" s="1593"/>
      <c r="AJ92" s="1593"/>
      <c r="AK92" s="1593"/>
      <c r="AL92" s="1593"/>
      <c r="AM92" s="1593"/>
      <c r="AN92" s="1593"/>
      <c r="AO92" s="1593"/>
      <c r="AP92" s="1593"/>
      <c r="AQ92" s="1593"/>
      <c r="AR92" s="1593"/>
      <c r="AS92" s="1593"/>
      <c r="AT92" s="1593"/>
      <c r="AU92" s="1593"/>
      <c r="AV92" s="1593"/>
      <c r="AW92" s="1593"/>
      <c r="AX92" s="1593"/>
      <c r="AY92" s="1593"/>
      <c r="AZ92" s="1593"/>
      <c r="BA92" s="1593"/>
      <c r="BB92" s="1593"/>
      <c r="BC92" s="1593"/>
      <c r="BD92" s="1593"/>
    </row>
    <row r="93" spans="2:16384" ht="12.75">
      <c r="J93" s="1579"/>
      <c r="U93" s="356"/>
      <c r="AH93" s="1593"/>
      <c r="AI93" s="1593"/>
      <c r="AJ93" s="1593"/>
      <c r="AK93" s="1593"/>
      <c r="AL93" s="1593"/>
      <c r="AM93" s="1593"/>
      <c r="AN93" s="1593"/>
      <c r="AO93" s="1593"/>
      <c r="AP93" s="1593"/>
      <c r="AQ93" s="1593"/>
      <c r="AR93" s="1593"/>
      <c r="AS93" s="1593"/>
      <c r="AT93" s="1593"/>
      <c r="AU93" s="1593"/>
      <c r="AV93" s="1593"/>
      <c r="AW93" s="1593"/>
      <c r="AX93" s="1593"/>
      <c r="AY93" s="1593"/>
      <c r="AZ93" s="1593"/>
      <c r="BA93" s="1593"/>
      <c r="BB93" s="1593"/>
      <c r="BC93" s="1593"/>
      <c r="BD93" s="1593"/>
    </row>
    <row r="94" spans="2:16384" ht="13.5">
      <c r="B94" s="1418"/>
      <c r="C94" s="1418"/>
      <c r="D94" s="2219" t="s">
        <v>1839</v>
      </c>
      <c r="E94" s="1418"/>
      <c r="F94" s="1418"/>
      <c r="G94" s="2220" t="s">
        <v>1840</v>
      </c>
      <c r="H94" s="2220" t="s">
        <v>1841</v>
      </c>
      <c r="I94" s="1418"/>
      <c r="J94" s="1579"/>
      <c r="K94" s="1721"/>
      <c r="L94" s="1721"/>
      <c r="M94" s="2221" t="s">
        <v>1842</v>
      </c>
      <c r="N94" s="2222" t="str">
        <f>G73</f>
        <v>선순위(Tr-A)</v>
      </c>
      <c r="O94" s="2222" t="str">
        <f>H73</f>
        <v>중순위(Tr-B)</v>
      </c>
      <c r="AH94" s="1593"/>
      <c r="AI94" s="1593"/>
      <c r="AJ94" s="1593"/>
      <c r="AK94" s="1593"/>
      <c r="AL94" s="1593"/>
      <c r="AM94" s="1593"/>
      <c r="AN94" s="1593"/>
      <c r="AO94" s="1593"/>
      <c r="AP94" s="1593"/>
      <c r="AQ94" s="1593"/>
      <c r="AR94" s="1593"/>
      <c r="AS94" s="1593"/>
      <c r="AT94" s="1593"/>
      <c r="AU94" s="1593"/>
      <c r="AV94" s="1593"/>
      <c r="AW94" s="1593"/>
      <c r="AX94" s="1593"/>
      <c r="AY94" s="1593"/>
      <c r="AZ94" s="1593"/>
      <c r="BA94" s="1593"/>
      <c r="BB94" s="1593"/>
      <c r="BC94" s="1593"/>
      <c r="BD94" s="1593"/>
    </row>
    <row r="95" spans="2:16384" ht="13.5">
      <c r="B95" s="1385"/>
      <c r="C95" s="1385"/>
      <c r="D95" s="1385"/>
      <c r="E95" s="2223">
        <f>E80</f>
        <v>45504</v>
      </c>
      <c r="F95" s="2224">
        <f>EOMONTH(E95,3-1)</f>
        <v>45565</v>
      </c>
      <c r="G95" s="2225">
        <v>0.05</v>
      </c>
      <c r="H95" s="2226">
        <v>0.04</v>
      </c>
      <c r="I95" s="1418"/>
      <c r="J95" s="1579"/>
      <c r="K95" s="1721"/>
      <c r="L95" s="1721"/>
      <c r="M95" s="2227" t="str">
        <f>E75</f>
        <v>&lt;1차&gt;</v>
      </c>
      <c r="N95" s="2228">
        <f>H95+G84/2</f>
        <v>4.9000000000000002E-2</v>
      </c>
      <c r="O95" s="2229">
        <f>H80+H84/2</f>
        <v>7.5000000000000011E-2</v>
      </c>
      <c r="AH95" s="1593"/>
      <c r="AI95" s="1593"/>
      <c r="AJ95" s="1593"/>
      <c r="AK95" s="1593"/>
      <c r="AL95" s="1593"/>
      <c r="AM95" s="1593"/>
      <c r="AN95" s="1593"/>
      <c r="AO95" s="1593"/>
      <c r="AP95" s="1593"/>
      <c r="AQ95" s="1593"/>
      <c r="AR95" s="1593"/>
      <c r="AS95" s="1593"/>
      <c r="AT95" s="1593"/>
      <c r="AU95" s="1593"/>
      <c r="AV95" s="1593"/>
      <c r="AW95" s="1593"/>
      <c r="AX95" s="1593"/>
      <c r="AY95" s="1593"/>
      <c r="AZ95" s="1593"/>
      <c r="BA95" s="1593"/>
      <c r="BB95" s="1593"/>
      <c r="BC95" s="1593"/>
      <c r="BD95" s="1593"/>
    </row>
    <row r="96" spans="2:16384" ht="13.5">
      <c r="B96" s="1385"/>
      <c r="C96" s="1385"/>
      <c r="D96" s="1385"/>
      <c r="E96" s="2230">
        <f t="shared" ref="E96:E102" si="27">EOMONTH(F95,1)</f>
        <v>45596</v>
      </c>
      <c r="F96" s="2231">
        <f t="shared" ref="F96:F102" si="28">EOMONTH(F95,3)</f>
        <v>45657</v>
      </c>
      <c r="G96" s="2232">
        <f t="shared" ref="G96:G102" si="29">G95-(5%-3.8%)/7</f>
        <v>4.8285714285714286E-2</v>
      </c>
      <c r="H96" s="2233">
        <f>H95</f>
        <v>0.04</v>
      </c>
      <c r="I96" s="1418"/>
      <c r="J96" s="1579"/>
      <c r="K96" s="1721"/>
      <c r="L96" s="1721"/>
      <c r="M96" s="2227" t="str">
        <f t="shared" ref="M96:M97" si="30">E76</f>
        <v>&lt;2차&gt;</v>
      </c>
      <c r="N96" s="2229">
        <f>G81+G85/2</f>
        <v>0.04</v>
      </c>
      <c r="O96" s="2229">
        <f>H81+H85/2</f>
        <v>5.5E-2</v>
      </c>
      <c r="AH96" s="1593"/>
      <c r="AI96" s="1593"/>
      <c r="AJ96" s="1593"/>
      <c r="AK96" s="1593"/>
      <c r="AL96" s="1593"/>
      <c r="AM96" s="1593"/>
      <c r="AN96" s="1593"/>
      <c r="AO96" s="1593"/>
      <c r="AP96" s="1593"/>
      <c r="AQ96" s="1593"/>
      <c r="AR96" s="1593"/>
      <c r="AS96" s="1593"/>
      <c r="AT96" s="1593"/>
      <c r="AU96" s="1593"/>
      <c r="AV96" s="1593"/>
      <c r="AW96" s="1593"/>
      <c r="AX96" s="1593"/>
      <c r="AY96" s="1593"/>
      <c r="AZ96" s="1593"/>
      <c r="BA96" s="1593"/>
      <c r="BB96" s="1593"/>
      <c r="BC96" s="1593"/>
      <c r="BD96" s="1593"/>
    </row>
    <row r="97" spans="1:56" ht="13.5">
      <c r="B97" s="1385"/>
      <c r="C97" s="1385"/>
      <c r="D97" s="1385"/>
      <c r="E97" s="2230">
        <f t="shared" si="27"/>
        <v>45688</v>
      </c>
      <c r="F97" s="2231">
        <f t="shared" si="28"/>
        <v>45747</v>
      </c>
      <c r="G97" s="2232">
        <f t="shared" si="29"/>
        <v>4.6571428571428569E-2</v>
      </c>
      <c r="H97" s="2233">
        <f t="shared" ref="H97:H102" si="31">H96</f>
        <v>0.04</v>
      </c>
      <c r="I97" s="1418"/>
      <c r="J97" s="1579"/>
      <c r="K97" s="1721"/>
      <c r="L97" s="1721"/>
      <c r="M97" s="2227" t="str">
        <f t="shared" si="30"/>
        <v>&lt;3차&gt;</v>
      </c>
      <c r="N97" s="2229">
        <f>G82+G86/3</f>
        <v>3.0000000000000002E-2</v>
      </c>
      <c r="O97" s="2229">
        <f>H82+H86/3</f>
        <v>4.4999999999999998E-2</v>
      </c>
      <c r="AH97" s="1593"/>
      <c r="AI97" s="1593"/>
      <c r="AJ97" s="1593"/>
      <c r="AK97" s="1593"/>
      <c r="AL97" s="1593"/>
      <c r="AM97" s="1593"/>
      <c r="AN97" s="1593"/>
      <c r="AO97" s="1593"/>
      <c r="AP97" s="1593"/>
      <c r="AQ97" s="1593"/>
      <c r="AR97" s="1593"/>
      <c r="AS97" s="1593"/>
      <c r="AT97" s="1593"/>
      <c r="AU97" s="1593"/>
      <c r="AV97" s="1593"/>
      <c r="AW97" s="1593"/>
      <c r="AX97" s="1593"/>
      <c r="AY97" s="1593"/>
      <c r="AZ97" s="1593"/>
      <c r="BA97" s="1593"/>
      <c r="BB97" s="1593"/>
      <c r="BC97" s="1593"/>
      <c r="BD97" s="1593"/>
    </row>
    <row r="98" spans="1:56" ht="13.5">
      <c r="B98" s="1385"/>
      <c r="C98" s="1385"/>
      <c r="D98" s="1385"/>
      <c r="E98" s="2230">
        <f t="shared" si="27"/>
        <v>45777</v>
      </c>
      <c r="F98" s="2231">
        <f t="shared" si="28"/>
        <v>45838</v>
      </c>
      <c r="G98" s="2232">
        <f t="shared" si="29"/>
        <v>4.4857142857142852E-2</v>
      </c>
      <c r="H98" s="2233">
        <f t="shared" si="31"/>
        <v>0.04</v>
      </c>
      <c r="I98" s="1418"/>
      <c r="J98" s="1579"/>
      <c r="M98" s="2234"/>
      <c r="AH98" s="1593"/>
      <c r="AI98" s="1593"/>
      <c r="AJ98" s="1593"/>
      <c r="AK98" s="1593"/>
      <c r="AL98" s="1593"/>
      <c r="AM98" s="1593"/>
      <c r="AN98" s="1593"/>
      <c r="AO98" s="1593"/>
      <c r="AP98" s="1593"/>
      <c r="AQ98" s="1593"/>
      <c r="AR98" s="1593"/>
      <c r="AS98" s="1593"/>
      <c r="AT98" s="1593"/>
      <c r="AU98" s="1593"/>
      <c r="AV98" s="1593"/>
      <c r="AW98" s="1593"/>
      <c r="AX98" s="1593"/>
      <c r="AY98" s="1593"/>
      <c r="AZ98" s="1593"/>
      <c r="BA98" s="1593"/>
      <c r="BB98" s="1593"/>
      <c r="BC98" s="1593"/>
      <c r="BD98" s="1593"/>
    </row>
    <row r="99" spans="1:56" ht="16.5">
      <c r="B99" s="1385"/>
      <c r="C99" s="1385"/>
      <c r="D99" s="1385"/>
      <c r="E99" s="2230">
        <f t="shared" si="27"/>
        <v>45869</v>
      </c>
      <c r="F99" s="2231">
        <f t="shared" si="28"/>
        <v>45930</v>
      </c>
      <c r="G99" s="2232">
        <f t="shared" si="29"/>
        <v>4.3142857142857136E-2</v>
      </c>
      <c r="H99" s="2233">
        <f t="shared" si="31"/>
        <v>0.04</v>
      </c>
      <c r="I99" s="1418"/>
      <c r="J99" s="1579"/>
      <c r="K99" s="1718"/>
      <c r="L99" s="2219" t="s">
        <v>1843</v>
      </c>
      <c r="M99"/>
      <c r="N99"/>
      <c r="O99"/>
      <c r="V99" s="1684"/>
      <c r="W99" s="1685" t="s">
        <v>1050</v>
      </c>
      <c r="X99" s="1686"/>
      <c r="Y99" s="1686"/>
      <c r="Z99" s="1686"/>
      <c r="AA99" s="1687"/>
      <c r="AB99" s="1687"/>
      <c r="AC99" s="1687"/>
      <c r="AD99" s="1688"/>
      <c r="AH99" s="1593"/>
      <c r="AI99" s="1593"/>
      <c r="AJ99" s="1593"/>
      <c r="AK99" s="1593"/>
      <c r="AL99" s="1593"/>
      <c r="AM99" s="1593"/>
      <c r="AN99" s="1593"/>
      <c r="AO99" s="1593"/>
      <c r="AP99" s="1593"/>
      <c r="AQ99" s="1593"/>
      <c r="AR99" s="1593"/>
      <c r="AS99" s="1593"/>
      <c r="AT99" s="1593"/>
      <c r="AU99" s="1593"/>
      <c r="AV99" s="1593"/>
      <c r="AW99" s="1593"/>
      <c r="AX99" s="1593"/>
      <c r="AY99" s="1593"/>
      <c r="AZ99" s="1593"/>
      <c r="BA99" s="1593"/>
      <c r="BB99" s="1593"/>
      <c r="BC99" s="1593"/>
      <c r="BD99" s="1593"/>
    </row>
    <row r="100" spans="1:56" ht="16.5">
      <c r="B100" s="1385"/>
      <c r="C100" s="1385"/>
      <c r="D100" s="1385"/>
      <c r="E100" s="2230">
        <f t="shared" si="27"/>
        <v>45961</v>
      </c>
      <c r="F100" s="2231">
        <f t="shared" si="28"/>
        <v>46022</v>
      </c>
      <c r="G100" s="2232">
        <f t="shared" si="29"/>
        <v>4.1428571428571419E-2</v>
      </c>
      <c r="H100" s="2233">
        <f t="shared" si="31"/>
        <v>0.04</v>
      </c>
      <c r="I100" s="1418"/>
      <c r="J100" s="1579"/>
      <c r="K100" s="1718"/>
      <c r="L100" s="1718"/>
      <c r="M100"/>
      <c r="N100"/>
      <c r="O100"/>
      <c r="V100" s="1691"/>
      <c r="W100" s="1692"/>
      <c r="X100" s="1692" t="s">
        <v>1844</v>
      </c>
      <c r="Y100" s="1693"/>
      <c r="Z100" s="1693"/>
      <c r="AA100" s="1694"/>
      <c r="AB100" s="1695"/>
      <c r="AC100" s="1696">
        <v>31866.796179109504</v>
      </c>
      <c r="AD100" s="1697"/>
      <c r="AH100" s="1593"/>
      <c r="AI100" s="1593"/>
      <c r="AJ100" s="1593"/>
      <c r="AK100" s="1593"/>
      <c r="AL100" s="1593"/>
      <c r="AM100" s="1593"/>
      <c r="AN100" s="1593"/>
      <c r="AO100" s="1593"/>
      <c r="AP100" s="1593"/>
      <c r="AQ100" s="1593"/>
      <c r="AR100" s="1593"/>
      <c r="AS100" s="1593"/>
      <c r="AT100" s="1593"/>
      <c r="AU100" s="1593"/>
      <c r="AV100" s="1593"/>
      <c r="AW100" s="1593"/>
      <c r="AX100" s="1593"/>
      <c r="AY100" s="1593"/>
      <c r="AZ100" s="1593"/>
      <c r="BA100" s="1593"/>
      <c r="BB100" s="1593"/>
      <c r="BC100" s="1593"/>
      <c r="BD100" s="1593"/>
    </row>
    <row r="101" spans="1:56" ht="16.5">
      <c r="B101" s="1385"/>
      <c r="C101" s="1385"/>
      <c r="D101" s="1385"/>
      <c r="E101" s="2230">
        <f t="shared" si="27"/>
        <v>46053</v>
      </c>
      <c r="F101" s="2231">
        <f t="shared" si="28"/>
        <v>46112</v>
      </c>
      <c r="G101" s="2232">
        <f t="shared" si="29"/>
        <v>3.9714285714285702E-2</v>
      </c>
      <c r="H101" s="2233">
        <f t="shared" si="31"/>
        <v>0.04</v>
      </c>
      <c r="I101" s="1418"/>
      <c r="J101" s="1579"/>
      <c r="K101" s="1718"/>
      <c r="L101" s="1718"/>
      <c r="M101"/>
      <c r="N101"/>
      <c r="O101"/>
      <c r="V101" s="1691"/>
      <c r="W101" s="1692"/>
      <c r="X101" s="1692" t="s">
        <v>1845</v>
      </c>
      <c r="Y101" s="1693"/>
      <c r="Z101" s="1693"/>
      <c r="AA101" s="1694"/>
      <c r="AB101" s="1695"/>
      <c r="AC101" s="1696">
        <v>6079.0683333799443</v>
      </c>
      <c r="AD101" s="1697"/>
      <c r="AH101" s="1593"/>
      <c r="AI101" s="1593"/>
      <c r="AJ101" s="1593"/>
      <c r="AK101" s="1593"/>
      <c r="AL101" s="1593"/>
      <c r="AM101" s="1593"/>
      <c r="AN101" s="1593"/>
      <c r="AO101" s="1593"/>
      <c r="AP101" s="1593"/>
      <c r="AQ101" s="1593"/>
      <c r="AR101" s="1593"/>
      <c r="AS101" s="1593"/>
      <c r="AT101" s="1593"/>
      <c r="AU101" s="1593"/>
      <c r="AV101" s="1593"/>
      <c r="AW101" s="1593"/>
      <c r="AX101" s="1593"/>
      <c r="AY101" s="1593"/>
      <c r="AZ101" s="1593"/>
      <c r="BA101" s="1593"/>
      <c r="BB101" s="1593"/>
      <c r="BC101" s="1593"/>
      <c r="BD101" s="1593"/>
    </row>
    <row r="102" spans="1:56" ht="16.5">
      <c r="B102" s="1385"/>
      <c r="C102" s="1385"/>
      <c r="D102" s="1385"/>
      <c r="E102" s="2230">
        <f t="shared" si="27"/>
        <v>46142</v>
      </c>
      <c r="F102" s="2231">
        <f t="shared" si="28"/>
        <v>46203</v>
      </c>
      <c r="G102" s="2232">
        <f t="shared" si="29"/>
        <v>3.7999999999999985E-2</v>
      </c>
      <c r="H102" s="2233">
        <f t="shared" si="31"/>
        <v>0.04</v>
      </c>
      <c r="I102" s="1418"/>
      <c r="J102" s="1579"/>
      <c r="K102" s="1718"/>
      <c r="L102" s="1718"/>
      <c r="M102"/>
      <c r="N102"/>
      <c r="O102"/>
      <c r="V102" s="1691"/>
      <c r="W102" s="1692"/>
      <c r="X102" s="1692" t="s">
        <v>1846</v>
      </c>
      <c r="Y102" s="1693"/>
      <c r="Z102" s="1693"/>
      <c r="AA102" s="1694" t="s">
        <v>1847</v>
      </c>
      <c r="AB102" s="1695"/>
      <c r="AC102" s="1700">
        <f>AC100-AC101</f>
        <v>25787.727845729562</v>
      </c>
      <c r="AD102" s="1697"/>
      <c r="AH102" s="1593"/>
      <c r="AI102" s="1593"/>
      <c r="AJ102" s="1593"/>
      <c r="AK102" s="1593"/>
      <c r="AL102" s="1593"/>
      <c r="AM102" s="1593"/>
      <c r="AN102" s="1593"/>
      <c r="AO102" s="1593"/>
      <c r="AP102" s="1593"/>
      <c r="AQ102" s="1593"/>
      <c r="AR102" s="1593"/>
      <c r="AS102" s="1593"/>
      <c r="AT102" s="1593"/>
      <c r="AU102" s="1593"/>
      <c r="AV102" s="1593"/>
      <c r="AW102" s="1593"/>
      <c r="AX102" s="1593"/>
      <c r="AY102" s="1593"/>
      <c r="AZ102" s="1593"/>
      <c r="BA102" s="1593"/>
      <c r="BB102" s="1593"/>
      <c r="BC102" s="1593"/>
      <c r="BD102" s="1593"/>
    </row>
    <row r="103" spans="1:56" ht="16.5">
      <c r="J103" s="1579"/>
      <c r="K103" s="1718"/>
      <c r="L103" s="1718"/>
      <c r="M103"/>
      <c r="N103"/>
      <c r="O103"/>
      <c r="V103" s="1691"/>
      <c r="W103" s="1692"/>
      <c r="X103" s="1692" t="s">
        <v>1051</v>
      </c>
      <c r="Y103" s="1693"/>
      <c r="Z103" s="1693"/>
      <c r="AA103" s="1694" t="s">
        <v>1848</v>
      </c>
      <c r="AB103" s="1695"/>
      <c r="AC103" s="1696">
        <f>$H$70</f>
        <v>7631.1275019999593</v>
      </c>
      <c r="AD103" s="1697"/>
      <c r="AH103" s="1593"/>
      <c r="AI103" s="1593"/>
      <c r="AJ103" s="1593"/>
      <c r="AK103" s="1593"/>
      <c r="AL103" s="1593"/>
      <c r="AM103" s="1593"/>
      <c r="AN103" s="1593"/>
      <c r="AO103" s="1593"/>
      <c r="AP103" s="1593"/>
      <c r="AQ103" s="1593"/>
      <c r="AR103" s="1593"/>
      <c r="AS103" s="1593"/>
      <c r="AT103" s="1593"/>
      <c r="AU103" s="1593"/>
      <c r="AV103" s="1593"/>
      <c r="AW103" s="1593"/>
      <c r="AX103" s="1593"/>
      <c r="AY103" s="1593"/>
      <c r="AZ103" s="1593"/>
      <c r="BA103" s="1593"/>
      <c r="BB103" s="1593"/>
      <c r="BC103" s="1593"/>
      <c r="BD103" s="1593"/>
    </row>
    <row r="104" spans="1:56" ht="16.5">
      <c r="B104" s="1717"/>
      <c r="C104" s="1718"/>
      <c r="D104" s="1719" t="s">
        <v>1849</v>
      </c>
      <c r="E104" s="1718"/>
      <c r="F104" s="1717"/>
      <c r="G104" s="1718"/>
      <c r="H104" s="1717"/>
      <c r="I104" s="1718"/>
      <c r="J104" s="1509"/>
      <c r="K104" s="1718"/>
      <c r="L104" s="1718"/>
      <c r="M104"/>
      <c r="N104"/>
      <c r="O104"/>
      <c r="V104" s="1691"/>
      <c r="W104" s="1692"/>
      <c r="X104" s="1692" t="s">
        <v>1850</v>
      </c>
      <c r="Y104" s="1693"/>
      <c r="Z104" s="1693"/>
      <c r="AA104" s="1694" t="s">
        <v>1054</v>
      </c>
      <c r="AB104" s="1695"/>
      <c r="AC104" s="1696">
        <v>754636.96616800001</v>
      </c>
      <c r="AD104" s="2387">
        <f>AC109+AC110</f>
        <v>754636.96616800001</v>
      </c>
      <c r="AH104" s="1593"/>
      <c r="AI104" s="1593"/>
      <c r="AJ104" s="1593"/>
      <c r="AK104" s="1593"/>
      <c r="AL104" s="1593"/>
      <c r="AM104" s="1593"/>
      <c r="AN104" s="1593"/>
      <c r="AO104" s="1593"/>
      <c r="AP104" s="1593"/>
      <c r="AQ104" s="1593"/>
      <c r="AR104" s="1593"/>
      <c r="AS104" s="1593"/>
      <c r="AT104" s="1593"/>
      <c r="AU104" s="1593"/>
      <c r="AW104" s="1198"/>
    </row>
    <row r="105" spans="1:56" ht="16.5">
      <c r="B105" s="1717"/>
      <c r="C105" s="1718"/>
      <c r="D105" s="1717"/>
      <c r="E105" s="1720" t="s">
        <v>1851</v>
      </c>
      <c r="F105" s="1718"/>
      <c r="G105" s="1720" t="s">
        <v>1058</v>
      </c>
      <c r="H105" s="1717"/>
      <c r="I105" s="1718"/>
      <c r="J105" s="1509"/>
      <c r="K105" s="1718"/>
      <c r="L105" s="1718"/>
      <c r="M105"/>
      <c r="N105"/>
      <c r="O105"/>
      <c r="V105" s="1691"/>
      <c r="W105" s="1692"/>
      <c r="X105" s="1692" t="s">
        <v>1050</v>
      </c>
      <c r="Y105" s="1693"/>
      <c r="Z105" s="1693"/>
      <c r="AA105" s="1694" t="s">
        <v>1056</v>
      </c>
      <c r="AB105" s="1695"/>
      <c r="AC105" s="2235">
        <f>AC102/(AC104-AC103)</f>
        <v>3.4521454198779999E-2</v>
      </c>
      <c r="AD105" s="1697"/>
      <c r="AH105" s="1593"/>
      <c r="AI105" s="1593"/>
      <c r="AJ105" s="1593"/>
      <c r="AK105" s="1593"/>
      <c r="AL105" s="1593"/>
      <c r="AM105" s="1593"/>
      <c r="AN105" s="1593"/>
      <c r="AO105" s="1593"/>
      <c r="AP105" s="1593"/>
      <c r="AQ105" s="1593"/>
      <c r="AR105" s="1593"/>
      <c r="AS105" s="1593"/>
      <c r="AT105" s="1593"/>
      <c r="AU105" s="1593"/>
      <c r="AW105" s="1198"/>
    </row>
    <row r="106" spans="1:56" ht="16.5">
      <c r="B106" s="1717"/>
      <c r="C106" s="1718"/>
      <c r="D106" s="1717" t="s">
        <v>1852</v>
      </c>
      <c r="E106" s="1722">
        <v>9329.2000000000007</v>
      </c>
      <c r="F106" s="1723">
        <f>0.3025*E106</f>
        <v>2822.0830000000001</v>
      </c>
      <c r="G106" s="1722">
        <v>7427.53</v>
      </c>
      <c r="H106" s="1723">
        <f>0.3025*G106</f>
        <v>2246.8278249999998</v>
      </c>
      <c r="I106" s="1718"/>
      <c r="J106" s="1509"/>
      <c r="K106" s="1718"/>
      <c r="L106" s="1718"/>
      <c r="M106"/>
      <c r="N106"/>
      <c r="O106"/>
      <c r="V106" s="1712"/>
      <c r="W106" s="1713"/>
      <c r="X106" s="1713"/>
      <c r="Y106" s="1713"/>
      <c r="Z106" s="1713"/>
      <c r="AA106" s="1713"/>
      <c r="AB106" s="1713"/>
      <c r="AC106" s="1713"/>
      <c r="AD106" s="1714"/>
      <c r="AH106" s="1593"/>
      <c r="AI106" s="1593"/>
      <c r="AJ106" s="1593"/>
      <c r="AK106" s="1593"/>
      <c r="AL106" s="1593"/>
      <c r="AM106" s="1593"/>
      <c r="AN106" s="1593"/>
      <c r="AO106" s="1593"/>
      <c r="AP106" s="1593"/>
      <c r="AQ106" s="1593"/>
      <c r="AR106" s="1593"/>
      <c r="AS106" s="1593"/>
      <c r="AT106" s="1593"/>
      <c r="AU106" s="1593"/>
      <c r="AW106" s="1198"/>
    </row>
    <row r="107" spans="1:56" ht="16.5">
      <c r="A107" s="1579"/>
      <c r="B107" s="1717"/>
      <c r="C107" s="1718"/>
      <c r="D107" s="1717" t="s">
        <v>1853</v>
      </c>
      <c r="E107" s="1722">
        <v>9066.2999999999993</v>
      </c>
      <c r="F107" s="1723">
        <f>0.3025*E107</f>
        <v>2742.5557499999995</v>
      </c>
      <c r="G107" s="1722">
        <v>3858.76</v>
      </c>
      <c r="H107" s="1723">
        <f>0.3025*G107</f>
        <v>1167.2749000000001</v>
      </c>
      <c r="I107" s="1718"/>
      <c r="J107" s="1509"/>
      <c r="K107" s="1718"/>
      <c r="L107" s="1718"/>
      <c r="M107"/>
      <c r="N107"/>
      <c r="O107"/>
      <c r="AH107" s="1593"/>
      <c r="AI107" s="1593"/>
      <c r="AJ107" s="1593"/>
      <c r="AK107" s="1593"/>
      <c r="AL107" s="1593"/>
      <c r="AM107" s="1593"/>
      <c r="AN107" s="1593"/>
      <c r="AO107" s="1593"/>
      <c r="AP107" s="1593"/>
      <c r="AQ107" s="1593"/>
      <c r="AR107" s="1593"/>
      <c r="AS107" s="1593"/>
      <c r="AT107" s="1593"/>
      <c r="AU107" s="1593"/>
      <c r="AW107" s="1198"/>
    </row>
    <row r="108" spans="1:56" ht="16.5">
      <c r="A108" s="1579"/>
      <c r="B108" s="1717"/>
      <c r="C108" s="1718"/>
      <c r="D108" s="1717" t="s">
        <v>1059</v>
      </c>
      <c r="E108" s="1724">
        <f>SUM(E106:E107)</f>
        <v>18395.5</v>
      </c>
      <c r="F108" s="1725">
        <f>SUM(F106:F107)</f>
        <v>5564.6387500000001</v>
      </c>
      <c r="G108" s="1724">
        <f>SUM(G106:G107)</f>
        <v>11286.29</v>
      </c>
      <c r="H108" s="1725">
        <f>SUM(H106:H107)</f>
        <v>3414.1027249999997</v>
      </c>
      <c r="I108" s="1718"/>
      <c r="J108" s="1509"/>
      <c r="K108" s="1718"/>
      <c r="L108" s="1718"/>
      <c r="M108"/>
      <c r="N108"/>
      <c r="O108"/>
      <c r="AC108" s="2385" t="s">
        <v>2318</v>
      </c>
      <c r="AH108" s="1593"/>
      <c r="AI108" s="1593"/>
      <c r="AJ108" s="1593"/>
      <c r="AK108" s="1593"/>
      <c r="AL108" s="1593"/>
      <c r="AM108" s="1593"/>
      <c r="AN108" s="1593"/>
      <c r="AO108" s="1593"/>
      <c r="AP108" s="1593"/>
      <c r="AQ108" s="1593"/>
      <c r="AR108" s="1593"/>
      <c r="AS108" s="1593"/>
      <c r="AT108" s="1593"/>
      <c r="AU108" s="1593"/>
      <c r="AW108" s="1198"/>
    </row>
    <row r="109" spans="1:56" ht="16.5">
      <c r="A109" s="1579"/>
      <c r="B109" s="1717"/>
      <c r="C109" s="1718"/>
      <c r="D109" s="1717"/>
      <c r="E109" s="1726" t="s">
        <v>1060</v>
      </c>
      <c r="F109" s="1727"/>
      <c r="G109" s="1726" t="s">
        <v>1854</v>
      </c>
      <c r="H109" s="1727"/>
      <c r="I109" s="1718"/>
      <c r="J109" s="1509"/>
      <c r="K109" s="1718"/>
      <c r="L109" s="1718"/>
      <c r="M109"/>
      <c r="N109"/>
      <c r="O109"/>
      <c r="Y109" s="2385" t="s">
        <v>2317</v>
      </c>
      <c r="AA109" s="1198" t="s">
        <v>2315</v>
      </c>
      <c r="AC109" s="2386">
        <v>321831.33733100002</v>
      </c>
      <c r="AH109" s="1593"/>
      <c r="AI109" s="1593"/>
      <c r="AJ109" s="1593"/>
      <c r="AK109" s="1593"/>
      <c r="AL109" s="1593"/>
      <c r="AM109" s="1593"/>
      <c r="AN109" s="1593"/>
      <c r="AO109" s="1593"/>
      <c r="AP109" s="1593"/>
      <c r="AQ109" s="1593"/>
      <c r="AR109" s="1593"/>
      <c r="AS109" s="1593"/>
      <c r="AT109" s="1593"/>
      <c r="AU109" s="1593"/>
      <c r="AW109" s="1198"/>
    </row>
    <row r="110" spans="1:56" ht="16.5">
      <c r="A110" s="1579"/>
      <c r="B110" s="1717"/>
      <c r="C110" s="1718"/>
      <c r="D110" s="1718"/>
      <c r="E110" s="1718"/>
      <c r="F110" s="1728"/>
      <c r="G110" s="1718"/>
      <c r="H110" s="1728"/>
      <c r="I110" s="1718"/>
      <c r="J110" s="1509"/>
      <c r="K110" s="1718"/>
      <c r="L110" s="1718"/>
      <c r="M110"/>
      <c r="N110"/>
      <c r="O110"/>
      <c r="AA110" s="1198" t="s">
        <v>2316</v>
      </c>
      <c r="AC110" s="2386">
        <v>432805.628837</v>
      </c>
      <c r="AH110" s="1593"/>
      <c r="AI110" s="1593"/>
      <c r="AJ110" s="1593"/>
      <c r="AK110" s="1593"/>
      <c r="AL110" s="1593"/>
      <c r="AM110" s="1593"/>
      <c r="AN110" s="1593"/>
      <c r="AO110" s="1593"/>
      <c r="AP110" s="1593"/>
      <c r="AQ110" s="1593"/>
      <c r="AR110" s="1593"/>
      <c r="AS110" s="1593"/>
      <c r="AT110" s="1593"/>
      <c r="AU110" s="1593"/>
      <c r="AW110" s="1198"/>
    </row>
    <row r="111" spans="1:56" ht="16.5">
      <c r="A111" s="1579"/>
      <c r="B111" s="1717"/>
      <c r="C111" s="1718"/>
      <c r="D111" s="1717" t="s">
        <v>1061</v>
      </c>
      <c r="E111" s="1729">
        <v>70324.88</v>
      </c>
      <c r="F111" s="1730">
        <f>0.3025*E111</f>
        <v>21273.2762</v>
      </c>
      <c r="G111" s="1722">
        <v>56010.6</v>
      </c>
      <c r="H111" s="1723">
        <f>0.3025*G111</f>
        <v>16943.2065</v>
      </c>
      <c r="I111" s="1718"/>
      <c r="J111" s="1509"/>
      <c r="M111"/>
      <c r="N111"/>
      <c r="O111"/>
      <c r="AA111" s="2385" t="s">
        <v>2319</v>
      </c>
      <c r="AC111" s="1198">
        <v>-25277.050979</v>
      </c>
      <c r="AH111" s="1593"/>
      <c r="AI111" s="1593"/>
      <c r="AJ111" s="1593"/>
      <c r="AK111" s="1593"/>
      <c r="AL111" s="1593"/>
      <c r="AM111" s="1593"/>
      <c r="AN111" s="1593"/>
      <c r="AO111" s="1593"/>
      <c r="AP111" s="1593"/>
      <c r="AQ111" s="1593"/>
      <c r="AR111" s="1593"/>
      <c r="AS111" s="1593"/>
      <c r="AT111" s="1593"/>
      <c r="AU111" s="1593"/>
      <c r="AW111" s="1198"/>
    </row>
    <row r="112" spans="1:56" ht="13.5">
      <c r="A112" s="1579"/>
      <c r="B112" s="1717"/>
      <c r="C112" s="1718"/>
      <c r="D112" s="1717" t="s">
        <v>1855</v>
      </c>
      <c r="E112" s="1722">
        <v>68473.710000000006</v>
      </c>
      <c r="F112" s="1723">
        <f>0.3025*E112</f>
        <v>20713.297275000001</v>
      </c>
      <c r="G112" s="1729">
        <v>29169.1</v>
      </c>
      <c r="H112" s="1730">
        <f>0.3025*G112</f>
        <v>8823.6527499999993</v>
      </c>
      <c r="I112" s="1718"/>
      <c r="J112" s="1509"/>
      <c r="AH112" s="1593"/>
      <c r="AI112" s="1593"/>
      <c r="AJ112" s="1593"/>
      <c r="AK112" s="1593"/>
      <c r="AL112" s="1593"/>
      <c r="AM112" s="1593"/>
      <c r="AN112" s="1593"/>
      <c r="AO112" s="1593"/>
      <c r="AP112" s="1593"/>
      <c r="AQ112" s="1593"/>
      <c r="AR112" s="1593"/>
      <c r="AS112" s="1593"/>
      <c r="AT112" s="1593"/>
      <c r="AU112" s="1593"/>
      <c r="AW112" s="1198"/>
    </row>
    <row r="113" spans="1:57" ht="13.5">
      <c r="A113" s="1579"/>
      <c r="B113" s="1717"/>
      <c r="C113" s="1718"/>
      <c r="D113" s="1717" t="s">
        <v>1059</v>
      </c>
      <c r="E113" s="1724">
        <f>SUM(E111:E112)</f>
        <v>138798.59000000003</v>
      </c>
      <c r="F113" s="1725">
        <f>SUM(F111:F112)</f>
        <v>41986.573474999997</v>
      </c>
      <c r="G113" s="1724">
        <f>SUM(G111:G112)</f>
        <v>85179.7</v>
      </c>
      <c r="H113" s="1725">
        <f>SUM(H111:H112)</f>
        <v>25766.859250000001</v>
      </c>
      <c r="I113" s="1718"/>
      <c r="J113" s="1509"/>
      <c r="AH113" s="1593"/>
      <c r="AI113" s="1593"/>
      <c r="AJ113" s="1593"/>
      <c r="AK113" s="1593"/>
      <c r="AL113" s="1593"/>
      <c r="AM113" s="1593"/>
      <c r="AN113" s="1593"/>
      <c r="AO113" s="1593"/>
      <c r="AP113" s="1593"/>
      <c r="AQ113" s="1593"/>
      <c r="AR113" s="1593"/>
      <c r="AS113" s="1593"/>
      <c r="AT113" s="1593"/>
      <c r="AU113" s="1593"/>
      <c r="AW113" s="1198"/>
    </row>
    <row r="114" spans="1:57" ht="13.5">
      <c r="A114" s="1579"/>
      <c r="B114" s="1717"/>
      <c r="C114" s="1718"/>
      <c r="D114" s="1717"/>
      <c r="E114" s="1726" t="s">
        <v>1060</v>
      </c>
      <c r="F114" s="1717"/>
      <c r="G114" s="1726" t="s">
        <v>1062</v>
      </c>
      <c r="H114" s="1717"/>
      <c r="I114" s="1718"/>
      <c r="J114" s="1509"/>
      <c r="AH114" s="1593"/>
      <c r="AI114" s="1593"/>
      <c r="AJ114" s="1593"/>
      <c r="AK114" s="1593"/>
      <c r="AL114" s="1593"/>
      <c r="AM114" s="1593"/>
      <c r="AN114" s="1593"/>
      <c r="AO114" s="1593"/>
      <c r="AP114" s="1593"/>
      <c r="AQ114" s="1593"/>
      <c r="AR114" s="1593"/>
      <c r="AS114" s="1593"/>
      <c r="AT114" s="1593"/>
      <c r="AU114" s="1593"/>
      <c r="AW114" s="1198"/>
    </row>
    <row r="115" spans="1:57" ht="13.5">
      <c r="A115" s="1579"/>
      <c r="B115" s="1717"/>
      <c r="C115" s="1718"/>
      <c r="D115" s="1717"/>
      <c r="E115" s="1718"/>
      <c r="F115" s="1717"/>
      <c r="G115" s="1718"/>
      <c r="H115" s="1717"/>
      <c r="I115" s="1718"/>
      <c r="J115" s="1509"/>
      <c r="AH115" s="1593"/>
      <c r="AI115" s="1593"/>
      <c r="AJ115" s="1593"/>
      <c r="AK115" s="1593"/>
      <c r="AL115" s="1593"/>
      <c r="AM115" s="1593"/>
      <c r="AN115" s="1593"/>
      <c r="AO115" s="1593"/>
      <c r="AP115" s="1593"/>
      <c r="AQ115" s="1593"/>
      <c r="AR115" s="1593"/>
      <c r="AS115" s="1593"/>
      <c r="AT115" s="1593"/>
      <c r="AU115" s="1593"/>
      <c r="AW115" s="1198"/>
    </row>
    <row r="116" spans="1:57" ht="13.5">
      <c r="A116" s="1579"/>
      <c r="B116" s="1717"/>
      <c r="C116" s="1718"/>
      <c r="D116" s="1717"/>
      <c r="E116" s="1718"/>
      <c r="F116" s="1717"/>
      <c r="G116" s="1718"/>
      <c r="H116" s="1717"/>
      <c r="I116" s="1718"/>
      <c r="J116" s="1509"/>
      <c r="X116" s="1198">
        <f>'IS(M)'!AT120</f>
        <v>202406</v>
      </c>
      <c r="Y116" s="1198">
        <f>'IS(M)'!AU120</f>
        <v>202506</v>
      </c>
      <c r="Z116" s="1198">
        <f>'IS(M)'!AV120</f>
        <v>202606</v>
      </c>
      <c r="AA116" s="1198">
        <f>'IS(M)'!AW120</f>
        <v>202706</v>
      </c>
      <c r="AB116" s="1198">
        <f>'IS(M)'!AX120</f>
        <v>202806</v>
      </c>
      <c r="AC116" s="1198">
        <f>'IS(M)'!AY120</f>
        <v>202906</v>
      </c>
      <c r="AD116" s="1198">
        <f>'IS(M)'!AZ120</f>
        <v>203006</v>
      </c>
      <c r="AE116" s="1198">
        <f>'IS(M)'!BA120</f>
        <v>203106</v>
      </c>
      <c r="AH116" s="1593"/>
      <c r="AI116" s="1593"/>
      <c r="AJ116" s="1593"/>
      <c r="AK116" s="1593"/>
      <c r="AL116" s="1593"/>
      <c r="AM116" s="1593"/>
      <c r="AN116" s="1593"/>
      <c r="AO116" s="1593"/>
      <c r="AP116" s="1593"/>
      <c r="AQ116" s="1593"/>
      <c r="AR116" s="1593"/>
      <c r="AS116" s="1593"/>
      <c r="AT116" s="1593"/>
      <c r="AU116" s="1593"/>
      <c r="AW116" s="1198"/>
    </row>
    <row r="117" spans="1:57" ht="13.5">
      <c r="A117" s="1579"/>
      <c r="B117" s="1717"/>
      <c r="C117" s="1718"/>
      <c r="D117" s="1717"/>
      <c r="E117" s="1718"/>
      <c r="F117" s="1717"/>
      <c r="G117" s="1718"/>
      <c r="H117" s="1717"/>
      <c r="I117" s="1718"/>
      <c r="J117" s="1509"/>
      <c r="U117" s="1198" t="s">
        <v>2320</v>
      </c>
      <c r="X117" s="2388">
        <f>'IS(M)'!AT121</f>
        <v>16066.105073755927</v>
      </c>
      <c r="Y117" s="2388">
        <f>'IS(M)'!AU121</f>
        <v>26263.132344813999</v>
      </c>
      <c r="Z117" s="2388">
        <f>'IS(M)'!AV121</f>
        <v>27045.511989698483</v>
      </c>
      <c r="AA117" s="2388">
        <f>'IS(M)'!AW121</f>
        <v>29955.894451917615</v>
      </c>
      <c r="AB117" s="2388">
        <f>'IS(M)'!AX121</f>
        <v>29955.894451917615</v>
      </c>
      <c r="AC117" s="2388">
        <f>'IS(M)'!AY121</f>
        <v>32127.319489444788</v>
      </c>
      <c r="AD117" s="2388">
        <f>'IS(M)'!AZ121</f>
        <v>33075.406998191873</v>
      </c>
      <c r="AE117" s="2388">
        <f>'IS(M)'!BA121</f>
        <v>34043.987948196227</v>
      </c>
      <c r="AH117" s="1593"/>
      <c r="AI117" s="1593"/>
      <c r="AJ117" s="1593"/>
      <c r="AK117" s="1593"/>
      <c r="AL117" s="1593"/>
      <c r="AM117" s="1593"/>
      <c r="AN117" s="1593"/>
      <c r="AO117" s="1593"/>
      <c r="AP117" s="1593"/>
      <c r="AQ117" s="1593"/>
      <c r="AR117" s="1593"/>
      <c r="AS117" s="1593"/>
      <c r="AT117" s="1593"/>
      <c r="AU117" s="1593"/>
      <c r="AW117" s="1198"/>
    </row>
    <row r="118" spans="1:57" ht="13.5">
      <c r="A118" s="1579"/>
      <c r="B118" s="1509"/>
      <c r="D118" s="1509"/>
      <c r="F118" s="1509"/>
      <c r="H118" s="1509"/>
      <c r="J118" s="1509"/>
      <c r="M118" s="2236" t="s">
        <v>1856</v>
      </c>
      <c r="U118" s="1197"/>
      <c r="X118" s="2388">
        <f>'IS(M)'!AT122</f>
        <v>7631.1275020000003</v>
      </c>
      <c r="Y118" s="2388">
        <f>'IS(M)'!AU122</f>
        <v>7631.1275020000003</v>
      </c>
      <c r="Z118" s="2388">
        <f>'IS(M)'!AV122</f>
        <v>7631.1275020000003</v>
      </c>
      <c r="AA118" s="2388">
        <f>'IS(M)'!AW122</f>
        <v>7631.1275020000003</v>
      </c>
      <c r="AB118" s="2388">
        <f>'IS(M)'!AX122</f>
        <v>7631.1275020000003</v>
      </c>
      <c r="AC118" s="2388">
        <f>'IS(M)'!AY122</f>
        <v>7631.1275020000003</v>
      </c>
      <c r="AD118" s="2388">
        <f>'IS(M)'!AZ122</f>
        <v>7631.1275020000003</v>
      </c>
      <c r="AE118" s="2388">
        <f>'IS(M)'!BA122</f>
        <v>7631.1275020000003</v>
      </c>
      <c r="AH118" s="1593"/>
      <c r="AI118" s="1593"/>
      <c r="AJ118" s="1593"/>
      <c r="AK118" s="1593"/>
      <c r="AL118" s="1593"/>
      <c r="AM118" s="1593"/>
      <c r="AN118" s="1593"/>
      <c r="AO118" s="1593"/>
      <c r="AP118" s="1593"/>
      <c r="AQ118" s="1593"/>
      <c r="AR118" s="1593"/>
      <c r="AS118" s="1593"/>
      <c r="AT118" s="1593"/>
      <c r="AU118" s="1593"/>
      <c r="AW118" s="1198"/>
    </row>
    <row r="119" spans="1:57" ht="13.5">
      <c r="B119" s="1509"/>
      <c r="D119" s="1509"/>
      <c r="F119" s="1509"/>
      <c r="H119" s="1509"/>
      <c r="J119" s="1509"/>
      <c r="M119" s="2236" t="s">
        <v>1857</v>
      </c>
      <c r="U119" s="1197"/>
      <c r="X119" s="2388">
        <f>'IS(M)'!AT123</f>
        <v>754636.96616800001</v>
      </c>
      <c r="Y119" s="2388">
        <f>'IS(M)'!AU123</f>
        <v>754636.96616800001</v>
      </c>
      <c r="Z119" s="2388">
        <f>'IS(M)'!AV123</f>
        <v>754636.96616800001</v>
      </c>
      <c r="AA119" s="2388">
        <f>'IS(M)'!AW123</f>
        <v>754636.96616800001</v>
      </c>
      <c r="AB119" s="2388">
        <f>'IS(M)'!AX123</f>
        <v>754636.96616800001</v>
      </c>
      <c r="AC119" s="2388">
        <f>'IS(M)'!AY123</f>
        <v>754636.96616800001</v>
      </c>
      <c r="AD119" s="2388">
        <f>'IS(M)'!AZ123</f>
        <v>754636.96616800001</v>
      </c>
      <c r="AE119" s="2388">
        <f>'IS(M)'!BA123</f>
        <v>754636.96616800001</v>
      </c>
      <c r="AH119" s="1593"/>
      <c r="AI119" s="1593"/>
      <c r="AJ119" s="1593"/>
      <c r="AK119" s="1593"/>
      <c r="AL119" s="1593"/>
      <c r="AM119" s="1593"/>
      <c r="AN119" s="1593"/>
      <c r="AO119" s="1593"/>
      <c r="AP119" s="1593"/>
      <c r="AQ119" s="1593"/>
      <c r="AR119" s="1593"/>
      <c r="AS119" s="1593"/>
      <c r="AT119" s="1593"/>
      <c r="AU119" s="1593"/>
      <c r="AW119" s="1198"/>
    </row>
    <row r="120" spans="1:57" ht="13.5">
      <c r="B120" s="1509"/>
      <c r="D120" s="1509"/>
      <c r="F120" s="1509"/>
      <c r="H120" s="1509"/>
      <c r="J120" s="1509"/>
      <c r="U120" s="1197"/>
      <c r="X120" s="2380">
        <f>'IS(M)'!AT124</f>
        <v>2.1507335340841125E-2</v>
      </c>
      <c r="Y120" s="2380">
        <f>'IS(M)'!AU124</f>
        <v>3.5157867563277143E-2</v>
      </c>
      <c r="Z120" s="2380">
        <f>'IS(M)'!AV124</f>
        <v>3.6205221686079786E-2</v>
      </c>
      <c r="AA120" s="2380">
        <f>'IS(M)'!AW124</f>
        <v>4.0101285560783205E-2</v>
      </c>
      <c r="AB120" s="2380">
        <f>'IS(M)'!AX124</f>
        <v>4.0101285560783205E-2</v>
      </c>
      <c r="AC120" s="2380">
        <f>'IS(M)'!AY124</f>
        <v>4.3008123667169218E-2</v>
      </c>
      <c r="AD120" s="2380">
        <f>'IS(M)'!AZ124</f>
        <v>4.4277307199175039E-2</v>
      </c>
      <c r="AE120" s="2380">
        <f>'IS(M)'!BA124</f>
        <v>4.5573924842397272E-2</v>
      </c>
      <c r="AH120" s="1593"/>
      <c r="AI120" s="1593"/>
      <c r="AJ120" s="1593"/>
      <c r="AK120" s="1593"/>
      <c r="AL120" s="1593"/>
      <c r="AM120" s="1593"/>
      <c r="AN120" s="1593"/>
      <c r="AO120" s="1593"/>
      <c r="AP120" s="1593"/>
      <c r="AQ120" s="1593"/>
      <c r="AR120" s="1593"/>
      <c r="AS120" s="1593"/>
      <c r="AT120" s="1593"/>
      <c r="AU120" s="1593"/>
      <c r="AW120" s="1198"/>
    </row>
    <row r="121" spans="1:57" ht="13.5">
      <c r="K121" s="1509"/>
      <c r="L121" s="1509"/>
      <c r="M121" s="1509"/>
      <c r="N121" s="1509"/>
      <c r="O121" s="1509"/>
      <c r="P121" s="1509"/>
      <c r="Q121" s="1509"/>
      <c r="R121" s="1509"/>
      <c r="S121" s="1509"/>
      <c r="T121" s="1509"/>
      <c r="U121" s="1197"/>
      <c r="AH121" s="1593"/>
      <c r="AI121" s="1593"/>
      <c r="AJ121" s="1593"/>
      <c r="AK121" s="1593"/>
      <c r="AL121" s="1593"/>
      <c r="AM121" s="1593"/>
      <c r="AN121" s="1593"/>
      <c r="AO121" s="1593"/>
      <c r="AP121" s="1593"/>
      <c r="AQ121" s="1593"/>
      <c r="AR121" s="1593"/>
      <c r="AS121" s="1593"/>
      <c r="AT121" s="1593"/>
      <c r="AU121" s="1593"/>
      <c r="AW121" s="1198"/>
    </row>
    <row r="122" spans="1:57" ht="13.5">
      <c r="K122" s="1509"/>
      <c r="L122" s="1509"/>
      <c r="M122" s="1509"/>
      <c r="N122" s="1509"/>
      <c r="O122" s="1509"/>
      <c r="P122" s="1509"/>
      <c r="Q122" s="1509"/>
      <c r="R122" s="1509"/>
      <c r="S122" s="1509"/>
      <c r="T122" s="1509"/>
      <c r="U122" s="1197"/>
      <c r="AG122" s="1593"/>
      <c r="AH122" s="1593"/>
      <c r="AI122" s="1593"/>
      <c r="AJ122" s="1593"/>
      <c r="AK122" s="1593"/>
      <c r="AL122" s="1593"/>
      <c r="AM122" s="1593"/>
      <c r="AN122" s="1593"/>
      <c r="AO122" s="1593"/>
      <c r="AP122" s="1593"/>
      <c r="AQ122" s="1593"/>
      <c r="AR122" s="1593"/>
      <c r="AS122" s="1593"/>
      <c r="AT122" s="1593"/>
      <c r="AU122" s="1593"/>
      <c r="AW122" s="1198"/>
    </row>
    <row r="123" spans="1:57" ht="13.5">
      <c r="K123" s="1509"/>
      <c r="L123" s="1509"/>
      <c r="M123" s="1509"/>
      <c r="N123" s="1509"/>
      <c r="O123" s="1509"/>
      <c r="P123" s="1509"/>
      <c r="Q123" s="1509"/>
      <c r="R123" s="1509"/>
      <c r="S123" s="1509"/>
      <c r="T123" s="1509"/>
      <c r="U123" s="1197"/>
      <c r="AG123" s="1593"/>
      <c r="AH123" s="1593"/>
      <c r="AI123" s="1593"/>
      <c r="AJ123" s="1593"/>
      <c r="AK123" s="1593"/>
      <c r="AL123" s="1593"/>
      <c r="AM123" s="1593"/>
      <c r="AN123" s="1593"/>
      <c r="AO123" s="1593"/>
      <c r="AP123" s="1593"/>
      <c r="AQ123" s="1593"/>
      <c r="AR123" s="1593"/>
      <c r="AS123" s="1593"/>
      <c r="AT123" s="1593"/>
      <c r="AU123" s="1593"/>
      <c r="AW123" s="1198"/>
    </row>
    <row r="124" spans="1:57" ht="12.75">
      <c r="U124" s="1197"/>
      <c r="AG124" s="1593"/>
      <c r="AH124" s="1593"/>
      <c r="AI124" s="1593"/>
      <c r="AJ124" s="1593"/>
      <c r="AK124" s="1593"/>
      <c r="AL124" s="1593"/>
      <c r="AM124" s="1593"/>
      <c r="AN124" s="1593"/>
      <c r="AO124" s="1593"/>
      <c r="AP124" s="1593"/>
      <c r="AQ124" s="1593"/>
      <c r="AR124" s="1593"/>
      <c r="AS124" s="1593"/>
      <c r="AT124" s="1593"/>
      <c r="AU124" s="1593"/>
      <c r="AW124" s="1198"/>
    </row>
    <row r="125" spans="1:57" ht="12.75">
      <c r="U125" s="1197"/>
      <c r="AG125" s="1593"/>
      <c r="AH125" s="1593"/>
      <c r="AI125" s="1593"/>
      <c r="AJ125" s="1593"/>
      <c r="AK125" s="1593"/>
      <c r="AL125" s="1593"/>
      <c r="AM125" s="1593"/>
      <c r="AN125" s="1593"/>
      <c r="AO125" s="1593"/>
      <c r="AP125" s="1593"/>
      <c r="AQ125" s="1593"/>
      <c r="AR125" s="1593"/>
      <c r="AS125" s="1593"/>
      <c r="AT125" s="1593"/>
      <c r="AU125" s="1593"/>
      <c r="AW125" s="1198"/>
    </row>
    <row r="126" spans="1:57" ht="13.5">
      <c r="B126" s="1663"/>
      <c r="C126" s="1664"/>
      <c r="D126" s="1579"/>
      <c r="E126" s="2237" t="s">
        <v>1858</v>
      </c>
      <c r="F126" s="2238" t="s">
        <v>1048</v>
      </c>
      <c r="G126" s="2239" t="e">
        <f>#REF!</f>
        <v>#REF!</v>
      </c>
      <c r="H126" s="2240">
        <f>IFERROR(SUM(E67:G67),)*0</f>
        <v>0</v>
      </c>
      <c r="I126" s="1665"/>
      <c r="J126" s="1579"/>
      <c r="U126" s="1197"/>
      <c r="AG126" s="1593"/>
      <c r="AH126" s="1593"/>
      <c r="AI126" s="1593"/>
      <c r="AJ126" s="1593"/>
      <c r="AK126" s="1593"/>
      <c r="AL126" s="1593"/>
      <c r="AM126" s="1593"/>
      <c r="AN126" s="1593"/>
      <c r="AO126" s="1593"/>
      <c r="AP126" s="1593"/>
      <c r="AQ126" s="1593"/>
      <c r="AR126" s="1593"/>
      <c r="AS126" s="1593"/>
      <c r="AT126" s="1593"/>
      <c r="AU126" s="1593"/>
      <c r="AW126" s="1198"/>
    </row>
    <row r="127" spans="1:57" ht="13.5">
      <c r="B127" s="1216"/>
      <c r="C127" s="1402"/>
      <c r="D127" s="1309"/>
      <c r="E127" s="2241"/>
      <c r="F127" s="2242" t="s">
        <v>1859</v>
      </c>
      <c r="G127" s="2243" t="e">
        <f>SUM(H70,G74,H74,H126)/G126</f>
        <v>#REF!</v>
      </c>
      <c r="H127" s="2244"/>
      <c r="I127" s="1665"/>
      <c r="J127" s="1579"/>
      <c r="U127" s="1197"/>
      <c r="AG127" s="1593"/>
      <c r="AH127" s="1593"/>
      <c r="AI127" s="1593"/>
      <c r="AJ127" s="1593"/>
      <c r="AK127" s="1593"/>
      <c r="AL127" s="1593"/>
      <c r="AM127" s="1593"/>
      <c r="AN127" s="1593"/>
      <c r="AO127" s="1593"/>
      <c r="AP127" s="1593"/>
      <c r="AQ127" s="1593"/>
      <c r="AR127" s="1593"/>
      <c r="AS127" s="1593"/>
      <c r="AT127" s="1593"/>
      <c r="AU127" s="1593"/>
      <c r="AV127" s="1197"/>
      <c r="AW127" s="1197"/>
      <c r="AX127" s="1197"/>
      <c r="AY127" s="1197"/>
      <c r="AZ127" s="1197"/>
      <c r="BA127" s="1197"/>
      <c r="BB127" s="1197"/>
      <c r="BC127" s="1197"/>
      <c r="BD127" s="1197"/>
      <c r="BE127" s="1197"/>
    </row>
    <row r="128" spans="1:57" ht="13.5">
      <c r="B128" s="1216"/>
      <c r="C128" s="1402"/>
      <c r="D128" s="1197"/>
      <c r="E128" s="2245" t="s">
        <v>1860</v>
      </c>
      <c r="F128" s="2246"/>
      <c r="G128" s="2247">
        <f>G64</f>
        <v>44592</v>
      </c>
      <c r="H128" s="2248"/>
      <c r="I128" s="1220"/>
      <c r="J128" s="1579"/>
      <c r="L128" s="1509"/>
      <c r="M128" s="1509"/>
      <c r="N128" s="1307"/>
      <c r="O128" s="1307"/>
      <c r="P128" s="1307"/>
      <c r="Q128" s="1307"/>
      <c r="R128" s="1307"/>
      <c r="S128" s="1307"/>
      <c r="T128" s="1197"/>
      <c r="U128" s="1197"/>
      <c r="AG128" s="1593"/>
      <c r="AH128" s="1593"/>
      <c r="AI128" s="1593"/>
      <c r="AJ128" s="1593"/>
      <c r="AK128" s="1593"/>
      <c r="AL128" s="1593"/>
      <c r="AM128" s="1593"/>
      <c r="AN128" s="1593"/>
      <c r="AO128" s="1593"/>
      <c r="AP128" s="1593"/>
      <c r="AQ128" s="1593"/>
      <c r="AR128" s="1593"/>
      <c r="AS128" s="1593"/>
      <c r="AT128" s="1593"/>
      <c r="AU128" s="1593"/>
      <c r="AV128" s="1197"/>
      <c r="AW128" s="1197"/>
      <c r="AX128" s="1197"/>
      <c r="AY128" s="1197"/>
      <c r="AZ128" s="1197"/>
      <c r="BA128" s="1197"/>
      <c r="BB128" s="1197"/>
      <c r="BC128" s="1197"/>
      <c r="BD128" s="1197"/>
      <c r="BE128" s="1197"/>
    </row>
    <row r="129" spans="1:57" ht="13.5">
      <c r="A129" s="1579"/>
      <c r="B129" s="1216"/>
      <c r="C129" s="1402"/>
      <c r="D129" s="1580"/>
      <c r="E129" s="2249" t="s">
        <v>1052</v>
      </c>
      <c r="F129" s="2250"/>
      <c r="G129" s="2251">
        <v>0.04</v>
      </c>
      <c r="H129" s="2252">
        <v>1</v>
      </c>
      <c r="I129" s="1220"/>
      <c r="J129" s="1579"/>
      <c r="L129" s="1509"/>
      <c r="M129" s="1509"/>
      <c r="N129" s="1307"/>
      <c r="O129" s="1307"/>
      <c r="P129" s="1307"/>
      <c r="Q129" s="1307"/>
      <c r="R129" s="1307"/>
      <c r="S129" s="1307"/>
      <c r="T129" s="1197"/>
      <c r="U129" s="1197"/>
      <c r="AG129" s="1593"/>
      <c r="AH129" s="1593"/>
      <c r="AI129" s="1593"/>
      <c r="AJ129" s="1593"/>
      <c r="AK129" s="1593"/>
      <c r="AL129" s="1593"/>
      <c r="AM129" s="1593"/>
      <c r="AN129" s="1593"/>
      <c r="AO129" s="1593"/>
      <c r="AP129" s="1593"/>
      <c r="AQ129" s="1593"/>
      <c r="AR129" s="1593"/>
      <c r="AS129" s="1593"/>
      <c r="AT129" s="1593"/>
      <c r="AU129" s="1593"/>
      <c r="AV129" s="1197"/>
      <c r="AW129" s="1197"/>
      <c r="AX129" s="1197"/>
      <c r="AY129" s="1197"/>
      <c r="AZ129" s="1197"/>
      <c r="BA129" s="1197"/>
      <c r="BB129" s="1197"/>
      <c r="BC129" s="1197"/>
      <c r="BD129" s="1197"/>
      <c r="BE129" s="1197"/>
    </row>
    <row r="130" spans="1:57" ht="14.25" thickBot="1">
      <c r="A130" s="1579"/>
      <c r="B130" s="1216"/>
      <c r="C130" s="1402"/>
      <c r="D130" s="1197"/>
      <c r="E130" s="2253" t="str">
        <f>C42</f>
        <v>주식발행비용</v>
      </c>
      <c r="F130" s="2254"/>
      <c r="G130" s="2255">
        <v>0.01</v>
      </c>
      <c r="H130" s="2256"/>
      <c r="I130" s="1220"/>
      <c r="J130" s="1579"/>
      <c r="L130" s="1509"/>
      <c r="O130" s="1509"/>
      <c r="Q130" s="1509"/>
      <c r="R130" s="1675"/>
      <c r="S130" s="1755"/>
      <c r="T130" s="1197"/>
      <c r="U130" s="1197"/>
      <c r="AV130" s="1197"/>
      <c r="AW130" s="1197"/>
      <c r="AX130" s="1197"/>
      <c r="AY130" s="1197"/>
      <c r="AZ130" s="1197"/>
      <c r="BA130" s="1197"/>
      <c r="BB130" s="1197"/>
      <c r="BC130" s="1197"/>
      <c r="BD130" s="1197"/>
      <c r="BE130" s="1197"/>
    </row>
    <row r="131" spans="1:57" ht="14.25" thickTop="1">
      <c r="A131" s="1579"/>
      <c r="B131" s="1567"/>
      <c r="C131" s="1731"/>
      <c r="D131" s="1732" t="s">
        <v>1063</v>
      </c>
      <c r="E131" s="1733">
        <v>2</v>
      </c>
      <c r="F131" s="1734"/>
      <c r="G131" s="1735"/>
      <c r="H131" s="1736"/>
      <c r="I131" s="1220"/>
      <c r="J131" s="1579"/>
      <c r="L131" s="1509"/>
      <c r="O131" s="1509"/>
      <c r="Q131" s="1509"/>
      <c r="R131" s="1675"/>
      <c r="S131" s="1755"/>
      <c r="T131" s="1197"/>
      <c r="U131" s="1197"/>
      <c r="AV131" s="1197"/>
      <c r="AW131" s="1197"/>
      <c r="AX131" s="1197"/>
      <c r="AY131" s="1197"/>
      <c r="AZ131" s="1197"/>
      <c r="BA131" s="1197"/>
      <c r="BB131" s="1197"/>
      <c r="BC131" s="1197"/>
      <c r="BD131" s="1197"/>
      <c r="BE131" s="1197"/>
    </row>
    <row r="132" spans="1:57" ht="14.25" thickBot="1">
      <c r="A132" s="1579"/>
      <c r="B132" s="1567"/>
      <c r="C132" s="1737"/>
      <c r="D132" s="2257">
        <f>EOMONTH($H$13,E131)</f>
        <v>44439</v>
      </c>
      <c r="E132" s="1738">
        <v>9</v>
      </c>
      <c r="F132" s="1739">
        <f>H132/(1+E132)</f>
        <v>0</v>
      </c>
      <c r="G132" s="1740">
        <f>H132-F132</f>
        <v>0</v>
      </c>
      <c r="H132" s="1741">
        <v>0</v>
      </c>
      <c r="I132" s="1220"/>
      <c r="J132" s="1579"/>
      <c r="L132" s="1509"/>
      <c r="O132" s="1509"/>
      <c r="Q132" s="1509"/>
      <c r="R132" s="1675"/>
      <c r="S132" s="1755"/>
      <c r="T132" s="1197"/>
      <c r="U132" s="1197"/>
      <c r="AV132" s="1197"/>
      <c r="AW132" s="1197"/>
      <c r="AX132" s="1197"/>
      <c r="AY132" s="1197"/>
      <c r="AZ132" s="1197"/>
      <c r="BA132" s="1197"/>
      <c r="BB132" s="1197"/>
      <c r="BC132" s="1197"/>
      <c r="BD132" s="1197"/>
      <c r="BE132" s="1197"/>
    </row>
    <row r="133" spans="1:57" ht="14.25" thickTop="1">
      <c r="A133" s="1579"/>
      <c r="B133" s="1567"/>
      <c r="C133" s="1742"/>
      <c r="D133" s="1743" t="s">
        <v>1861</v>
      </c>
      <c r="E133" s="1744">
        <f>E131+1</f>
        <v>3</v>
      </c>
      <c r="F133" s="1745"/>
      <c r="G133" s="1746"/>
      <c r="H133" s="1747"/>
      <c r="I133" s="1220"/>
      <c r="J133" s="1579"/>
      <c r="L133" s="1509"/>
      <c r="O133" s="1509"/>
      <c r="Q133" s="1509"/>
      <c r="R133" s="1675"/>
      <c r="S133" s="1755"/>
      <c r="T133" s="1197"/>
      <c r="U133" s="1197"/>
      <c r="V133" s="1197"/>
      <c r="W133" s="1197"/>
      <c r="X133" s="1197"/>
      <c r="Y133" s="1197"/>
      <c r="Z133" s="1197"/>
      <c r="AA133" s="1197"/>
      <c r="AB133" s="1197"/>
      <c r="AC133" s="1197"/>
      <c r="AD133" s="1197"/>
      <c r="AE133" s="1197"/>
      <c r="AF133" s="1197"/>
      <c r="AG133" s="1197"/>
      <c r="AH133" s="1197"/>
      <c r="AI133" s="1197"/>
      <c r="AJ133" s="1197"/>
      <c r="AK133" s="1197"/>
      <c r="AL133" s="1197"/>
      <c r="AM133" s="1197"/>
      <c r="AN133" s="1197"/>
      <c r="AO133" s="1197"/>
      <c r="AP133" s="1197"/>
      <c r="AQ133" s="1197"/>
      <c r="AR133" s="1197"/>
      <c r="AS133" s="1197"/>
      <c r="AT133" s="1197"/>
      <c r="AU133" s="1197"/>
      <c r="AV133" s="1197"/>
      <c r="AW133" s="1197"/>
      <c r="AX133" s="1197"/>
      <c r="AY133" s="1197"/>
      <c r="AZ133" s="1197"/>
      <c r="BA133" s="1197"/>
      <c r="BB133" s="1197"/>
      <c r="BC133" s="1197"/>
      <c r="BD133" s="1197"/>
      <c r="BE133" s="1197"/>
    </row>
    <row r="134" spans="1:57" ht="13.5">
      <c r="A134" s="1579"/>
      <c r="B134" s="1567"/>
      <c r="C134" s="1742"/>
      <c r="D134" s="2258">
        <f>EOMONTH($H$13,E133)</f>
        <v>44469</v>
      </c>
      <c r="E134" s="1748"/>
      <c r="F134" s="1745"/>
      <c r="G134" s="1749" t="s">
        <v>131</v>
      </c>
      <c r="H134" s="1750" t="s">
        <v>1862</v>
      </c>
      <c r="I134" s="1220"/>
      <c r="J134" s="1579"/>
      <c r="L134" s="1509"/>
      <c r="O134" s="1509"/>
      <c r="Q134" s="1509"/>
      <c r="R134" s="1675"/>
      <c r="S134" s="1755"/>
      <c r="T134" s="1197"/>
      <c r="U134" s="1197"/>
      <c r="V134" s="1197"/>
      <c r="W134" s="1197"/>
      <c r="X134" s="1197"/>
      <c r="Y134" s="1197"/>
      <c r="Z134" s="1197"/>
      <c r="AA134" s="1197"/>
      <c r="AB134" s="1197"/>
      <c r="AC134" s="1197"/>
      <c r="AD134" s="1197"/>
      <c r="AE134" s="1197"/>
      <c r="AF134" s="1197"/>
      <c r="AG134" s="1197"/>
      <c r="AH134" s="1197"/>
      <c r="AI134" s="1197"/>
      <c r="AJ134" s="1197"/>
      <c r="AK134" s="1197"/>
      <c r="AL134" s="1197"/>
      <c r="AM134" s="1197"/>
      <c r="AN134" s="1197"/>
      <c r="AO134" s="1197"/>
      <c r="AP134" s="1197"/>
      <c r="AQ134" s="1197"/>
      <c r="AR134" s="1197"/>
      <c r="AS134" s="1197"/>
      <c r="AT134" s="1197"/>
      <c r="AU134" s="1197"/>
      <c r="AV134" s="1197"/>
      <c r="AW134" s="1197"/>
      <c r="AX134" s="1197"/>
      <c r="AY134" s="1197"/>
      <c r="AZ134" s="1197"/>
      <c r="BA134" s="1197"/>
      <c r="BB134" s="1197"/>
      <c r="BC134" s="1197"/>
      <c r="BD134" s="1197"/>
      <c r="BE134" s="1197"/>
    </row>
    <row r="135" spans="1:57" ht="13.5">
      <c r="A135" s="1579"/>
      <c r="B135" s="1567"/>
      <c r="C135" s="1742"/>
      <c r="D135" s="1751" t="s">
        <v>1064</v>
      </c>
      <c r="E135" s="1745"/>
      <c r="F135" s="1752"/>
      <c r="G135" s="1753"/>
      <c r="H135" s="1754"/>
      <c r="I135" s="1220"/>
      <c r="J135" s="1579"/>
      <c r="L135" s="1509"/>
      <c r="O135" s="1509"/>
      <c r="Q135" s="1509"/>
      <c r="R135" s="1675"/>
      <c r="S135" s="1755"/>
      <c r="T135" s="1197"/>
      <c r="U135" s="1197"/>
      <c r="V135" s="1197"/>
      <c r="W135" s="1197"/>
      <c r="X135" s="1197"/>
      <c r="Y135" s="1197"/>
      <c r="Z135" s="1197"/>
      <c r="AA135" s="1197"/>
      <c r="AB135" s="1197"/>
      <c r="AC135" s="1197"/>
      <c r="AD135" s="1197"/>
      <c r="AE135" s="1197"/>
      <c r="AF135" s="1197"/>
      <c r="AG135" s="1197"/>
      <c r="AH135" s="1197"/>
      <c r="AI135" s="1197"/>
      <c r="AJ135" s="1197"/>
      <c r="AK135" s="1197"/>
      <c r="AL135" s="1197"/>
      <c r="AM135" s="1197"/>
      <c r="AN135" s="1197"/>
      <c r="AO135" s="1197"/>
      <c r="AP135" s="1197"/>
      <c r="AQ135" s="1197"/>
      <c r="AR135" s="1197"/>
      <c r="AS135" s="1197"/>
      <c r="AT135" s="1197"/>
      <c r="AU135" s="1197"/>
      <c r="AV135" s="1212"/>
    </row>
    <row r="136" spans="1:57" ht="13.5">
      <c r="A136" s="1579"/>
      <c r="B136" s="1567"/>
      <c r="C136" s="1742"/>
      <c r="D136" s="1751" t="s">
        <v>1065</v>
      </c>
      <c r="E136" s="1745"/>
      <c r="F136" s="1752"/>
      <c r="G136" s="1756"/>
      <c r="H136" s="1757"/>
      <c r="I136" s="1220"/>
      <c r="J136" s="1579"/>
      <c r="L136" s="1509"/>
      <c r="O136" s="1509"/>
      <c r="Q136" s="1509"/>
      <c r="R136" s="1675"/>
      <c r="S136" s="1755"/>
      <c r="T136" s="1197"/>
      <c r="U136" s="1197"/>
      <c r="V136" s="1197"/>
      <c r="W136" s="1197"/>
      <c r="X136" s="1197"/>
      <c r="Y136" s="1197"/>
      <c r="Z136" s="1197"/>
      <c r="AA136" s="1197"/>
      <c r="AB136" s="1197"/>
      <c r="AC136" s="1197"/>
      <c r="AD136" s="1197"/>
      <c r="AE136" s="1197"/>
      <c r="AF136" s="1197"/>
      <c r="AG136" s="1197"/>
      <c r="AH136" s="1197"/>
      <c r="AI136" s="1197"/>
      <c r="AJ136" s="1197"/>
      <c r="AK136" s="1197"/>
      <c r="AL136" s="1197"/>
      <c r="AM136" s="1197"/>
      <c r="AN136" s="1197"/>
      <c r="AO136" s="1197"/>
      <c r="AP136" s="1197"/>
      <c r="AQ136" s="1197"/>
      <c r="AR136" s="1197"/>
      <c r="AS136" s="1197"/>
      <c r="AT136" s="1197"/>
      <c r="AU136" s="1197"/>
      <c r="AV136" s="1212"/>
    </row>
    <row r="137" spans="1:57" ht="13.5">
      <c r="B137" s="1567"/>
      <c r="C137" s="1742"/>
      <c r="D137" s="1752"/>
      <c r="E137" s="1752"/>
      <c r="F137" s="1752"/>
      <c r="G137" s="1758">
        <f>G135*G136/12*$E$133</f>
        <v>0</v>
      </c>
      <c r="H137" s="1759">
        <f>H135*H136/12*$E$133</f>
        <v>0</v>
      </c>
      <c r="I137" s="1220"/>
      <c r="J137" s="1579"/>
      <c r="L137" s="1509"/>
      <c r="O137" s="1509"/>
      <c r="Q137" s="1509"/>
      <c r="R137" s="1675"/>
      <c r="S137" s="1755"/>
      <c r="T137" s="1197"/>
      <c r="U137" s="1197"/>
      <c r="V137" s="1197"/>
      <c r="W137" s="1197"/>
      <c r="X137" s="1197"/>
      <c r="Y137" s="1197"/>
      <c r="Z137" s="1197"/>
      <c r="AA137" s="1197"/>
      <c r="AB137" s="1197"/>
      <c r="AC137" s="1197"/>
      <c r="AD137" s="1197"/>
      <c r="AE137" s="1197"/>
      <c r="AF137" s="1197"/>
      <c r="AG137" s="1197"/>
      <c r="AH137" s="1197"/>
      <c r="AI137" s="1197"/>
      <c r="AJ137" s="1197"/>
      <c r="AK137" s="1197"/>
      <c r="AL137" s="1197"/>
      <c r="AM137" s="1197"/>
      <c r="AN137" s="1197"/>
      <c r="AO137" s="1197"/>
      <c r="AP137" s="1197"/>
      <c r="AQ137" s="1197"/>
      <c r="AR137" s="1197"/>
      <c r="AS137" s="1197"/>
      <c r="AT137" s="1197"/>
      <c r="AU137" s="1197"/>
      <c r="AV137" s="1212"/>
    </row>
    <row r="138" spans="1:57" ht="13.5">
      <c r="B138" s="1567"/>
      <c r="C138" s="1742"/>
      <c r="D138" s="1751" t="s">
        <v>1066</v>
      </c>
      <c r="E138" s="1760"/>
      <c r="F138" s="1752"/>
      <c r="G138" s="1761">
        <f>SUM(G135,G137)</f>
        <v>0</v>
      </c>
      <c r="H138" s="1762">
        <f>SUM(H135,H137)</f>
        <v>0</v>
      </c>
      <c r="I138" s="1220"/>
      <c r="J138" s="1579"/>
      <c r="L138" s="1509"/>
      <c r="O138" s="1509"/>
      <c r="Q138" s="1509"/>
      <c r="R138" s="1675"/>
      <c r="S138" s="1755"/>
      <c r="T138" s="1197"/>
      <c r="U138" s="1197"/>
      <c r="V138" s="1197"/>
      <c r="W138" s="1197"/>
      <c r="X138" s="1197"/>
      <c r="Y138" s="1197"/>
      <c r="Z138" s="1197"/>
      <c r="AA138" s="1197"/>
      <c r="AB138" s="1197"/>
      <c r="AC138" s="1197"/>
      <c r="AD138" s="1197"/>
      <c r="AE138" s="1197"/>
      <c r="AF138" s="1197"/>
      <c r="AG138" s="1197"/>
      <c r="AH138" s="1197"/>
      <c r="AI138" s="1197"/>
      <c r="AJ138" s="1197"/>
      <c r="AK138" s="1197"/>
      <c r="AL138" s="1197"/>
      <c r="AM138" s="1197"/>
      <c r="AN138" s="1197"/>
      <c r="AO138" s="1197"/>
      <c r="AP138" s="1197"/>
      <c r="AQ138" s="1197"/>
      <c r="AR138" s="1197"/>
      <c r="AS138" s="1197"/>
      <c r="AT138" s="1197"/>
      <c r="AU138" s="1197"/>
      <c r="AV138" s="1212"/>
    </row>
    <row r="139" spans="1:57" ht="13.5">
      <c r="B139" s="1567"/>
      <c r="C139" s="1742"/>
      <c r="D139" s="1751" t="s">
        <v>1067</v>
      </c>
      <c r="E139" s="1760"/>
      <c r="F139" s="1752"/>
      <c r="G139" s="1763">
        <f>G135/(1+$E$61)</f>
        <v>0</v>
      </c>
      <c r="H139" s="1764">
        <f>H135/(1+$E$62)</f>
        <v>0</v>
      </c>
      <c r="I139" s="1220"/>
      <c r="J139" s="1579"/>
      <c r="L139" s="1509"/>
      <c r="O139" s="1509"/>
      <c r="Q139" s="1509"/>
      <c r="R139" s="1675"/>
      <c r="S139" s="1755"/>
      <c r="T139" s="1197"/>
      <c r="U139" s="1197"/>
      <c r="V139" s="1197"/>
      <c r="W139" s="1197"/>
      <c r="X139" s="1197"/>
      <c r="Y139" s="1197"/>
      <c r="Z139" s="1197"/>
      <c r="AA139" s="1197"/>
      <c r="AB139" s="1197"/>
      <c r="AC139" s="1197"/>
      <c r="AD139" s="1197"/>
      <c r="AE139" s="1197"/>
      <c r="AF139" s="1197"/>
      <c r="AG139" s="1197"/>
      <c r="AH139" s="1197"/>
      <c r="AI139" s="1197"/>
      <c r="AJ139" s="1197"/>
      <c r="AK139" s="1197"/>
      <c r="AL139" s="1197"/>
      <c r="AM139" s="1197"/>
      <c r="AN139" s="1197"/>
      <c r="AO139" s="1197"/>
      <c r="AP139" s="1197"/>
      <c r="AQ139" s="1197"/>
      <c r="AR139" s="1197"/>
      <c r="AS139" s="1197"/>
      <c r="AT139" s="1197"/>
      <c r="AU139" s="1197"/>
    </row>
    <row r="140" spans="1:57" ht="13.5">
      <c r="B140" s="1567"/>
      <c r="C140" s="1742"/>
      <c r="D140" s="1751" t="s">
        <v>1863</v>
      </c>
      <c r="E140" s="1745"/>
      <c r="F140" s="1752"/>
      <c r="G140" s="1765">
        <f>G138-G139</f>
        <v>0</v>
      </c>
      <c r="H140" s="1766">
        <f>H138-H139</f>
        <v>0</v>
      </c>
      <c r="I140" s="1220"/>
      <c r="J140" s="1579"/>
      <c r="L140" s="1509"/>
      <c r="O140" s="1509"/>
      <c r="Q140" s="1509"/>
      <c r="R140" s="1675"/>
      <c r="S140" s="1755"/>
      <c r="T140" s="1197"/>
      <c r="U140" s="1197"/>
      <c r="V140" s="1197"/>
      <c r="W140" s="1197"/>
      <c r="X140" s="1197"/>
      <c r="Y140" s="1197"/>
      <c r="Z140" s="1197"/>
      <c r="AA140" s="1197"/>
      <c r="AB140" s="1197"/>
      <c r="AC140" s="1197"/>
      <c r="AD140" s="1197"/>
      <c r="AE140" s="1197"/>
      <c r="AF140" s="1197"/>
      <c r="AG140" s="1197"/>
      <c r="AH140" s="1197"/>
      <c r="AI140" s="1197"/>
      <c r="AJ140" s="1197"/>
      <c r="AK140" s="1197"/>
      <c r="AL140" s="1197"/>
      <c r="AM140" s="1197"/>
      <c r="AN140" s="1197"/>
      <c r="AO140" s="1197"/>
      <c r="AP140" s="1197"/>
      <c r="AQ140" s="1197"/>
      <c r="AR140" s="1197"/>
      <c r="AS140" s="1197"/>
      <c r="AT140" s="1197"/>
      <c r="AU140" s="1197"/>
    </row>
    <row r="141" spans="1:57" ht="14.25" thickBot="1">
      <c r="B141" s="1567"/>
      <c r="C141" s="1737"/>
      <c r="D141" s="2259" t="s">
        <v>1068</v>
      </c>
      <c r="E141" s="1767"/>
      <c r="F141" s="1767"/>
      <c r="G141" s="1768">
        <f>(G140-G137)*(ABS(G140-G137)&gt;0.0001)</f>
        <v>0</v>
      </c>
      <c r="H141" s="1769">
        <f>(H140-H137)*(ABS(H140-H137)&gt;0.0001)</f>
        <v>0</v>
      </c>
      <c r="I141" s="1220"/>
      <c r="J141" s="1579"/>
      <c r="L141" s="1509"/>
      <c r="O141" s="1509"/>
      <c r="Q141" s="1509"/>
      <c r="R141" s="1675"/>
      <c r="S141" s="1755"/>
      <c r="T141" s="1197"/>
      <c r="U141" s="1197"/>
    </row>
    <row r="142" spans="1:57" ht="13.5" thickTop="1">
      <c r="J142" s="1579"/>
      <c r="U142" s="1197"/>
      <c r="AU142" s="1212"/>
    </row>
    <row r="143" spans="1:57" ht="12.75">
      <c r="I143" s="1197"/>
      <c r="K143" s="1579"/>
      <c r="M143" s="1579"/>
      <c r="N143" s="1579"/>
      <c r="P143" s="1579"/>
    </row>
    <row r="144" spans="1:57" ht="12.75">
      <c r="I144" s="1197"/>
      <c r="K144" s="1579"/>
      <c r="M144" s="1579"/>
      <c r="N144" s="1579"/>
      <c r="P144" s="1579"/>
    </row>
    <row r="145" spans="1:17" ht="13.5">
      <c r="D145" s="1770" t="s">
        <v>1069</v>
      </c>
      <c r="E145" s="1464"/>
      <c r="F145" s="1464"/>
      <c r="G145" s="1771"/>
      <c r="I145" s="1197"/>
      <c r="K145" s="1579"/>
      <c r="M145" s="1579"/>
      <c r="N145" s="1579"/>
      <c r="P145" s="1579"/>
    </row>
    <row r="146" spans="1:17" ht="13.5">
      <c r="D146" s="1977">
        <v>0</v>
      </c>
      <c r="E146" s="1498" t="s">
        <v>1864</v>
      </c>
      <c r="F146" s="1212"/>
      <c r="G146" s="1772"/>
      <c r="I146" s="1197"/>
    </row>
    <row r="147" spans="1:17" ht="13.5">
      <c r="D147" s="1977">
        <v>0</v>
      </c>
      <c r="E147" s="1498" t="s">
        <v>1865</v>
      </c>
      <c r="F147" s="1212"/>
      <c r="G147" s="1772"/>
      <c r="I147" s="1197"/>
    </row>
    <row r="148" spans="1:17" ht="13.5">
      <c r="D148" s="1977">
        <v>0</v>
      </c>
      <c r="E148" s="1498" t="s">
        <v>1070</v>
      </c>
      <c r="F148" s="1212"/>
      <c r="G148" s="1772"/>
      <c r="I148" s="1197"/>
      <c r="P148" s="1463" t="s">
        <v>1074</v>
      </c>
      <c r="Q148" s="1774"/>
    </row>
    <row r="149" spans="1:17" ht="13.5">
      <c r="D149" s="1977">
        <v>0</v>
      </c>
      <c r="E149" s="1498" t="s">
        <v>1071</v>
      </c>
      <c r="F149" s="1212"/>
      <c r="G149" s="1772"/>
      <c r="I149" s="1212"/>
      <c r="P149" s="1476" t="s">
        <v>1076</v>
      </c>
      <c r="Q149" s="1775"/>
    </row>
    <row r="150" spans="1:17" ht="13.5">
      <c r="D150" s="2260">
        <v>0</v>
      </c>
      <c r="E150" s="1335" t="s">
        <v>1072</v>
      </c>
      <c r="F150" s="1315"/>
      <c r="G150" s="1773"/>
      <c r="P150" s="1476" t="s">
        <v>1866</v>
      </c>
      <c r="Q150" s="1775"/>
    </row>
    <row r="151" spans="1:17" ht="15" customHeight="1">
      <c r="D151" s="2260">
        <v>0</v>
      </c>
      <c r="E151" s="1335" t="s">
        <v>1867</v>
      </c>
      <c r="F151" s="1315"/>
      <c r="G151" s="1773"/>
      <c r="P151" s="1511" t="s">
        <v>1078</v>
      </c>
      <c r="Q151" s="1777"/>
    </row>
    <row r="152" spans="1:17" ht="15" customHeight="1">
      <c r="D152" s="1977">
        <v>0</v>
      </c>
      <c r="E152" s="1498" t="s">
        <v>1868</v>
      </c>
      <c r="F152" s="1212"/>
      <c r="G152" s="1772"/>
      <c r="P152" s="1439"/>
      <c r="Q152" s="1439"/>
    </row>
    <row r="153" spans="1:17" ht="15" customHeight="1">
      <c r="D153" s="1977">
        <v>0</v>
      </c>
      <c r="E153" s="1498" t="s">
        <v>1073</v>
      </c>
      <c r="F153" s="1212"/>
      <c r="G153" s="1772"/>
      <c r="P153" s="1463" t="s">
        <v>1869</v>
      </c>
      <c r="Q153" s="1774"/>
    </row>
    <row r="154" spans="1:17" ht="15" customHeight="1">
      <c r="D154" s="1977">
        <v>0</v>
      </c>
      <c r="E154" s="1498" t="s">
        <v>1075</v>
      </c>
      <c r="F154" s="1212"/>
      <c r="G154" s="1772"/>
      <c r="P154" s="1511" t="s">
        <v>1080</v>
      </c>
      <c r="Q154" s="1777"/>
    </row>
    <row r="155" spans="1:17" ht="15" customHeight="1">
      <c r="D155" s="1977">
        <f>SUM(AV4:AV29)</f>
        <v>0</v>
      </c>
      <c r="E155" s="1498" t="s">
        <v>1077</v>
      </c>
      <c r="F155" s="1212"/>
      <c r="G155" s="1772"/>
    </row>
    <row r="156" spans="1:17" ht="15" customHeight="1">
      <c r="D156" s="1977">
        <v>0</v>
      </c>
      <c r="E156" s="1498" t="s">
        <v>1870</v>
      </c>
      <c r="F156" s="1212"/>
      <c r="G156" s="1772"/>
    </row>
    <row r="157" spans="1:17" ht="15" customHeight="1">
      <c r="D157" s="1977">
        <v>0</v>
      </c>
      <c r="E157" s="1509" t="s">
        <v>1871</v>
      </c>
      <c r="F157" s="1212"/>
      <c r="G157" s="1772"/>
    </row>
    <row r="158" spans="1:17" ht="15" customHeight="1">
      <c r="A158" s="1780"/>
      <c r="D158" s="1977">
        <v>0</v>
      </c>
      <c r="E158" s="1498" t="s">
        <v>1872</v>
      </c>
      <c r="F158" s="1212"/>
      <c r="G158" s="1772"/>
      <c r="H158" s="1778">
        <v>0</v>
      </c>
    </row>
    <row r="159" spans="1:17" ht="15" customHeight="1">
      <c r="A159" s="1780"/>
      <c r="D159" s="1977">
        <v>0</v>
      </c>
      <c r="E159" s="1498" t="s">
        <v>1079</v>
      </c>
      <c r="F159" s="1212"/>
      <c r="G159" s="1772"/>
    </row>
    <row r="160" spans="1:17" ht="15" customHeight="1">
      <c r="D160" s="1977">
        <v>0</v>
      </c>
      <c r="E160" s="1212" t="s">
        <v>1873</v>
      </c>
      <c r="F160" s="1212"/>
      <c r="G160" s="1772"/>
    </row>
    <row r="161" spans="1:17" ht="15" customHeight="1">
      <c r="A161" s="1780"/>
      <c r="D161" s="1977">
        <v>0</v>
      </c>
      <c r="E161" s="1498" t="s">
        <v>1081</v>
      </c>
      <c r="F161" s="1212"/>
      <c r="G161" s="1772"/>
    </row>
    <row r="162" spans="1:17" ht="15" customHeight="1">
      <c r="A162" s="1780"/>
      <c r="D162" s="1977">
        <v>0</v>
      </c>
      <c r="E162" s="1498" t="s">
        <v>1082</v>
      </c>
      <c r="F162" s="1212"/>
      <c r="G162" s="1772"/>
    </row>
    <row r="163" spans="1:17" ht="15" customHeight="1">
      <c r="A163" s="1780"/>
      <c r="D163" s="1977">
        <v>0</v>
      </c>
      <c r="E163" s="1498" t="s">
        <v>1874</v>
      </c>
      <c r="F163" s="1212"/>
      <c r="G163" s="1772"/>
    </row>
    <row r="164" spans="1:17" ht="15" customHeight="1">
      <c r="A164" s="1780"/>
      <c r="D164" s="1977">
        <v>0</v>
      </c>
      <c r="E164" s="1498" t="s">
        <v>1875</v>
      </c>
      <c r="F164" s="1212"/>
      <c r="G164" s="1772"/>
    </row>
    <row r="165" spans="1:17" ht="15" customHeight="1">
      <c r="A165" s="1780"/>
      <c r="D165" s="1977">
        <v>0</v>
      </c>
      <c r="E165" s="1779" t="s">
        <v>1083</v>
      </c>
      <c r="F165" s="1212"/>
      <c r="G165" s="1772"/>
    </row>
    <row r="166" spans="1:17" ht="15" customHeight="1">
      <c r="A166" s="1780"/>
      <c r="D166" s="1977">
        <v>0</v>
      </c>
      <c r="E166" s="1212" t="s">
        <v>1876</v>
      </c>
      <c r="F166" s="1212"/>
      <c r="G166" s="1772"/>
    </row>
    <row r="167" spans="1:17" ht="15" customHeight="1">
      <c r="D167" s="1977">
        <v>0</v>
      </c>
      <c r="E167" s="1498" t="s">
        <v>1084</v>
      </c>
      <c r="F167" s="1212"/>
      <c r="G167" s="1772"/>
    </row>
    <row r="168" spans="1:17" ht="15" customHeight="1">
      <c r="D168" s="1977">
        <v>0</v>
      </c>
      <c r="E168" s="1498" t="s">
        <v>1085</v>
      </c>
      <c r="F168" s="1212"/>
      <c r="G168" s="1772"/>
      <c r="P168" s="1374"/>
      <c r="Q168" s="1779"/>
    </row>
    <row r="169" spans="1:17" ht="15" customHeight="1">
      <c r="D169" s="1977">
        <v>0</v>
      </c>
      <c r="E169" s="1509" t="s">
        <v>1086</v>
      </c>
      <c r="F169" s="1197"/>
      <c r="G169" s="1580"/>
      <c r="P169" s="1374"/>
      <c r="Q169" s="1779"/>
    </row>
    <row r="170" spans="1:17" ht="15" customHeight="1">
      <c r="D170" s="1977">
        <v>0</v>
      </c>
      <c r="E170" s="1374" t="s">
        <v>1877</v>
      </c>
      <c r="F170" s="1197"/>
      <c r="G170" s="1580"/>
      <c r="P170" s="1374"/>
      <c r="Q170" s="1779"/>
    </row>
    <row r="171" spans="1:17" ht="15" customHeight="1">
      <c r="D171" s="1977">
        <v>0</v>
      </c>
      <c r="E171" s="1212" t="s">
        <v>1878</v>
      </c>
      <c r="F171" s="1212"/>
      <c r="G171" s="1772"/>
    </row>
    <row r="172" spans="1:17" ht="15" customHeight="1">
      <c r="D172" s="1781"/>
      <c r="E172" s="1779"/>
      <c r="F172" s="1212"/>
      <c r="G172" s="1772"/>
    </row>
    <row r="173" spans="1:17" ht="15" customHeight="1">
      <c r="D173" s="1782"/>
      <c r="E173" s="1783"/>
      <c r="F173" s="2261"/>
      <c r="G173" s="1784"/>
      <c r="H173" s="1785"/>
    </row>
    <row r="174" spans="1:17" ht="15" customHeight="1">
      <c r="D174" s="1785"/>
      <c r="E174" s="1786"/>
      <c r="F174" s="1786"/>
      <c r="G174" s="1786"/>
      <c r="H174" s="1785"/>
    </row>
  </sheetData>
  <mergeCells count="1">
    <mergeCell ref="AP4:AQ4"/>
  </mergeCells>
  <phoneticPr fontId="3" type="noConversion"/>
  <conditionalFormatting sqref="AR6 AR8 AR10 AR12 AR14 AR16 AR18 AR20 AR22 AR24">
    <cfRule type="cellIs" dxfId="536" priority="435" stopIfTrue="1" operator="equal">
      <formula>0</formula>
    </cfRule>
  </conditionalFormatting>
  <conditionalFormatting sqref="AR6 AR8 AR10 AR12 AR14 AR16 AR18 AR20 AR22 AR24">
    <cfRule type="cellIs" dxfId="535" priority="434" operator="equal">
      <formula>0</formula>
    </cfRule>
  </conditionalFormatting>
  <conditionalFormatting sqref="AR7 AR9 AR11 AR13 AR15 AR17 AR19 AR21 AR23 AR25">
    <cfRule type="cellIs" dxfId="534" priority="431" stopIfTrue="1" operator="equal">
      <formula>0</formula>
    </cfRule>
  </conditionalFormatting>
  <conditionalFormatting sqref="AR7 AR9 AR11 AR13 AR15 AR17 AR19 AR21 AR23 AR25">
    <cfRule type="cellIs" dxfId="533" priority="428" operator="equal">
      <formula>0</formula>
    </cfRule>
  </conditionalFormatting>
  <conditionalFormatting sqref="AR9 AR23 AR21 AR25 AR11 AR13 AR15 AR17 AR19">
    <cfRule type="cellIs" dxfId="532" priority="427" stopIfTrue="1" operator="equal">
      <formula>0</formula>
    </cfRule>
  </conditionalFormatting>
  <conditionalFormatting sqref="AR9 AR23 AR21 AR25 AR11 AR13 AR15 AR17 AR19">
    <cfRule type="cellIs" dxfId="531" priority="425" stopIfTrue="1" operator="equal">
      <formula>0</formula>
    </cfRule>
  </conditionalFormatting>
  <conditionalFormatting sqref="AR9 AR23 AR21 AR25 AR11 AR13 AR15 AR17 AR19">
    <cfRule type="cellIs" dxfId="530" priority="422" operator="equal">
      <formula>0</formula>
    </cfRule>
  </conditionalFormatting>
  <conditionalFormatting sqref="AR9 AR23 AR21 AR25 AR11 AR13 AR15 AR17 AR19">
    <cfRule type="cellIs" dxfId="529" priority="421" stopIfTrue="1" operator="equal">
      <formula>0</formula>
    </cfRule>
  </conditionalFormatting>
  <conditionalFormatting sqref="AR9 AR23 AR21 AR25 AR11 AR13 AR15 AR17 AR19">
    <cfRule type="cellIs" dxfId="528" priority="420" operator="equal">
      <formula>0</formula>
    </cfRule>
  </conditionalFormatting>
  <conditionalFormatting sqref="AR9 AR23 AR21 AR25 AR11 AR13 AR15 AR17 AR19">
    <cfRule type="cellIs" dxfId="527" priority="407" stopIfTrue="1" operator="equal">
      <formula>0</formula>
    </cfRule>
  </conditionalFormatting>
  <conditionalFormatting sqref="AR9 AR23 AR21 AR25 AR11 AR13 AR15 AR17 AR19">
    <cfRule type="cellIs" dxfId="526" priority="406" operator="equal">
      <formula>0</formula>
    </cfRule>
  </conditionalFormatting>
  <conditionalFormatting sqref="AR9 AR23 AR21 AR25 AR11 AR13 AR15 AR17 AR19">
    <cfRule type="cellIs" dxfId="525" priority="405" stopIfTrue="1" operator="equal">
      <formula>0</formula>
    </cfRule>
  </conditionalFormatting>
  <conditionalFormatting sqref="AR9 AR23 AR21 AR25 AR11 AR13 AR15 AR17 AR19">
    <cfRule type="cellIs" dxfId="524" priority="404" operator="equal">
      <formula>0</formula>
    </cfRule>
  </conditionalFormatting>
  <conditionalFormatting sqref="AR7 AR9 AR11 AR13 AR15 AR17 AR19 AR21 AR23 AR25">
    <cfRule type="cellIs" dxfId="523" priority="419" stopIfTrue="1" operator="equal">
      <formula>0</formula>
    </cfRule>
  </conditionalFormatting>
  <conditionalFormatting sqref="AR7 AR9 AR11 AR13 AR15 AR17 AR19 AR21 AR23 AR25">
    <cfRule type="cellIs" dxfId="522" priority="418" operator="equal">
      <formula>0</formula>
    </cfRule>
  </conditionalFormatting>
  <conditionalFormatting sqref="AR7 AR9 AR11 AR13 AR15 AR17 AR19 AR21 AR23 AR25">
    <cfRule type="cellIs" dxfId="521" priority="417" stopIfTrue="1" operator="equal">
      <formula>0</formula>
    </cfRule>
  </conditionalFormatting>
  <conditionalFormatting sqref="AR7 AR9 AR11 AR13 AR15 AR17 AR19 AR21 AR23 AR25">
    <cfRule type="cellIs" dxfId="520" priority="416" operator="equal">
      <formula>0</formula>
    </cfRule>
  </conditionalFormatting>
  <conditionalFormatting sqref="AR7 AR9 AR11 AR13 AR15 AR17 AR19 AR21 AR23 AR25">
    <cfRule type="cellIs" dxfId="519" priority="415" stopIfTrue="1" operator="equal">
      <formula>0</formula>
    </cfRule>
  </conditionalFormatting>
  <conditionalFormatting sqref="AR7 AR9 AR11 AR13 AR15 AR17 AR19 AR21 AR23 AR25">
    <cfRule type="cellIs" dxfId="518" priority="414" operator="equal">
      <formula>0</formula>
    </cfRule>
  </conditionalFormatting>
  <conditionalFormatting sqref="AR7 AR9 AR11 AR13 AR15 AR17 AR19 AR21 AR23 AR25">
    <cfRule type="cellIs" dxfId="517" priority="413" stopIfTrue="1" operator="equal">
      <formula>0</formula>
    </cfRule>
  </conditionalFormatting>
  <conditionalFormatting sqref="AR7 AR9 AR11 AR13 AR15 AR17 AR19 AR21 AR23 AR25">
    <cfRule type="cellIs" dxfId="516" priority="412" operator="equal">
      <formula>0</formula>
    </cfRule>
  </conditionalFormatting>
  <conditionalFormatting sqref="AR9 AR23 AR21 AR25 AR11 AR13 AR15 AR17 AR19">
    <cfRule type="cellIs" dxfId="515" priority="403" stopIfTrue="1" operator="equal">
      <formula>0</formula>
    </cfRule>
  </conditionalFormatting>
  <conditionalFormatting sqref="AR9 AR23 AR21 AR25 AR11 AR13 AR15 AR17 AR19">
    <cfRule type="cellIs" dxfId="514" priority="402" operator="equal">
      <formula>0</formula>
    </cfRule>
  </conditionalFormatting>
  <conditionalFormatting sqref="AR9 AR23 AR21 AR25 AR11 AR13 AR15 AR17 AR19">
    <cfRule type="cellIs" dxfId="513" priority="401" stopIfTrue="1" operator="equal">
      <formula>0</formula>
    </cfRule>
  </conditionalFormatting>
  <conditionalFormatting sqref="AR9 AR23 AR21 AR25 AR11 AR13 AR15 AR17 AR19">
    <cfRule type="cellIs" dxfId="512" priority="400" operator="equal">
      <formula>0</formula>
    </cfRule>
  </conditionalFormatting>
  <conditionalFormatting sqref="AR9 AR23 AR21 AR25 AR11 AR13 AR15 AR17 AR19">
    <cfRule type="cellIs" dxfId="511" priority="399" stopIfTrue="1" operator="equal">
      <formula>0</formula>
    </cfRule>
  </conditionalFormatting>
  <conditionalFormatting sqref="AR9 AR23 AR21 AR25 AR11 AR13 AR15 AR17 AR19">
    <cfRule type="cellIs" dxfId="510" priority="398" operator="equal">
      <formula>0</formula>
    </cfRule>
  </conditionalFormatting>
  <conditionalFormatting sqref="AR11 AR15 AR23 AR19">
    <cfRule type="cellIs" dxfId="509" priority="393" stopIfTrue="1" operator="equal">
      <formula>0</formula>
    </cfRule>
  </conditionalFormatting>
  <conditionalFormatting sqref="AR11 AR15 AR23 AR19">
    <cfRule type="cellIs" dxfId="508" priority="392" operator="equal">
      <formula>0</formula>
    </cfRule>
  </conditionalFormatting>
  <conditionalFormatting sqref="AR11 AR15 AR23 AR19">
    <cfRule type="cellIs" dxfId="507" priority="391" stopIfTrue="1" operator="equal">
      <formula>0</formula>
    </cfRule>
  </conditionalFormatting>
  <conditionalFormatting sqref="AR11 AR15 AR23 AR19">
    <cfRule type="cellIs" dxfId="506" priority="390" operator="equal">
      <formula>0</formula>
    </cfRule>
  </conditionalFormatting>
  <conditionalFormatting sqref="AR11 AR15 AR23 AR19">
    <cfRule type="cellIs" dxfId="505" priority="389" stopIfTrue="1" operator="equal">
      <formula>0</formula>
    </cfRule>
  </conditionalFormatting>
  <conditionalFormatting sqref="AR11 AR15 AR23 AR19">
    <cfRule type="cellIs" dxfId="504" priority="388" operator="equal">
      <formula>0</formula>
    </cfRule>
  </conditionalFormatting>
  <conditionalFormatting sqref="AR11 AR15 AR23 AR19">
    <cfRule type="cellIs" dxfId="503" priority="387" stopIfTrue="1" operator="equal">
      <formula>0</formula>
    </cfRule>
  </conditionalFormatting>
  <conditionalFormatting sqref="AR11 AR15 AR23 AR19">
    <cfRule type="cellIs" dxfId="502" priority="386" operator="equal">
      <formula>0</formula>
    </cfRule>
  </conditionalFormatting>
  <conditionalFormatting sqref="AR11 AR15 AR23 AR19">
    <cfRule type="cellIs" dxfId="501" priority="385" stopIfTrue="1" operator="equal">
      <formula>0</formula>
    </cfRule>
  </conditionalFormatting>
  <conditionalFormatting sqref="AR11 AR15 AR23 AR19">
    <cfRule type="cellIs" dxfId="500" priority="384" operator="equal">
      <formula>0</formula>
    </cfRule>
  </conditionalFormatting>
  <conditionalFormatting sqref="AR11 AR15 AR23 AR19">
    <cfRule type="cellIs" dxfId="499" priority="383" stopIfTrue="1" operator="equal">
      <formula>0</formula>
    </cfRule>
  </conditionalFormatting>
  <conditionalFormatting sqref="AR11 AR15 AR23 AR19">
    <cfRule type="cellIs" dxfId="498" priority="382" operator="equal">
      <formula>0</formula>
    </cfRule>
  </conditionalFormatting>
  <conditionalFormatting sqref="AR11 AR15 AR23 AR19">
    <cfRule type="cellIs" dxfId="497" priority="381" stopIfTrue="1" operator="equal">
      <formula>0</formula>
    </cfRule>
  </conditionalFormatting>
  <conditionalFormatting sqref="AR11 AR15 AR23 AR19">
    <cfRule type="cellIs" dxfId="496" priority="380" operator="equal">
      <formula>0</formula>
    </cfRule>
  </conditionalFormatting>
  <conditionalFormatting sqref="AR9 AR23 AR21 AR25 AR11 AR13 AR15 AR17 AR19">
    <cfRule type="cellIs" dxfId="495" priority="409" stopIfTrue="1" operator="equal">
      <formula>0</formula>
    </cfRule>
  </conditionalFormatting>
  <conditionalFormatting sqref="AR9 AR23 AR21 AR25 AR11 AR13 AR15 AR17 AR19">
    <cfRule type="cellIs" dxfId="494" priority="408" operator="equal">
      <formula>0</formula>
    </cfRule>
  </conditionalFormatting>
  <conditionalFormatting sqref="AR9 AR23 AR21 AR25 AR11 AR13 AR15 AR17 AR19">
    <cfRule type="cellIs" dxfId="493" priority="397" stopIfTrue="1" operator="equal">
      <formula>0</formula>
    </cfRule>
  </conditionalFormatting>
  <conditionalFormatting sqref="AR9 AR23 AR21 AR25 AR11 AR13 AR15 AR17 AR19">
    <cfRule type="cellIs" dxfId="492" priority="396" operator="equal">
      <formula>0</formula>
    </cfRule>
  </conditionalFormatting>
  <conditionalFormatting sqref="AR9 AR23 AR21 AR25 AR11 AR13 AR15 AR17 AR19">
    <cfRule type="cellIs" dxfId="491" priority="411" stopIfTrue="1" operator="equal">
      <formula>0</formula>
    </cfRule>
  </conditionalFormatting>
  <conditionalFormatting sqref="AR9 AR23 AR21 AR25 AR11 AR13 AR15 AR17 AR19">
    <cfRule type="cellIs" dxfId="490" priority="410" operator="equal">
      <formula>0</formula>
    </cfRule>
  </conditionalFormatting>
  <conditionalFormatting sqref="AR11 AR15 AR23 AR19">
    <cfRule type="cellIs" dxfId="489" priority="395" stopIfTrue="1" operator="equal">
      <formula>0</formula>
    </cfRule>
  </conditionalFormatting>
  <conditionalFormatting sqref="AR11 AR15 AR23 AR19">
    <cfRule type="cellIs" dxfId="488" priority="394" operator="equal">
      <formula>0</formula>
    </cfRule>
  </conditionalFormatting>
  <conditionalFormatting sqref="AR7 AR9 AR11 AR13 AR15 AR17 AR19 AR21 AR23 AR25">
    <cfRule type="cellIs" dxfId="487" priority="357" operator="equal">
      <formula>0</formula>
    </cfRule>
  </conditionalFormatting>
  <conditionalFormatting sqref="AR7 AR9 AR11 AR13 AR15 AR17 AR19 AR21 AR23 AR25">
    <cfRule type="cellIs" dxfId="486" priority="352" stopIfTrue="1" operator="equal">
      <formula>0</formula>
    </cfRule>
  </conditionalFormatting>
  <conditionalFormatting sqref="AR7 AR9 AR11 AR13 AR15 AR17 AR19 AR21 AR23 AR25">
    <cfRule type="cellIs" dxfId="485" priority="351" operator="equal">
      <formula>0</formula>
    </cfRule>
  </conditionalFormatting>
  <conditionalFormatting sqref="AR7 AR9 AR11 AR13 AR15 AR17 AR19 AR21 AR23 AR25">
    <cfRule type="cellIs" dxfId="484" priority="342" stopIfTrue="1" operator="equal">
      <formula>0</formula>
    </cfRule>
  </conditionalFormatting>
  <conditionalFormatting sqref="AR7 AR9 AR11 AR13 AR15 AR17 AR19 AR21 AR23 AR25">
    <cfRule type="cellIs" dxfId="483" priority="341" operator="equal">
      <formula>0</formula>
    </cfRule>
  </conditionalFormatting>
  <conditionalFormatting sqref="AR7 AR9 AR11 AR13 AR15 AR17 AR19 AR21 AR23 AR25">
    <cfRule type="cellIs" dxfId="482" priority="344" stopIfTrue="1" operator="equal">
      <formula>0</formula>
    </cfRule>
  </conditionalFormatting>
  <conditionalFormatting sqref="AR7 AR9 AR11 AR13 AR15 AR17 AR19 AR21 AR23 AR25">
    <cfRule type="cellIs" dxfId="481" priority="343" operator="equal">
      <formula>0</formula>
    </cfRule>
  </conditionalFormatting>
  <conditionalFormatting sqref="AR7 AR9 AR11 AR13 AR15 AR17 AR19 AR21 AR23 AR25">
    <cfRule type="cellIs" dxfId="480" priority="354" stopIfTrue="1" operator="equal">
      <formula>0</formula>
    </cfRule>
  </conditionalFormatting>
  <conditionalFormatting sqref="AR7 AR9 AR11 AR13 AR15 AR17 AR19 AR21 AR23 AR25">
    <cfRule type="cellIs" dxfId="479" priority="353" operator="equal">
      <formula>0</formula>
    </cfRule>
  </conditionalFormatting>
  <conditionalFormatting sqref="AR7 AR9 AR11 AR13 AR15 AR17 AR19 AR21 AR23 AR25">
    <cfRule type="cellIs" dxfId="478" priority="350" stopIfTrue="1" operator="equal">
      <formula>0</formula>
    </cfRule>
  </conditionalFormatting>
  <conditionalFormatting sqref="AR7 AR9 AR11 AR13 AR15 AR17 AR19 AR21 AR23 AR25">
    <cfRule type="cellIs" dxfId="477" priority="349" operator="equal">
      <formula>0</formula>
    </cfRule>
  </conditionalFormatting>
  <conditionalFormatting sqref="AR7 AR9 AR11 AR13 AR15 AR17 AR19 AR21 AR23 AR25">
    <cfRule type="cellIs" dxfId="476" priority="356" stopIfTrue="1" operator="equal">
      <formula>0</formula>
    </cfRule>
  </conditionalFormatting>
  <conditionalFormatting sqref="AR7 AR9 AR11 AR13 AR15 AR17 AR19 AR21 AR23 AR25">
    <cfRule type="cellIs" dxfId="475" priority="355" operator="equal">
      <formula>0</formula>
    </cfRule>
  </conditionalFormatting>
  <conditionalFormatting sqref="AR7 AR9 AR11 AR13 AR15 AR17 AR19 AR21 AR23 AR25">
    <cfRule type="cellIs" dxfId="474" priority="348" stopIfTrue="1" operator="equal">
      <formula>0</formula>
    </cfRule>
  </conditionalFormatting>
  <conditionalFormatting sqref="AR7 AR9 AR11 AR13 AR15 AR17 AR19 AR21 AR23 AR25">
    <cfRule type="cellIs" dxfId="473" priority="347" operator="equal">
      <formula>0</formula>
    </cfRule>
  </conditionalFormatting>
  <conditionalFormatting sqref="AR7 AR9 AR11 AR13 AR15 AR17 AR19 AR21 AR23 AR25">
    <cfRule type="cellIs" dxfId="472" priority="346" stopIfTrue="1" operator="equal">
      <formula>0</formula>
    </cfRule>
  </conditionalFormatting>
  <conditionalFormatting sqref="AR7 AR9 AR11 AR13 AR15 AR17 AR19 AR21 AR23 AR25">
    <cfRule type="cellIs" dxfId="471" priority="345" operator="equal">
      <formula>0</formula>
    </cfRule>
  </conditionalFormatting>
  <conditionalFormatting sqref="AR7 AR9 AR11 AR13 AR15 AR17 AR19 AR21 AR23 AR25">
    <cfRule type="cellIs" dxfId="470" priority="340" stopIfTrue="1" operator="equal">
      <formula>0</formula>
    </cfRule>
  </conditionalFormatting>
  <conditionalFormatting sqref="AR7 AR9 AR11 AR13 AR15 AR17 AR19 AR21 AR23 AR25">
    <cfRule type="cellIs" dxfId="469" priority="339" operator="equal">
      <formula>0</formula>
    </cfRule>
  </conditionalFormatting>
  <conditionalFormatting sqref="AR7 AR9 AR11 AR13 AR15 AR17 AR19 AR21 AR23 AR25">
    <cfRule type="cellIs" dxfId="468" priority="332" stopIfTrue="1" operator="equal">
      <formula>0</formula>
    </cfRule>
  </conditionalFormatting>
  <conditionalFormatting sqref="AR7 AR9 AR11 AR13 AR15 AR17 AR19 AR21 AR23 AR25">
    <cfRule type="cellIs" dxfId="467" priority="331" operator="equal">
      <formula>0</formula>
    </cfRule>
  </conditionalFormatting>
  <conditionalFormatting sqref="AR7 AR9 AR11 AR13 AR15 AR17 AR19 AR21 AR23 AR25">
    <cfRule type="cellIs" dxfId="466" priority="338" stopIfTrue="1" operator="equal">
      <formula>0</formula>
    </cfRule>
  </conditionalFormatting>
  <conditionalFormatting sqref="AR7 AR9 AR11 AR13 AR15 AR17 AR19 AR21 AR23 AR25">
    <cfRule type="cellIs" dxfId="465" priority="337" operator="equal">
      <formula>0</formula>
    </cfRule>
  </conditionalFormatting>
  <conditionalFormatting sqref="AR7 AR9 AR11 AR13 AR15 AR17 AR19 AR21 AR23 AR25">
    <cfRule type="cellIs" dxfId="464" priority="336" stopIfTrue="1" operator="equal">
      <formula>0</formula>
    </cfRule>
  </conditionalFormatting>
  <conditionalFormatting sqref="AR7 AR9 AR11 AR13 AR15 AR17 AR19 AR21 AR23 AR25">
    <cfRule type="cellIs" dxfId="463" priority="335" operator="equal">
      <formula>0</formula>
    </cfRule>
  </conditionalFormatting>
  <conditionalFormatting sqref="AR7 AR9 AR11 AR13 AR15 AR17 AR19 AR21 AR23 AR25">
    <cfRule type="cellIs" dxfId="462" priority="334" stopIfTrue="1" operator="equal">
      <formula>0</formula>
    </cfRule>
  </conditionalFormatting>
  <conditionalFormatting sqref="AR7 AR9 AR11 AR13 AR15 AR17 AR19 AR21 AR23 AR25">
    <cfRule type="cellIs" dxfId="461" priority="333" operator="equal">
      <formula>0</formula>
    </cfRule>
  </conditionalFormatting>
  <conditionalFormatting sqref="AR9">
    <cfRule type="cellIs" dxfId="460" priority="330" stopIfTrue="1" operator="equal">
      <formula>0</formula>
    </cfRule>
  </conditionalFormatting>
  <conditionalFormatting sqref="AR9">
    <cfRule type="cellIs" dxfId="459" priority="329" operator="equal">
      <formula>0</formula>
    </cfRule>
  </conditionalFormatting>
  <conditionalFormatting sqref="AR9">
    <cfRule type="cellIs" dxfId="458" priority="328" stopIfTrue="1" operator="equal">
      <formula>0</formula>
    </cfRule>
  </conditionalFormatting>
  <conditionalFormatting sqref="AR9">
    <cfRule type="cellIs" dxfId="457" priority="327" operator="equal">
      <formula>0</formula>
    </cfRule>
  </conditionalFormatting>
  <conditionalFormatting sqref="AR9">
    <cfRule type="cellIs" dxfId="456" priority="326" stopIfTrue="1" operator="equal">
      <formula>0</formula>
    </cfRule>
  </conditionalFormatting>
  <conditionalFormatting sqref="AR9">
    <cfRule type="cellIs" dxfId="455" priority="325" operator="equal">
      <formula>0</formula>
    </cfRule>
  </conditionalFormatting>
  <conditionalFormatting sqref="AR9">
    <cfRule type="cellIs" dxfId="454" priority="324" stopIfTrue="1" operator="equal">
      <formula>0</formula>
    </cfRule>
  </conditionalFormatting>
  <conditionalFormatting sqref="AR9">
    <cfRule type="cellIs" dxfId="453" priority="323" operator="equal">
      <formula>0</formula>
    </cfRule>
  </conditionalFormatting>
  <conditionalFormatting sqref="AR11 AR15 AR23 AR19">
    <cfRule type="cellIs" dxfId="452" priority="322" stopIfTrue="1" operator="equal">
      <formula>0</formula>
    </cfRule>
  </conditionalFormatting>
  <conditionalFormatting sqref="AR11 AR15 AR23 AR19">
    <cfRule type="cellIs" dxfId="451" priority="321" operator="equal">
      <formula>0</formula>
    </cfRule>
  </conditionalFormatting>
  <conditionalFormatting sqref="AR11 AR15 AR23 AR19">
    <cfRule type="cellIs" dxfId="450" priority="320" stopIfTrue="1" operator="equal">
      <formula>0</formula>
    </cfRule>
  </conditionalFormatting>
  <conditionalFormatting sqref="AR11 AR15 AR23 AR19">
    <cfRule type="cellIs" dxfId="449" priority="319" operator="equal">
      <formula>0</formula>
    </cfRule>
  </conditionalFormatting>
  <conditionalFormatting sqref="AR11 AR15 AR23 AR19">
    <cfRule type="cellIs" dxfId="448" priority="318" stopIfTrue="1" operator="equal">
      <formula>0</formula>
    </cfRule>
  </conditionalFormatting>
  <conditionalFormatting sqref="AR11 AR15 AR23 AR19">
    <cfRule type="cellIs" dxfId="447" priority="317" operator="equal">
      <formula>0</formula>
    </cfRule>
  </conditionalFormatting>
  <conditionalFormatting sqref="AR11 AR15 AR23 AR19">
    <cfRule type="cellIs" dxfId="446" priority="316" stopIfTrue="1" operator="equal">
      <formula>0</formula>
    </cfRule>
  </conditionalFormatting>
  <conditionalFormatting sqref="AR11 AR15 AR23 AR19">
    <cfRule type="cellIs" dxfId="445" priority="315" operator="equal">
      <formula>0</formula>
    </cfRule>
  </conditionalFormatting>
  <conditionalFormatting sqref="AR17">
    <cfRule type="cellIs" dxfId="444" priority="314" stopIfTrue="1" operator="equal">
      <formula>0</formula>
    </cfRule>
  </conditionalFormatting>
  <conditionalFormatting sqref="AR17">
    <cfRule type="cellIs" dxfId="443" priority="313" operator="equal">
      <formula>0</formula>
    </cfRule>
  </conditionalFormatting>
  <conditionalFormatting sqref="AR17">
    <cfRule type="cellIs" dxfId="442" priority="312" stopIfTrue="1" operator="equal">
      <formula>0</formula>
    </cfRule>
  </conditionalFormatting>
  <conditionalFormatting sqref="AR17">
    <cfRule type="cellIs" dxfId="441" priority="311" operator="equal">
      <formula>0</formula>
    </cfRule>
  </conditionalFormatting>
  <conditionalFormatting sqref="AR17">
    <cfRule type="cellIs" dxfId="440" priority="310" stopIfTrue="1" operator="equal">
      <formula>0</formula>
    </cfRule>
  </conditionalFormatting>
  <conditionalFormatting sqref="AR17">
    <cfRule type="cellIs" dxfId="439" priority="309" operator="equal">
      <formula>0</formula>
    </cfRule>
  </conditionalFormatting>
  <conditionalFormatting sqref="AR17">
    <cfRule type="cellIs" dxfId="438" priority="308" stopIfTrue="1" operator="equal">
      <formula>0</formula>
    </cfRule>
  </conditionalFormatting>
  <conditionalFormatting sqref="AR17">
    <cfRule type="cellIs" dxfId="437" priority="307" operator="equal">
      <formula>0</formula>
    </cfRule>
  </conditionalFormatting>
  <conditionalFormatting sqref="AR17">
    <cfRule type="cellIs" dxfId="436" priority="306" stopIfTrue="1" operator="equal">
      <formula>0</formula>
    </cfRule>
  </conditionalFormatting>
  <conditionalFormatting sqref="AR17">
    <cfRule type="cellIs" dxfId="435" priority="305" operator="equal">
      <formula>0</formula>
    </cfRule>
  </conditionalFormatting>
  <conditionalFormatting sqref="AR17">
    <cfRule type="cellIs" dxfId="434" priority="304" stopIfTrue="1" operator="equal">
      <formula>0</formula>
    </cfRule>
  </conditionalFormatting>
  <conditionalFormatting sqref="AR17">
    <cfRule type="cellIs" dxfId="433" priority="303" operator="equal">
      <formula>0</formula>
    </cfRule>
  </conditionalFormatting>
  <conditionalFormatting sqref="AR17">
    <cfRule type="cellIs" dxfId="432" priority="302" stopIfTrue="1" operator="equal">
      <formula>0</formula>
    </cfRule>
  </conditionalFormatting>
  <conditionalFormatting sqref="AR17">
    <cfRule type="cellIs" dxfId="431" priority="301" operator="equal">
      <formula>0</formula>
    </cfRule>
  </conditionalFormatting>
  <conditionalFormatting sqref="AR17">
    <cfRule type="cellIs" dxfId="430" priority="300" stopIfTrue="1" operator="equal">
      <formula>0</formula>
    </cfRule>
  </conditionalFormatting>
  <conditionalFormatting sqref="AR17">
    <cfRule type="cellIs" dxfId="429" priority="299" operator="equal">
      <formula>0</formula>
    </cfRule>
  </conditionalFormatting>
  <conditionalFormatting sqref="AR17">
    <cfRule type="cellIs" dxfId="428" priority="298" stopIfTrue="1" operator="equal">
      <formula>0</formula>
    </cfRule>
  </conditionalFormatting>
  <conditionalFormatting sqref="AR17">
    <cfRule type="cellIs" dxfId="427" priority="297" operator="equal">
      <formula>0</formula>
    </cfRule>
  </conditionalFormatting>
  <conditionalFormatting sqref="AR17">
    <cfRule type="cellIs" dxfId="426" priority="296" stopIfTrue="1" operator="equal">
      <formula>0</formula>
    </cfRule>
  </conditionalFormatting>
  <conditionalFormatting sqref="AR17">
    <cfRule type="cellIs" dxfId="425" priority="295" operator="equal">
      <formula>0</formula>
    </cfRule>
  </conditionalFormatting>
  <conditionalFormatting sqref="AR17">
    <cfRule type="cellIs" dxfId="424" priority="294" stopIfTrue="1" operator="equal">
      <formula>0</formula>
    </cfRule>
  </conditionalFormatting>
  <conditionalFormatting sqref="AR17">
    <cfRule type="cellIs" dxfId="423" priority="293" operator="equal">
      <formula>0</formula>
    </cfRule>
  </conditionalFormatting>
  <conditionalFormatting sqref="AR17">
    <cfRule type="cellIs" dxfId="422" priority="292" stopIfTrue="1" operator="equal">
      <formula>0</formula>
    </cfRule>
  </conditionalFormatting>
  <conditionalFormatting sqref="AR17">
    <cfRule type="cellIs" dxfId="421" priority="291" operator="equal">
      <formula>0</formula>
    </cfRule>
  </conditionalFormatting>
  <conditionalFormatting sqref="AR17">
    <cfRule type="cellIs" dxfId="420" priority="284" stopIfTrue="1" operator="equal">
      <formula>0</formula>
    </cfRule>
  </conditionalFormatting>
  <conditionalFormatting sqref="AR17">
    <cfRule type="cellIs" dxfId="419" priority="283" operator="equal">
      <formula>0</formula>
    </cfRule>
  </conditionalFormatting>
  <conditionalFormatting sqref="AR17">
    <cfRule type="cellIs" dxfId="418" priority="290" stopIfTrue="1" operator="equal">
      <formula>0</formula>
    </cfRule>
  </conditionalFormatting>
  <conditionalFormatting sqref="AR17">
    <cfRule type="cellIs" dxfId="417" priority="289" operator="equal">
      <formula>0</formula>
    </cfRule>
  </conditionalFormatting>
  <conditionalFormatting sqref="AR17">
    <cfRule type="cellIs" dxfId="416" priority="288" stopIfTrue="1" operator="equal">
      <formula>0</formula>
    </cfRule>
  </conditionalFormatting>
  <conditionalFormatting sqref="AR17">
    <cfRule type="cellIs" dxfId="415" priority="287" operator="equal">
      <formula>0</formula>
    </cfRule>
  </conditionalFormatting>
  <conditionalFormatting sqref="AR17">
    <cfRule type="cellIs" dxfId="414" priority="286" stopIfTrue="1" operator="equal">
      <formula>0</formula>
    </cfRule>
  </conditionalFormatting>
  <conditionalFormatting sqref="AR17">
    <cfRule type="cellIs" dxfId="413" priority="285" operator="equal">
      <formula>0</formula>
    </cfRule>
  </conditionalFormatting>
  <conditionalFormatting sqref="AR17">
    <cfRule type="cellIs" dxfId="412" priority="282" stopIfTrue="1" operator="equal">
      <formula>0</formula>
    </cfRule>
  </conditionalFormatting>
  <conditionalFormatting sqref="AR17">
    <cfRule type="cellIs" dxfId="411" priority="281" operator="equal">
      <formula>0</formula>
    </cfRule>
  </conditionalFormatting>
  <conditionalFormatting sqref="AR17">
    <cfRule type="cellIs" dxfId="410" priority="280" stopIfTrue="1" operator="equal">
      <formula>0</formula>
    </cfRule>
  </conditionalFormatting>
  <conditionalFormatting sqref="AR17">
    <cfRule type="cellIs" dxfId="409" priority="279" operator="equal">
      <formula>0</formula>
    </cfRule>
  </conditionalFormatting>
  <conditionalFormatting sqref="AR14">
    <cfRule type="cellIs" dxfId="408" priority="278" stopIfTrue="1" operator="equal">
      <formula>0</formula>
    </cfRule>
  </conditionalFormatting>
  <conditionalFormatting sqref="AR14">
    <cfRule type="cellIs" dxfId="407" priority="277" operator="equal">
      <formula>0</formula>
    </cfRule>
  </conditionalFormatting>
  <conditionalFormatting sqref="AR14">
    <cfRule type="cellIs" dxfId="406" priority="272" stopIfTrue="1" operator="equal">
      <formula>0</formula>
    </cfRule>
  </conditionalFormatting>
  <conditionalFormatting sqref="AR14">
    <cfRule type="cellIs" dxfId="405" priority="271" operator="equal">
      <formula>0</formula>
    </cfRule>
  </conditionalFormatting>
  <conditionalFormatting sqref="AR14">
    <cfRule type="cellIs" dxfId="404" priority="270" stopIfTrue="1" operator="equal">
      <formula>0</formula>
    </cfRule>
  </conditionalFormatting>
  <conditionalFormatting sqref="AR14">
    <cfRule type="cellIs" dxfId="403" priority="269" operator="equal">
      <formula>0</formula>
    </cfRule>
  </conditionalFormatting>
  <conditionalFormatting sqref="AR14">
    <cfRule type="cellIs" dxfId="402" priority="268" stopIfTrue="1" operator="equal">
      <formula>0</formula>
    </cfRule>
  </conditionalFormatting>
  <conditionalFormatting sqref="AR14">
    <cfRule type="cellIs" dxfId="401" priority="267" operator="equal">
      <formula>0</formula>
    </cfRule>
  </conditionalFormatting>
  <conditionalFormatting sqref="AR14">
    <cfRule type="cellIs" dxfId="400" priority="266" stopIfTrue="1" operator="equal">
      <formula>0</formula>
    </cfRule>
  </conditionalFormatting>
  <conditionalFormatting sqref="AR14">
    <cfRule type="cellIs" dxfId="399" priority="265" operator="equal">
      <formula>0</formula>
    </cfRule>
  </conditionalFormatting>
  <conditionalFormatting sqref="AR14">
    <cfRule type="cellIs" dxfId="398" priority="264" stopIfTrue="1" operator="equal">
      <formula>0</formula>
    </cfRule>
  </conditionalFormatting>
  <conditionalFormatting sqref="AR14">
    <cfRule type="cellIs" dxfId="397" priority="263" operator="equal">
      <formula>0</formula>
    </cfRule>
  </conditionalFormatting>
  <conditionalFormatting sqref="AR14">
    <cfRule type="cellIs" dxfId="396" priority="262" stopIfTrue="1" operator="equal">
      <formula>0</formula>
    </cfRule>
  </conditionalFormatting>
  <conditionalFormatting sqref="AR14">
    <cfRule type="cellIs" dxfId="395" priority="261" operator="equal">
      <formula>0</formula>
    </cfRule>
  </conditionalFormatting>
  <conditionalFormatting sqref="AR14">
    <cfRule type="cellIs" dxfId="394" priority="260" stopIfTrue="1" operator="equal">
      <formula>0</formula>
    </cfRule>
  </conditionalFormatting>
  <conditionalFormatting sqref="AR14">
    <cfRule type="cellIs" dxfId="393" priority="259" operator="equal">
      <formula>0</formula>
    </cfRule>
  </conditionalFormatting>
  <conditionalFormatting sqref="AR14">
    <cfRule type="cellIs" dxfId="392" priority="258" stopIfTrue="1" operator="equal">
      <formula>0</formula>
    </cfRule>
  </conditionalFormatting>
  <conditionalFormatting sqref="AR14">
    <cfRule type="cellIs" dxfId="391" priority="257" operator="equal">
      <formula>0</formula>
    </cfRule>
  </conditionalFormatting>
  <conditionalFormatting sqref="AR14">
    <cfRule type="cellIs" dxfId="390" priority="276" stopIfTrue="1" operator="equal">
      <formula>0</formula>
    </cfRule>
  </conditionalFormatting>
  <conditionalFormatting sqref="AR14">
    <cfRule type="cellIs" dxfId="389" priority="275" operator="equal">
      <formula>0</formula>
    </cfRule>
  </conditionalFormatting>
  <conditionalFormatting sqref="AR14">
    <cfRule type="cellIs" dxfId="388" priority="274" stopIfTrue="1" operator="equal">
      <formula>0</formula>
    </cfRule>
  </conditionalFormatting>
  <conditionalFormatting sqref="AR14">
    <cfRule type="cellIs" dxfId="387" priority="273" operator="equal">
      <formula>0</formula>
    </cfRule>
  </conditionalFormatting>
  <conditionalFormatting sqref="AR14">
    <cfRule type="cellIs" dxfId="386" priority="256" stopIfTrue="1" operator="equal">
      <formula>0</formula>
    </cfRule>
  </conditionalFormatting>
  <conditionalFormatting sqref="AR14">
    <cfRule type="cellIs" dxfId="385" priority="255" operator="equal">
      <formula>0</formula>
    </cfRule>
  </conditionalFormatting>
  <conditionalFormatting sqref="AR14">
    <cfRule type="cellIs" dxfId="384" priority="254" stopIfTrue="1" operator="equal">
      <formula>0</formula>
    </cfRule>
  </conditionalFormatting>
  <conditionalFormatting sqref="AR14">
    <cfRule type="cellIs" dxfId="383" priority="253" operator="equal">
      <formula>0</formula>
    </cfRule>
  </conditionalFormatting>
  <conditionalFormatting sqref="AR14">
    <cfRule type="cellIs" dxfId="382" priority="252" stopIfTrue="1" operator="equal">
      <formula>0</formula>
    </cfRule>
  </conditionalFormatting>
  <conditionalFormatting sqref="AR14">
    <cfRule type="cellIs" dxfId="381" priority="251" operator="equal">
      <formula>0</formula>
    </cfRule>
  </conditionalFormatting>
  <conditionalFormatting sqref="AR14">
    <cfRule type="cellIs" dxfId="380" priority="250" stopIfTrue="1" operator="equal">
      <formula>0</formula>
    </cfRule>
  </conditionalFormatting>
  <conditionalFormatting sqref="AR14">
    <cfRule type="cellIs" dxfId="379" priority="249" operator="equal">
      <formula>0</formula>
    </cfRule>
  </conditionalFormatting>
  <conditionalFormatting sqref="AR14">
    <cfRule type="cellIs" dxfId="378" priority="244" stopIfTrue="1" operator="equal">
      <formula>0</formula>
    </cfRule>
  </conditionalFormatting>
  <conditionalFormatting sqref="AR14">
    <cfRule type="cellIs" dxfId="377" priority="243" operator="equal">
      <formula>0</formula>
    </cfRule>
  </conditionalFormatting>
  <conditionalFormatting sqref="AR13 AR17 AR21 AR25">
    <cfRule type="cellIs" dxfId="376" priority="242" stopIfTrue="1" operator="equal">
      <formula>0</formula>
    </cfRule>
  </conditionalFormatting>
  <conditionalFormatting sqref="AR13 AR17 AR21 AR25">
    <cfRule type="cellIs" dxfId="375" priority="241" operator="equal">
      <formula>0</formula>
    </cfRule>
  </conditionalFormatting>
  <conditionalFormatting sqref="AR13 AR17 AR21 AR25">
    <cfRule type="cellIs" dxfId="374" priority="240" stopIfTrue="1" operator="equal">
      <formula>0</formula>
    </cfRule>
  </conditionalFormatting>
  <conditionalFormatting sqref="AR13 AR17 AR21 AR25">
    <cfRule type="cellIs" dxfId="373" priority="239" operator="equal">
      <formula>0</formula>
    </cfRule>
  </conditionalFormatting>
  <conditionalFormatting sqref="AR13 AR17 AR21 AR25">
    <cfRule type="cellIs" dxfId="372" priority="238" stopIfTrue="1" operator="equal">
      <formula>0</formula>
    </cfRule>
  </conditionalFormatting>
  <conditionalFormatting sqref="AR13 AR17 AR21 AR25">
    <cfRule type="cellIs" dxfId="371" priority="237" operator="equal">
      <formula>0</formula>
    </cfRule>
  </conditionalFormatting>
  <conditionalFormatting sqref="AR13 AR17 AR21 AR25">
    <cfRule type="cellIs" dxfId="370" priority="236" stopIfTrue="1" operator="equal">
      <formula>0</formula>
    </cfRule>
  </conditionalFormatting>
  <conditionalFormatting sqref="AR13 AR17 AR21 AR25">
    <cfRule type="cellIs" dxfId="369" priority="235" operator="equal">
      <formula>0</formula>
    </cfRule>
  </conditionalFormatting>
  <conditionalFormatting sqref="AR14">
    <cfRule type="cellIs" dxfId="368" priority="248" stopIfTrue="1" operator="equal">
      <formula>0</formula>
    </cfRule>
  </conditionalFormatting>
  <conditionalFormatting sqref="AR14">
    <cfRule type="cellIs" dxfId="367" priority="247" operator="equal">
      <formula>0</formula>
    </cfRule>
  </conditionalFormatting>
  <conditionalFormatting sqref="AR14">
    <cfRule type="cellIs" dxfId="366" priority="246" stopIfTrue="1" operator="equal">
      <formula>0</formula>
    </cfRule>
  </conditionalFormatting>
  <conditionalFormatting sqref="AR14">
    <cfRule type="cellIs" dxfId="365" priority="245" operator="equal">
      <formula>0</formula>
    </cfRule>
  </conditionalFormatting>
  <conditionalFormatting sqref="AR8">
    <cfRule type="cellIs" dxfId="364" priority="209" stopIfTrue="1" operator="equal">
      <formula>0</formula>
    </cfRule>
  </conditionalFormatting>
  <conditionalFormatting sqref="AR8">
    <cfRule type="cellIs" dxfId="363" priority="205" stopIfTrue="1" operator="equal">
      <formula>0</formula>
    </cfRule>
  </conditionalFormatting>
  <conditionalFormatting sqref="AR8">
    <cfRule type="cellIs" dxfId="362" priority="204" operator="equal">
      <formula>0</formula>
    </cfRule>
  </conditionalFormatting>
  <conditionalFormatting sqref="AR8">
    <cfRule type="cellIs" dxfId="361" priority="199" stopIfTrue="1" operator="equal">
      <formula>0</formula>
    </cfRule>
  </conditionalFormatting>
  <conditionalFormatting sqref="AR8">
    <cfRule type="cellIs" dxfId="360" priority="198" operator="equal">
      <formula>0</formula>
    </cfRule>
  </conditionalFormatting>
  <conditionalFormatting sqref="AR8">
    <cfRule type="cellIs" dxfId="359" priority="197" stopIfTrue="1" operator="equal">
      <formula>0</formula>
    </cfRule>
  </conditionalFormatting>
  <conditionalFormatting sqref="AR8">
    <cfRule type="cellIs" dxfId="358" priority="196" operator="equal">
      <formula>0</formula>
    </cfRule>
  </conditionalFormatting>
  <conditionalFormatting sqref="AR8">
    <cfRule type="cellIs" dxfId="357" priority="207" stopIfTrue="1" operator="equal">
      <formula>0</formula>
    </cfRule>
  </conditionalFormatting>
  <conditionalFormatting sqref="AR8">
    <cfRule type="cellIs" dxfId="356" priority="206" operator="equal">
      <formula>0</formula>
    </cfRule>
  </conditionalFormatting>
  <conditionalFormatting sqref="AR8">
    <cfRule type="cellIs" dxfId="355" priority="203" stopIfTrue="1" operator="equal">
      <formula>0</formula>
    </cfRule>
  </conditionalFormatting>
  <conditionalFormatting sqref="AR8">
    <cfRule type="cellIs" dxfId="354" priority="202" operator="equal">
      <formula>0</formula>
    </cfRule>
  </conditionalFormatting>
  <conditionalFormatting sqref="AR8">
    <cfRule type="cellIs" dxfId="353" priority="201" stopIfTrue="1" operator="equal">
      <formula>0</formula>
    </cfRule>
  </conditionalFormatting>
  <conditionalFormatting sqref="AR8">
    <cfRule type="cellIs" dxfId="352" priority="200" operator="equal">
      <formula>0</formula>
    </cfRule>
  </conditionalFormatting>
  <conditionalFormatting sqref="AR8">
    <cfRule type="cellIs" dxfId="351" priority="195" stopIfTrue="1" operator="equal">
      <formula>0</formula>
    </cfRule>
  </conditionalFormatting>
  <conditionalFormatting sqref="AR8">
    <cfRule type="cellIs" dxfId="350" priority="194" operator="equal">
      <formula>0</formula>
    </cfRule>
  </conditionalFormatting>
  <conditionalFormatting sqref="AR8">
    <cfRule type="cellIs" dxfId="349" priority="187" stopIfTrue="1" operator="equal">
      <formula>0</formula>
    </cfRule>
  </conditionalFormatting>
  <conditionalFormatting sqref="AR8">
    <cfRule type="cellIs" dxfId="348" priority="186" operator="equal">
      <formula>0</formula>
    </cfRule>
  </conditionalFormatting>
  <conditionalFormatting sqref="AR8">
    <cfRule type="cellIs" dxfId="347" priority="193" stopIfTrue="1" operator="equal">
      <formula>0</formula>
    </cfRule>
  </conditionalFormatting>
  <conditionalFormatting sqref="AR8">
    <cfRule type="cellIs" dxfId="346" priority="192" operator="equal">
      <formula>0</formula>
    </cfRule>
  </conditionalFormatting>
  <conditionalFormatting sqref="AR8">
    <cfRule type="cellIs" dxfId="345" priority="191" stopIfTrue="1" operator="equal">
      <formula>0</formula>
    </cfRule>
  </conditionalFormatting>
  <conditionalFormatting sqref="AR8">
    <cfRule type="cellIs" dxfId="344" priority="190" operator="equal">
      <formula>0</formula>
    </cfRule>
  </conditionalFormatting>
  <conditionalFormatting sqref="AR8">
    <cfRule type="cellIs" dxfId="343" priority="189" stopIfTrue="1" operator="equal">
      <formula>0</formula>
    </cfRule>
  </conditionalFormatting>
  <conditionalFormatting sqref="AR8">
    <cfRule type="cellIs" dxfId="342" priority="188" operator="equal">
      <formula>0</formula>
    </cfRule>
  </conditionalFormatting>
  <conditionalFormatting sqref="AR11">
    <cfRule type="cellIs" dxfId="341" priority="185" stopIfTrue="1" operator="equal">
      <formula>0</formula>
    </cfRule>
  </conditionalFormatting>
  <conditionalFormatting sqref="AR11">
    <cfRule type="cellIs" dxfId="340" priority="184" operator="equal">
      <formula>0</formula>
    </cfRule>
  </conditionalFormatting>
  <conditionalFormatting sqref="AR11">
    <cfRule type="cellIs" dxfId="339" priority="183" stopIfTrue="1" operator="equal">
      <formula>0</formula>
    </cfRule>
  </conditionalFormatting>
  <conditionalFormatting sqref="AR11">
    <cfRule type="cellIs" dxfId="338" priority="182" operator="equal">
      <formula>0</formula>
    </cfRule>
  </conditionalFormatting>
  <conditionalFormatting sqref="AR11">
    <cfRule type="cellIs" dxfId="337" priority="181" stopIfTrue="1" operator="equal">
      <formula>0</formula>
    </cfRule>
  </conditionalFormatting>
  <conditionalFormatting sqref="AR11">
    <cfRule type="cellIs" dxfId="336" priority="180" operator="equal">
      <formula>0</formula>
    </cfRule>
  </conditionalFormatting>
  <conditionalFormatting sqref="AR11">
    <cfRule type="cellIs" dxfId="335" priority="179" stopIfTrue="1" operator="equal">
      <formula>0</formula>
    </cfRule>
  </conditionalFormatting>
  <conditionalFormatting sqref="AR11">
    <cfRule type="cellIs" dxfId="334" priority="178" operator="equal">
      <formula>0</formula>
    </cfRule>
  </conditionalFormatting>
  <conditionalFormatting sqref="AR13">
    <cfRule type="cellIs" dxfId="333" priority="177" stopIfTrue="1" operator="equal">
      <formula>0</formula>
    </cfRule>
  </conditionalFormatting>
  <conditionalFormatting sqref="AR13">
    <cfRule type="cellIs" dxfId="332" priority="176" operator="equal">
      <formula>0</formula>
    </cfRule>
  </conditionalFormatting>
  <conditionalFormatting sqref="AR13">
    <cfRule type="cellIs" dxfId="331" priority="175" stopIfTrue="1" operator="equal">
      <formula>0</formula>
    </cfRule>
  </conditionalFormatting>
  <conditionalFormatting sqref="AR13">
    <cfRule type="cellIs" dxfId="330" priority="174" operator="equal">
      <formula>0</formula>
    </cfRule>
  </conditionalFormatting>
  <conditionalFormatting sqref="AR13">
    <cfRule type="cellIs" dxfId="329" priority="173" stopIfTrue="1" operator="equal">
      <formula>0</formula>
    </cfRule>
  </conditionalFormatting>
  <conditionalFormatting sqref="AR13">
    <cfRule type="cellIs" dxfId="328" priority="172" operator="equal">
      <formula>0</formula>
    </cfRule>
  </conditionalFormatting>
  <conditionalFormatting sqref="AR13">
    <cfRule type="cellIs" dxfId="327" priority="171" stopIfTrue="1" operator="equal">
      <formula>0</formula>
    </cfRule>
  </conditionalFormatting>
  <conditionalFormatting sqref="AR13">
    <cfRule type="cellIs" dxfId="326" priority="170" operator="equal">
      <formula>0</formula>
    </cfRule>
  </conditionalFormatting>
  <conditionalFormatting sqref="AR16">
    <cfRule type="cellIs" dxfId="325" priority="169" stopIfTrue="1" operator="equal">
      <formula>0</formula>
    </cfRule>
  </conditionalFormatting>
  <conditionalFormatting sqref="AR16">
    <cfRule type="cellIs" dxfId="324" priority="168" operator="equal">
      <formula>0</formula>
    </cfRule>
  </conditionalFormatting>
  <conditionalFormatting sqref="AR16">
    <cfRule type="cellIs" dxfId="323" priority="167" stopIfTrue="1" operator="equal">
      <formula>0</formula>
    </cfRule>
  </conditionalFormatting>
  <conditionalFormatting sqref="AR16">
    <cfRule type="cellIs" dxfId="322" priority="166" operator="equal">
      <formula>0</formula>
    </cfRule>
  </conditionalFormatting>
  <conditionalFormatting sqref="AR16">
    <cfRule type="cellIs" dxfId="321" priority="165" stopIfTrue="1" operator="equal">
      <formula>0</formula>
    </cfRule>
  </conditionalFormatting>
  <conditionalFormatting sqref="AR16">
    <cfRule type="cellIs" dxfId="320" priority="164" operator="equal">
      <formula>0</formula>
    </cfRule>
  </conditionalFormatting>
  <conditionalFormatting sqref="AR16">
    <cfRule type="cellIs" dxfId="319" priority="163" stopIfTrue="1" operator="equal">
      <formula>0</formula>
    </cfRule>
  </conditionalFormatting>
  <conditionalFormatting sqref="AR16">
    <cfRule type="cellIs" dxfId="318" priority="162" operator="equal">
      <formula>0</formula>
    </cfRule>
  </conditionalFormatting>
  <conditionalFormatting sqref="AR16">
    <cfRule type="cellIs" dxfId="317" priority="161" stopIfTrue="1" operator="equal">
      <formula>0</formula>
    </cfRule>
  </conditionalFormatting>
  <conditionalFormatting sqref="AR16">
    <cfRule type="cellIs" dxfId="316" priority="160" operator="equal">
      <formula>0</formula>
    </cfRule>
  </conditionalFormatting>
  <conditionalFormatting sqref="AR16">
    <cfRule type="cellIs" dxfId="315" priority="159" stopIfTrue="1" operator="equal">
      <formula>0</formula>
    </cfRule>
  </conditionalFormatting>
  <conditionalFormatting sqref="AR16">
    <cfRule type="cellIs" dxfId="314" priority="158" operator="equal">
      <formula>0</formula>
    </cfRule>
  </conditionalFormatting>
  <conditionalFormatting sqref="AR16">
    <cfRule type="cellIs" dxfId="313" priority="157" stopIfTrue="1" operator="equal">
      <formula>0</formula>
    </cfRule>
  </conditionalFormatting>
  <conditionalFormatting sqref="AR16">
    <cfRule type="cellIs" dxfId="312" priority="156" operator="equal">
      <formula>0</formula>
    </cfRule>
  </conditionalFormatting>
  <conditionalFormatting sqref="AR16">
    <cfRule type="cellIs" dxfId="311" priority="155" stopIfTrue="1" operator="equal">
      <formula>0</formula>
    </cfRule>
  </conditionalFormatting>
  <conditionalFormatting sqref="AR16">
    <cfRule type="cellIs" dxfId="310" priority="154" operator="equal">
      <formula>0</formula>
    </cfRule>
  </conditionalFormatting>
  <conditionalFormatting sqref="AR16">
    <cfRule type="cellIs" dxfId="309" priority="153" stopIfTrue="1" operator="equal">
      <formula>0</formula>
    </cfRule>
  </conditionalFormatting>
  <conditionalFormatting sqref="AR16">
    <cfRule type="cellIs" dxfId="308" priority="152" operator="equal">
      <formula>0</formula>
    </cfRule>
  </conditionalFormatting>
  <conditionalFormatting sqref="AR16">
    <cfRule type="cellIs" dxfId="307" priority="151" stopIfTrue="1" operator="equal">
      <formula>0</formula>
    </cfRule>
  </conditionalFormatting>
  <conditionalFormatting sqref="AR16">
    <cfRule type="cellIs" dxfId="306" priority="150" operator="equal">
      <formula>0</formula>
    </cfRule>
  </conditionalFormatting>
  <conditionalFormatting sqref="AR16">
    <cfRule type="cellIs" dxfId="305" priority="149" stopIfTrue="1" operator="equal">
      <formula>0</formula>
    </cfRule>
  </conditionalFormatting>
  <conditionalFormatting sqref="AR16">
    <cfRule type="cellIs" dxfId="304" priority="148" operator="equal">
      <formula>0</formula>
    </cfRule>
  </conditionalFormatting>
  <conditionalFormatting sqref="AR16">
    <cfRule type="cellIs" dxfId="303" priority="147" stopIfTrue="1" operator="equal">
      <formula>0</formula>
    </cfRule>
  </conditionalFormatting>
  <conditionalFormatting sqref="AR16">
    <cfRule type="cellIs" dxfId="302" priority="146" operator="equal">
      <formula>0</formula>
    </cfRule>
  </conditionalFormatting>
  <conditionalFormatting sqref="AR16">
    <cfRule type="cellIs" dxfId="301" priority="145" stopIfTrue="1" operator="equal">
      <formula>0</formula>
    </cfRule>
  </conditionalFormatting>
  <conditionalFormatting sqref="AR16">
    <cfRule type="cellIs" dxfId="300" priority="144" operator="equal">
      <formula>0</formula>
    </cfRule>
  </conditionalFormatting>
  <conditionalFormatting sqref="AR16">
    <cfRule type="cellIs" dxfId="299" priority="143" stopIfTrue="1" operator="equal">
      <formula>0</formula>
    </cfRule>
  </conditionalFormatting>
  <conditionalFormatting sqref="AR16">
    <cfRule type="cellIs" dxfId="298" priority="142" operator="equal">
      <formula>0</formula>
    </cfRule>
  </conditionalFormatting>
  <conditionalFormatting sqref="AR16">
    <cfRule type="cellIs" dxfId="297" priority="141" stopIfTrue="1" operator="equal">
      <formula>0</formula>
    </cfRule>
  </conditionalFormatting>
  <conditionalFormatting sqref="AR16">
    <cfRule type="cellIs" dxfId="296" priority="140" operator="equal">
      <formula>0</formula>
    </cfRule>
  </conditionalFormatting>
  <conditionalFormatting sqref="AR16">
    <cfRule type="cellIs" dxfId="295" priority="135" stopIfTrue="1" operator="equal">
      <formula>0</formula>
    </cfRule>
  </conditionalFormatting>
  <conditionalFormatting sqref="AR16">
    <cfRule type="cellIs" dxfId="294" priority="134" operator="equal">
      <formula>0</formula>
    </cfRule>
  </conditionalFormatting>
  <conditionalFormatting sqref="AR15">
    <cfRule type="cellIs" dxfId="293" priority="133" stopIfTrue="1" operator="equal">
      <formula>0</formula>
    </cfRule>
  </conditionalFormatting>
  <conditionalFormatting sqref="AR15">
    <cfRule type="cellIs" dxfId="292" priority="132" operator="equal">
      <formula>0</formula>
    </cfRule>
  </conditionalFormatting>
  <conditionalFormatting sqref="AR15">
    <cfRule type="cellIs" dxfId="291" priority="131" stopIfTrue="1" operator="equal">
      <formula>0</formula>
    </cfRule>
  </conditionalFormatting>
  <conditionalFormatting sqref="AR15">
    <cfRule type="cellIs" dxfId="290" priority="130" operator="equal">
      <formula>0</formula>
    </cfRule>
  </conditionalFormatting>
  <conditionalFormatting sqref="AR15">
    <cfRule type="cellIs" dxfId="289" priority="129" stopIfTrue="1" operator="equal">
      <formula>0</formula>
    </cfRule>
  </conditionalFormatting>
  <conditionalFormatting sqref="AR15">
    <cfRule type="cellIs" dxfId="288" priority="128" operator="equal">
      <formula>0</formula>
    </cfRule>
  </conditionalFormatting>
  <conditionalFormatting sqref="AR15">
    <cfRule type="cellIs" dxfId="287" priority="127" stopIfTrue="1" operator="equal">
      <formula>0</formula>
    </cfRule>
  </conditionalFormatting>
  <conditionalFormatting sqref="AR15">
    <cfRule type="cellIs" dxfId="286" priority="126" operator="equal">
      <formula>0</formula>
    </cfRule>
  </conditionalFormatting>
  <conditionalFormatting sqref="AR17">
    <cfRule type="cellIs" dxfId="285" priority="125" stopIfTrue="1" operator="equal">
      <formula>0</formula>
    </cfRule>
  </conditionalFormatting>
  <conditionalFormatting sqref="AR17">
    <cfRule type="cellIs" dxfId="284" priority="124" operator="equal">
      <formula>0</formula>
    </cfRule>
  </conditionalFormatting>
  <conditionalFormatting sqref="AR17">
    <cfRule type="cellIs" dxfId="283" priority="123" stopIfTrue="1" operator="equal">
      <formula>0</formula>
    </cfRule>
  </conditionalFormatting>
  <conditionalFormatting sqref="AR17">
    <cfRule type="cellIs" dxfId="282" priority="122" operator="equal">
      <formula>0</formula>
    </cfRule>
  </conditionalFormatting>
  <conditionalFormatting sqref="AR17">
    <cfRule type="cellIs" dxfId="281" priority="121" stopIfTrue="1" operator="equal">
      <formula>0</formula>
    </cfRule>
  </conditionalFormatting>
  <conditionalFormatting sqref="AR17">
    <cfRule type="cellIs" dxfId="280" priority="120" operator="equal">
      <formula>0</formula>
    </cfRule>
  </conditionalFormatting>
  <conditionalFormatting sqref="AR16">
    <cfRule type="cellIs" dxfId="279" priority="139" stopIfTrue="1" operator="equal">
      <formula>0</formula>
    </cfRule>
  </conditionalFormatting>
  <conditionalFormatting sqref="AR16">
    <cfRule type="cellIs" dxfId="278" priority="138" operator="equal">
      <formula>0</formula>
    </cfRule>
  </conditionalFormatting>
  <conditionalFormatting sqref="AR16">
    <cfRule type="cellIs" dxfId="277" priority="137" stopIfTrue="1" operator="equal">
      <formula>0</formula>
    </cfRule>
  </conditionalFormatting>
  <conditionalFormatting sqref="AR16">
    <cfRule type="cellIs" dxfId="276" priority="136" operator="equal">
      <formula>0</formula>
    </cfRule>
  </conditionalFormatting>
  <conditionalFormatting sqref="AR17">
    <cfRule type="cellIs" dxfId="275" priority="119" stopIfTrue="1" operator="equal">
      <formula>0</formula>
    </cfRule>
  </conditionalFormatting>
  <conditionalFormatting sqref="AR17">
    <cfRule type="cellIs" dxfId="274" priority="118" operator="equal">
      <formula>0</formula>
    </cfRule>
  </conditionalFormatting>
  <conditionalFormatting sqref="AR17">
    <cfRule type="cellIs" dxfId="273" priority="117" stopIfTrue="1" operator="equal">
      <formula>0</formula>
    </cfRule>
  </conditionalFormatting>
  <conditionalFormatting sqref="AR17">
    <cfRule type="cellIs" dxfId="272" priority="116" operator="equal">
      <formula>0</formula>
    </cfRule>
  </conditionalFormatting>
  <conditionalFormatting sqref="AR17">
    <cfRule type="cellIs" dxfId="271" priority="115" stopIfTrue="1" operator="equal">
      <formula>0</formula>
    </cfRule>
  </conditionalFormatting>
  <conditionalFormatting sqref="AR17">
    <cfRule type="cellIs" dxfId="270" priority="114" operator="equal">
      <formula>0</formula>
    </cfRule>
  </conditionalFormatting>
  <conditionalFormatting sqref="AR17">
    <cfRule type="cellIs" dxfId="269" priority="113" stopIfTrue="1" operator="equal">
      <formula>0</formula>
    </cfRule>
  </conditionalFormatting>
  <conditionalFormatting sqref="AR17">
    <cfRule type="cellIs" dxfId="268" priority="112" operator="equal">
      <formula>0</formula>
    </cfRule>
  </conditionalFormatting>
  <conditionalFormatting sqref="AR17">
    <cfRule type="cellIs" dxfId="267" priority="111" stopIfTrue="1" operator="equal">
      <formula>0</formula>
    </cfRule>
  </conditionalFormatting>
  <conditionalFormatting sqref="AR17">
    <cfRule type="cellIs" dxfId="266" priority="110" operator="equal">
      <formula>0</formula>
    </cfRule>
  </conditionalFormatting>
  <conditionalFormatting sqref="AR17">
    <cfRule type="cellIs" dxfId="265" priority="109" stopIfTrue="1" operator="equal">
      <formula>0</formula>
    </cfRule>
  </conditionalFormatting>
  <conditionalFormatting sqref="AR17">
    <cfRule type="cellIs" dxfId="264" priority="108" operator="equal">
      <formula>0</formula>
    </cfRule>
  </conditionalFormatting>
  <conditionalFormatting sqref="AR17">
    <cfRule type="cellIs" dxfId="263" priority="107" stopIfTrue="1" operator="equal">
      <formula>0</formula>
    </cfRule>
  </conditionalFormatting>
  <conditionalFormatting sqref="AR17">
    <cfRule type="cellIs" dxfId="262" priority="106" operator="equal">
      <formula>0</formula>
    </cfRule>
  </conditionalFormatting>
  <conditionalFormatting sqref="AR17">
    <cfRule type="cellIs" dxfId="261" priority="105" stopIfTrue="1" operator="equal">
      <formula>0</formula>
    </cfRule>
  </conditionalFormatting>
  <conditionalFormatting sqref="AR17">
    <cfRule type="cellIs" dxfId="260" priority="104" operator="equal">
      <formula>0</formula>
    </cfRule>
  </conditionalFormatting>
  <conditionalFormatting sqref="AR17">
    <cfRule type="cellIs" dxfId="259" priority="103" stopIfTrue="1" operator="equal">
      <formula>0</formula>
    </cfRule>
  </conditionalFormatting>
  <conditionalFormatting sqref="AR17">
    <cfRule type="cellIs" dxfId="258" priority="102" operator="equal">
      <formula>0</formula>
    </cfRule>
  </conditionalFormatting>
  <conditionalFormatting sqref="AR17">
    <cfRule type="cellIs" dxfId="257" priority="101" stopIfTrue="1" operator="equal">
      <formula>0</formula>
    </cfRule>
  </conditionalFormatting>
  <conditionalFormatting sqref="AR17">
    <cfRule type="cellIs" dxfId="256" priority="100" operator="equal">
      <formula>0</formula>
    </cfRule>
  </conditionalFormatting>
  <conditionalFormatting sqref="AR17">
    <cfRule type="cellIs" dxfId="255" priority="99" stopIfTrue="1" operator="equal">
      <formula>0</formula>
    </cfRule>
  </conditionalFormatting>
  <conditionalFormatting sqref="AR17">
    <cfRule type="cellIs" dxfId="254" priority="98" operator="equal">
      <formula>0</formula>
    </cfRule>
  </conditionalFormatting>
  <conditionalFormatting sqref="AR17">
    <cfRule type="cellIs" dxfId="253" priority="97" stopIfTrue="1" operator="equal">
      <formula>0</formula>
    </cfRule>
  </conditionalFormatting>
  <conditionalFormatting sqref="AR17">
    <cfRule type="cellIs" dxfId="252" priority="96" operator="equal">
      <formula>0</formula>
    </cfRule>
  </conditionalFormatting>
  <conditionalFormatting sqref="AR17">
    <cfRule type="cellIs" dxfId="251" priority="95" stopIfTrue="1" operator="equal">
      <formula>0</formula>
    </cfRule>
  </conditionalFormatting>
  <conditionalFormatting sqref="AR17">
    <cfRule type="cellIs" dxfId="250" priority="94" operator="equal">
      <formula>0</formula>
    </cfRule>
  </conditionalFormatting>
  <conditionalFormatting sqref="AR19">
    <cfRule type="cellIs" dxfId="249" priority="93" stopIfTrue="1" operator="equal">
      <formula>0</formula>
    </cfRule>
  </conditionalFormatting>
  <conditionalFormatting sqref="AR19">
    <cfRule type="cellIs" dxfId="248" priority="92" operator="equal">
      <formula>0</formula>
    </cfRule>
  </conditionalFormatting>
  <conditionalFormatting sqref="AR19">
    <cfRule type="cellIs" dxfId="247" priority="91" stopIfTrue="1" operator="equal">
      <formula>0</formula>
    </cfRule>
  </conditionalFormatting>
  <conditionalFormatting sqref="AR19">
    <cfRule type="cellIs" dxfId="246" priority="90" operator="equal">
      <formula>0</formula>
    </cfRule>
  </conditionalFormatting>
  <conditionalFormatting sqref="AR19">
    <cfRule type="cellIs" dxfId="245" priority="89" stopIfTrue="1" operator="equal">
      <formula>0</formula>
    </cfRule>
  </conditionalFormatting>
  <conditionalFormatting sqref="AR19">
    <cfRule type="cellIs" dxfId="244" priority="88" operator="equal">
      <formula>0</formula>
    </cfRule>
  </conditionalFormatting>
  <conditionalFormatting sqref="AR19">
    <cfRule type="cellIs" dxfId="243" priority="87" stopIfTrue="1" operator="equal">
      <formula>0</formula>
    </cfRule>
  </conditionalFormatting>
  <conditionalFormatting sqref="AR19">
    <cfRule type="cellIs" dxfId="242" priority="86" operator="equal">
      <formula>0</formula>
    </cfRule>
  </conditionalFormatting>
  <conditionalFormatting sqref="AR19">
    <cfRule type="cellIs" dxfId="241" priority="85" stopIfTrue="1" operator="equal">
      <formula>0</formula>
    </cfRule>
  </conditionalFormatting>
  <conditionalFormatting sqref="AR19">
    <cfRule type="cellIs" dxfId="240" priority="84" operator="equal">
      <formula>0</formula>
    </cfRule>
  </conditionalFormatting>
  <conditionalFormatting sqref="AR19">
    <cfRule type="cellIs" dxfId="239" priority="83" stopIfTrue="1" operator="equal">
      <formula>0</formula>
    </cfRule>
  </conditionalFormatting>
  <conditionalFormatting sqref="AR19">
    <cfRule type="cellIs" dxfId="238" priority="82" operator="equal">
      <formula>0</formula>
    </cfRule>
  </conditionalFormatting>
  <conditionalFormatting sqref="AR19">
    <cfRule type="cellIs" dxfId="237" priority="81" stopIfTrue="1" operator="equal">
      <formula>0</formula>
    </cfRule>
  </conditionalFormatting>
  <conditionalFormatting sqref="AR19">
    <cfRule type="cellIs" dxfId="236" priority="80" operator="equal">
      <formula>0</formula>
    </cfRule>
  </conditionalFormatting>
  <conditionalFormatting sqref="AR19">
    <cfRule type="cellIs" dxfId="235" priority="79" stopIfTrue="1" operator="equal">
      <formula>0</formula>
    </cfRule>
  </conditionalFormatting>
  <conditionalFormatting sqref="AR19">
    <cfRule type="cellIs" dxfId="234" priority="78" operator="equal">
      <formula>0</formula>
    </cfRule>
  </conditionalFormatting>
  <conditionalFormatting sqref="AR17">
    <cfRule type="cellIs" dxfId="233" priority="77" stopIfTrue="1" operator="equal">
      <formula>0</formula>
    </cfRule>
  </conditionalFormatting>
  <conditionalFormatting sqref="AR17">
    <cfRule type="cellIs" dxfId="232" priority="76" operator="equal">
      <formula>0</formula>
    </cfRule>
  </conditionalFormatting>
  <conditionalFormatting sqref="AR17">
    <cfRule type="cellIs" dxfId="231" priority="75" stopIfTrue="1" operator="equal">
      <formula>0</formula>
    </cfRule>
  </conditionalFormatting>
  <conditionalFormatting sqref="AR17">
    <cfRule type="cellIs" dxfId="230" priority="74" operator="equal">
      <formula>0</formula>
    </cfRule>
  </conditionalFormatting>
  <conditionalFormatting sqref="AR17">
    <cfRule type="cellIs" dxfId="229" priority="73" stopIfTrue="1" operator="equal">
      <formula>0</formula>
    </cfRule>
  </conditionalFormatting>
  <conditionalFormatting sqref="AR17">
    <cfRule type="cellIs" dxfId="228" priority="72" operator="equal">
      <formula>0</formula>
    </cfRule>
  </conditionalFormatting>
  <conditionalFormatting sqref="AR17">
    <cfRule type="cellIs" dxfId="227" priority="71" stopIfTrue="1" operator="equal">
      <formula>0</formula>
    </cfRule>
  </conditionalFormatting>
  <conditionalFormatting sqref="AR17">
    <cfRule type="cellIs" dxfId="226" priority="70" operator="equal">
      <formula>0</formula>
    </cfRule>
  </conditionalFormatting>
  <conditionalFormatting sqref="AR17">
    <cfRule type="cellIs" dxfId="225" priority="69" stopIfTrue="1" operator="equal">
      <formula>0</formula>
    </cfRule>
  </conditionalFormatting>
  <conditionalFormatting sqref="AR17">
    <cfRule type="cellIs" dxfId="224" priority="68" operator="equal">
      <formula>0</formula>
    </cfRule>
  </conditionalFormatting>
  <conditionalFormatting sqref="AR17">
    <cfRule type="cellIs" dxfId="223" priority="67" stopIfTrue="1" operator="equal">
      <formula>0</formula>
    </cfRule>
  </conditionalFormatting>
  <conditionalFormatting sqref="AR17">
    <cfRule type="cellIs" dxfId="222" priority="66" operator="equal">
      <formula>0</formula>
    </cfRule>
  </conditionalFormatting>
  <conditionalFormatting sqref="AR17">
    <cfRule type="cellIs" dxfId="221" priority="65" stopIfTrue="1" operator="equal">
      <formula>0</formula>
    </cfRule>
  </conditionalFormatting>
  <conditionalFormatting sqref="AR17">
    <cfRule type="cellIs" dxfId="220" priority="64" operator="equal">
      <formula>0</formula>
    </cfRule>
  </conditionalFormatting>
  <conditionalFormatting sqref="AR17">
    <cfRule type="cellIs" dxfId="219" priority="63" stopIfTrue="1" operator="equal">
      <formula>0</formula>
    </cfRule>
  </conditionalFormatting>
  <conditionalFormatting sqref="AR17">
    <cfRule type="cellIs" dxfId="218" priority="62" operator="equal">
      <formula>0</formula>
    </cfRule>
  </conditionalFormatting>
  <conditionalFormatting sqref="AR17">
    <cfRule type="cellIs" dxfId="217" priority="61" stopIfTrue="1" operator="equal">
      <formula>0</formula>
    </cfRule>
  </conditionalFormatting>
  <conditionalFormatting sqref="AR17">
    <cfRule type="cellIs" dxfId="216" priority="60" operator="equal">
      <formula>0</formula>
    </cfRule>
  </conditionalFormatting>
  <conditionalFormatting sqref="AR17">
    <cfRule type="cellIs" dxfId="215" priority="59" stopIfTrue="1" operator="equal">
      <formula>0</formula>
    </cfRule>
  </conditionalFormatting>
  <conditionalFormatting sqref="AR17">
    <cfRule type="cellIs" dxfId="214" priority="58" operator="equal">
      <formula>0</formula>
    </cfRule>
  </conditionalFormatting>
  <conditionalFormatting sqref="AR17">
    <cfRule type="cellIs" dxfId="213" priority="57" stopIfTrue="1" operator="equal">
      <formula>0</formula>
    </cfRule>
  </conditionalFormatting>
  <conditionalFormatting sqref="AR17">
    <cfRule type="cellIs" dxfId="212" priority="56" operator="equal">
      <formula>0</formula>
    </cfRule>
  </conditionalFormatting>
  <conditionalFormatting sqref="AR17">
    <cfRule type="cellIs" dxfId="211" priority="55" stopIfTrue="1" operator="equal">
      <formula>0</formula>
    </cfRule>
  </conditionalFormatting>
  <conditionalFormatting sqref="AR17">
    <cfRule type="cellIs" dxfId="210" priority="54" operator="equal">
      <formula>0</formula>
    </cfRule>
  </conditionalFormatting>
  <conditionalFormatting sqref="AR17">
    <cfRule type="cellIs" dxfId="209" priority="53" stopIfTrue="1" operator="equal">
      <formula>0</formula>
    </cfRule>
  </conditionalFormatting>
  <conditionalFormatting sqref="AR17">
    <cfRule type="cellIs" dxfId="208" priority="52" operator="equal">
      <formula>0</formula>
    </cfRule>
  </conditionalFormatting>
  <conditionalFormatting sqref="AR17">
    <cfRule type="cellIs" dxfId="207" priority="51" stopIfTrue="1" operator="equal">
      <formula>0</formula>
    </cfRule>
  </conditionalFormatting>
  <conditionalFormatting sqref="AR17">
    <cfRule type="cellIs" dxfId="206" priority="50" operator="equal">
      <formula>0</formula>
    </cfRule>
  </conditionalFormatting>
  <conditionalFormatting sqref="AR17">
    <cfRule type="cellIs" dxfId="205" priority="49" stopIfTrue="1" operator="equal">
      <formula>0</formula>
    </cfRule>
  </conditionalFormatting>
  <conditionalFormatting sqref="AR17">
    <cfRule type="cellIs" dxfId="204" priority="48" operator="equal">
      <formula>0</formula>
    </cfRule>
  </conditionalFormatting>
  <conditionalFormatting sqref="AR17">
    <cfRule type="cellIs" dxfId="203" priority="47" stopIfTrue="1" operator="equal">
      <formula>0</formula>
    </cfRule>
  </conditionalFormatting>
  <conditionalFormatting sqref="AR17">
    <cfRule type="cellIs" dxfId="202" priority="46" operator="equal">
      <formula>0</formula>
    </cfRule>
  </conditionalFormatting>
  <conditionalFormatting sqref="AR19">
    <cfRule type="cellIs" dxfId="201" priority="45" stopIfTrue="1" operator="equal">
      <formula>0</formula>
    </cfRule>
  </conditionalFormatting>
  <conditionalFormatting sqref="AR19">
    <cfRule type="cellIs" dxfId="200" priority="44" operator="equal">
      <formula>0</formula>
    </cfRule>
  </conditionalFormatting>
  <conditionalFormatting sqref="AR19">
    <cfRule type="cellIs" dxfId="199" priority="43" stopIfTrue="1" operator="equal">
      <formula>0</formula>
    </cfRule>
  </conditionalFormatting>
  <conditionalFormatting sqref="AR19">
    <cfRule type="cellIs" dxfId="198" priority="42" operator="equal">
      <formula>0</formula>
    </cfRule>
  </conditionalFormatting>
  <conditionalFormatting sqref="AR19">
    <cfRule type="cellIs" dxfId="197" priority="41" stopIfTrue="1" operator="equal">
      <formula>0</formula>
    </cfRule>
  </conditionalFormatting>
  <conditionalFormatting sqref="AR19">
    <cfRule type="cellIs" dxfId="196" priority="40" operator="equal">
      <formula>0</formula>
    </cfRule>
  </conditionalFormatting>
  <conditionalFormatting sqref="AR19">
    <cfRule type="cellIs" dxfId="195" priority="39" stopIfTrue="1" operator="equal">
      <formula>0</formula>
    </cfRule>
  </conditionalFormatting>
  <conditionalFormatting sqref="AR19">
    <cfRule type="cellIs" dxfId="194" priority="38" operator="equal">
      <formula>0</formula>
    </cfRule>
  </conditionalFormatting>
  <conditionalFormatting sqref="AR19">
    <cfRule type="cellIs" dxfId="193" priority="37" stopIfTrue="1" operator="equal">
      <formula>0</formula>
    </cfRule>
  </conditionalFormatting>
  <conditionalFormatting sqref="AR19">
    <cfRule type="cellIs" dxfId="192" priority="36" operator="equal">
      <formula>0</formula>
    </cfRule>
  </conditionalFormatting>
  <conditionalFormatting sqref="AR19">
    <cfRule type="cellIs" dxfId="191" priority="35" stopIfTrue="1" operator="equal">
      <formula>0</formula>
    </cfRule>
  </conditionalFormatting>
  <conditionalFormatting sqref="AR19">
    <cfRule type="cellIs" dxfId="190" priority="34" operator="equal">
      <formula>0</formula>
    </cfRule>
  </conditionalFormatting>
  <conditionalFormatting sqref="AR19">
    <cfRule type="cellIs" dxfId="189" priority="33" stopIfTrue="1" operator="equal">
      <formula>0</formula>
    </cfRule>
  </conditionalFormatting>
  <conditionalFormatting sqref="AR19">
    <cfRule type="cellIs" dxfId="188" priority="32" operator="equal">
      <formula>0</formula>
    </cfRule>
  </conditionalFormatting>
  <conditionalFormatting sqref="AR19">
    <cfRule type="cellIs" dxfId="187" priority="31" stopIfTrue="1" operator="equal">
      <formula>0</formula>
    </cfRule>
  </conditionalFormatting>
  <conditionalFormatting sqref="AR19">
    <cfRule type="cellIs" dxfId="186" priority="30" operator="equal">
      <formula>0</formula>
    </cfRule>
  </conditionalFormatting>
  <conditionalFormatting sqref="AB26:AB29 AB6:AB24">
    <cfRule type="cellIs" dxfId="185" priority="29" stopIfTrue="1" operator="equal">
      <formula>0</formula>
    </cfRule>
  </conditionalFormatting>
  <conditionalFormatting sqref="AC27:AC29">
    <cfRule type="cellIs" dxfId="184" priority="27" stopIfTrue="1" operator="equal">
      <formula>0</formula>
    </cfRule>
  </conditionalFormatting>
  <conditionalFormatting sqref="AC6:AC7">
    <cfRule type="cellIs" dxfId="183" priority="23" stopIfTrue="1" operator="equal">
      <formula>0</formula>
    </cfRule>
  </conditionalFormatting>
  <conditionalFormatting sqref="E80">
    <cfRule type="cellIs" dxfId="182" priority="22" operator="equal">
      <formula>0</formula>
    </cfRule>
  </conditionalFormatting>
  <conditionalFormatting sqref="E82">
    <cfRule type="cellIs" dxfId="181" priority="20" operator="equal">
      <formula>0</formula>
    </cfRule>
  </conditionalFormatting>
  <conditionalFormatting sqref="F95">
    <cfRule type="cellIs" dxfId="180" priority="18" operator="equal">
      <formula>0</formula>
    </cfRule>
  </conditionalFormatting>
  <conditionalFormatting sqref="F96">
    <cfRule type="cellIs" dxfId="179" priority="16" operator="equal">
      <formula>0</formula>
    </cfRule>
  </conditionalFormatting>
  <conditionalFormatting sqref="F97">
    <cfRule type="cellIs" dxfId="178" priority="14" operator="equal">
      <formula>0</formula>
    </cfRule>
  </conditionalFormatting>
  <conditionalFormatting sqref="F98">
    <cfRule type="cellIs" dxfId="177" priority="12" operator="equal">
      <formula>0</formula>
    </cfRule>
  </conditionalFormatting>
  <conditionalFormatting sqref="F99">
    <cfRule type="cellIs" dxfId="176" priority="10" operator="equal">
      <formula>0</formula>
    </cfRule>
  </conditionalFormatting>
  <conditionalFormatting sqref="F100">
    <cfRule type="cellIs" dxfId="175" priority="8" operator="equal">
      <formula>0</formula>
    </cfRule>
  </conditionalFormatting>
  <conditionalFormatting sqref="AC11:AC20">
    <cfRule type="cellIs" dxfId="174" priority="1" stopIfTrue="1" operator="equal">
      <formula>0</formula>
    </cfRule>
  </conditionalFormatting>
  <conditionalFormatting sqref="AR26:AT27 AD26:AD29 AK26:AK29 AG26:AG29 AZ26:AZ27 AW26:AW27 BB26:BB27 BD26:BD27 AR18:AT24 AW6:AW24 AZ6:AZ24 BD6:BD24 BB6:BB24 AS6:AT17 AG6:AG24 AK6:AK24 AD6:AD24 AI6:AI24 AD42:AD45 AD47:AD49">
    <cfRule type="cellIs" dxfId="173" priority="457" stopIfTrue="1" operator="equal">
      <formula>0</formula>
    </cfRule>
  </conditionalFormatting>
  <conditionalFormatting sqref="Y26:Z26 AQ26:AS26 AQ18:AS24 D141 AQ6:AQ17 Y6:Z24 G64 AS6:AS17 F83 F79:F80">
    <cfRule type="cellIs" dxfId="172" priority="456" operator="equal">
      <formula>0</formula>
    </cfRule>
  </conditionalFormatting>
  <conditionalFormatting sqref="AD40">
    <cfRule type="cellIs" dxfId="171" priority="455" operator="equal">
      <formula>0</formula>
    </cfRule>
  </conditionalFormatting>
  <conditionalFormatting sqref="D146:D167">
    <cfRule type="cellIs" dxfId="170" priority="454" stopIfTrue="1" operator="equal">
      <formula>0</formula>
    </cfRule>
  </conditionalFormatting>
  <conditionalFormatting sqref="D168:D171">
    <cfRule type="cellIs" dxfId="169" priority="453" stopIfTrue="1" operator="equal">
      <formula>0</formula>
    </cfRule>
  </conditionalFormatting>
  <conditionalFormatting sqref="AW25 AZ25 BD25 BB25 AG25 AK25 AD25 AR25:AT25">
    <cfRule type="cellIs" dxfId="168" priority="452" stopIfTrue="1" operator="equal">
      <formula>0</formula>
    </cfRule>
  </conditionalFormatting>
  <conditionalFormatting sqref="AQ25:AS25 Y25:Z25">
    <cfRule type="cellIs" dxfId="167" priority="451" operator="equal">
      <formula>0</formula>
    </cfRule>
  </conditionalFormatting>
  <conditionalFormatting sqref="D132">
    <cfRule type="cellIs" dxfId="166" priority="450" operator="equal">
      <formula>0</formula>
    </cfRule>
  </conditionalFormatting>
  <conditionalFormatting sqref="AB99">
    <cfRule type="cellIs" dxfId="165" priority="449" stopIfTrue="1" operator="equal">
      <formula>0</formula>
    </cfRule>
  </conditionalFormatting>
  <conditionalFormatting sqref="AI26:AI29">
    <cfRule type="cellIs" dxfId="164" priority="448" stopIfTrue="1" operator="equal">
      <formula>0</formula>
    </cfRule>
  </conditionalFormatting>
  <conditionalFormatting sqref="AI25">
    <cfRule type="cellIs" dxfId="163" priority="447" stopIfTrue="1" operator="equal">
      <formula>0</formula>
    </cfRule>
  </conditionalFormatting>
  <conditionalFormatting sqref="N34">
    <cfRule type="cellIs" dxfId="162" priority="444" operator="equal">
      <formula>0</formula>
    </cfRule>
  </conditionalFormatting>
  <conditionalFormatting sqref="AR12:AR13 AR15 AR20:AR21 AR24:AR25 AR17">
    <cfRule type="cellIs" dxfId="161" priority="443" stopIfTrue="1" operator="equal">
      <formula>0</formula>
    </cfRule>
  </conditionalFormatting>
  <conditionalFormatting sqref="AR12:AR13 AR15 AR20:AR21 AR24:AR25 AR17">
    <cfRule type="cellIs" dxfId="160" priority="442" operator="equal">
      <formula>0</formula>
    </cfRule>
  </conditionalFormatting>
  <conditionalFormatting sqref="AR7">
    <cfRule type="cellIs" dxfId="159" priority="429" stopIfTrue="1" operator="equal">
      <formula>0</formula>
    </cfRule>
  </conditionalFormatting>
  <conditionalFormatting sqref="AR9 AR23 AR21 AR25 AR11 AR13 AR15 AR17 AR19">
    <cfRule type="cellIs" dxfId="158" priority="426" operator="equal">
      <formula>0</formula>
    </cfRule>
  </conditionalFormatting>
  <conditionalFormatting sqref="AR12:AR13 AR15 AR20:AR21 AR24:AR25 AR17">
    <cfRule type="cellIs" dxfId="157" priority="441" stopIfTrue="1" operator="equal">
      <formula>0</formula>
    </cfRule>
  </conditionalFormatting>
  <conditionalFormatting sqref="AR12:AR13 AR15 AR20:AR21 AR24:AR25 AR17">
    <cfRule type="cellIs" dxfId="156" priority="440" operator="equal">
      <formula>0</formula>
    </cfRule>
  </conditionalFormatting>
  <conditionalFormatting sqref="AR12:AR13 AR15 AR20:AR21 AR24:AR25 AR17">
    <cfRule type="cellIs" dxfId="155" priority="439" stopIfTrue="1" operator="equal">
      <formula>0</formula>
    </cfRule>
  </conditionalFormatting>
  <conditionalFormatting sqref="AR12:AR13 AR15 AR20:AR21 AR24:AR25 AR17">
    <cfRule type="cellIs" dxfId="154" priority="438" operator="equal">
      <formula>0</formula>
    </cfRule>
  </conditionalFormatting>
  <conditionalFormatting sqref="AR12:AR13 AR15 AR20:AR21 AR24:AR25 AR17">
    <cfRule type="cellIs" dxfId="153" priority="437" stopIfTrue="1" operator="equal">
      <formula>0</formula>
    </cfRule>
  </conditionalFormatting>
  <conditionalFormatting sqref="AR12:AR13 AR15 AR20:AR21 AR24:AR25 AR17">
    <cfRule type="cellIs" dxfId="152" priority="436" operator="equal">
      <formula>0</formula>
    </cfRule>
  </conditionalFormatting>
  <conditionalFormatting sqref="AR9 AR23 AR21 AR25 AR11 AR13 AR15 AR17 AR19">
    <cfRule type="cellIs" dxfId="151" priority="424" operator="equal">
      <formula>0</formula>
    </cfRule>
  </conditionalFormatting>
  <conditionalFormatting sqref="AR9 AR23 AR21 AR25 AR11 AR13 AR15 AR17 AR19">
    <cfRule type="cellIs" dxfId="150" priority="423" stopIfTrue="1" operator="equal">
      <formula>0</formula>
    </cfRule>
  </conditionalFormatting>
  <conditionalFormatting sqref="AR7 AR9 AR11 AR13 AR15 AR17 AR19 AR21 AR23 AR25">
    <cfRule type="cellIs" dxfId="149" priority="430" operator="equal">
      <formula>0</formula>
    </cfRule>
  </conditionalFormatting>
  <conditionalFormatting sqref="N19 N21:N23">
    <cfRule type="cellIs" dxfId="148" priority="446" operator="equal">
      <formula>2</formula>
    </cfRule>
  </conditionalFormatting>
  <conditionalFormatting sqref="N30">
    <cfRule type="cellIs" dxfId="147" priority="445" operator="equal">
      <formula>0</formula>
    </cfRule>
  </conditionalFormatting>
  <conditionalFormatting sqref="AR6 AR8 AR10 AR12 AR14 AR16 AR18 AR20 AR22 AR24">
    <cfRule type="cellIs" dxfId="146" priority="433" stopIfTrue="1" operator="equal">
      <formula>0</formula>
    </cfRule>
  </conditionalFormatting>
  <conditionalFormatting sqref="AR6 AR8 AR10 AR12 AR14 AR16 AR18 AR20 AR22 AR24">
    <cfRule type="cellIs" dxfId="145" priority="432" operator="equal">
      <formula>0</formula>
    </cfRule>
  </conditionalFormatting>
  <conditionalFormatting sqref="D134">
    <cfRule type="cellIs" dxfId="144" priority="379" operator="equal">
      <formula>0</formula>
    </cfRule>
  </conditionalFormatting>
  <conditionalFormatting sqref="AR10 AR14 AR18 AR22 AR12 AR20 AR24">
    <cfRule type="cellIs" dxfId="143" priority="374" stopIfTrue="1" operator="equal">
      <formula>0</formula>
    </cfRule>
  </conditionalFormatting>
  <conditionalFormatting sqref="AR10 AR14 AR18 AR22 AR12 AR20 AR24">
    <cfRule type="cellIs" dxfId="142" priority="373" operator="equal">
      <formula>0</formula>
    </cfRule>
  </conditionalFormatting>
  <conditionalFormatting sqref="AR10 AR14 AR18 AR22 AR12 AR20 AR24">
    <cfRule type="cellIs" dxfId="141" priority="364" stopIfTrue="1" operator="equal">
      <formula>0</formula>
    </cfRule>
  </conditionalFormatting>
  <conditionalFormatting sqref="AR10 AR14 AR18 AR22 AR12 AR20 AR24">
    <cfRule type="cellIs" dxfId="140" priority="363" operator="equal">
      <formula>0</formula>
    </cfRule>
  </conditionalFormatting>
  <conditionalFormatting sqref="AR10 AR14 AR18 AR22 AR12 AR20 AR24">
    <cfRule type="cellIs" dxfId="139" priority="366" stopIfTrue="1" operator="equal">
      <formula>0</formula>
    </cfRule>
  </conditionalFormatting>
  <conditionalFormatting sqref="AR10 AR14 AR18 AR22 AR12 AR20 AR24">
    <cfRule type="cellIs" dxfId="138" priority="365" operator="equal">
      <formula>0</formula>
    </cfRule>
  </conditionalFormatting>
  <conditionalFormatting sqref="AR10 AR14 AR18 AR22 AR12 AR20 AR24">
    <cfRule type="cellIs" dxfId="137" priority="376" stopIfTrue="1" operator="equal">
      <formula>0</formula>
    </cfRule>
  </conditionalFormatting>
  <conditionalFormatting sqref="AR10 AR14 AR18 AR22 AR12 AR20 AR24">
    <cfRule type="cellIs" dxfId="136" priority="375" operator="equal">
      <formula>0</formula>
    </cfRule>
  </conditionalFormatting>
  <conditionalFormatting sqref="AR10 AR14 AR18 AR22 AR12 AR20 AR24">
    <cfRule type="cellIs" dxfId="135" priority="372" stopIfTrue="1" operator="equal">
      <formula>0</formula>
    </cfRule>
  </conditionalFormatting>
  <conditionalFormatting sqref="AR10 AR14 AR18 AR22 AR12 AR20 AR24">
    <cfRule type="cellIs" dxfId="134" priority="371" operator="equal">
      <formula>0</formula>
    </cfRule>
  </conditionalFormatting>
  <conditionalFormatting sqref="AR10 AR14 AR18 AR22 AR12 AR20 AR24">
    <cfRule type="cellIs" dxfId="133" priority="378" stopIfTrue="1" operator="equal">
      <formula>0</formula>
    </cfRule>
  </conditionalFormatting>
  <conditionalFormatting sqref="AR10 AR14 AR18 AR22 AR12 AR20 AR24">
    <cfRule type="cellIs" dxfId="132" priority="377" operator="equal">
      <formula>0</formula>
    </cfRule>
  </conditionalFormatting>
  <conditionalFormatting sqref="AR10 AR14 AR18 AR22 AR12 AR20 AR24">
    <cfRule type="cellIs" dxfId="131" priority="370" stopIfTrue="1" operator="equal">
      <formula>0</formula>
    </cfRule>
  </conditionalFormatting>
  <conditionalFormatting sqref="AR10 AR14 AR18 AR22 AR12 AR20 AR24">
    <cfRule type="cellIs" dxfId="130" priority="369" operator="equal">
      <formula>0</formula>
    </cfRule>
  </conditionalFormatting>
  <conditionalFormatting sqref="AR10 AR14 AR18 AR22 AR12 AR20 AR24">
    <cfRule type="cellIs" dxfId="129" priority="368" stopIfTrue="1" operator="equal">
      <formula>0</formula>
    </cfRule>
  </conditionalFormatting>
  <conditionalFormatting sqref="AR10 AR14 AR18 AR22 AR12 AR20 AR24">
    <cfRule type="cellIs" dxfId="128" priority="367" operator="equal">
      <formula>0</formula>
    </cfRule>
  </conditionalFormatting>
  <conditionalFormatting sqref="AR7 AR9 AR11 AR13 AR15 AR17 AR19 AR21 AR23 AR25">
    <cfRule type="cellIs" dxfId="127" priority="362" stopIfTrue="1" operator="equal">
      <formula>0</formula>
    </cfRule>
  </conditionalFormatting>
  <conditionalFormatting sqref="AR7 AR9 AR11 AR13 AR15 AR17 AR19 AR21 AR23 AR25">
    <cfRule type="cellIs" dxfId="126" priority="361" operator="equal">
      <formula>0</formula>
    </cfRule>
  </conditionalFormatting>
  <conditionalFormatting sqref="AR7 AR9 AR11 AR13 AR15 AR17 AR19 AR21 AR23 AR25">
    <cfRule type="cellIs" dxfId="125" priority="360" stopIfTrue="1" operator="equal">
      <formula>0</formula>
    </cfRule>
  </conditionalFormatting>
  <conditionalFormatting sqref="AR7 AR9 AR11 AR13 AR15 AR17 AR19 AR21 AR23 AR25">
    <cfRule type="cellIs" dxfId="124" priority="359" operator="equal">
      <formula>0</formula>
    </cfRule>
  </conditionalFormatting>
  <conditionalFormatting sqref="AR7 AR9 AR11 AR13 AR15 AR17 AR19 AR21 AR23 AR25">
    <cfRule type="cellIs" dxfId="123" priority="358" stopIfTrue="1" operator="equal">
      <formula>0</formula>
    </cfRule>
  </conditionalFormatting>
  <conditionalFormatting sqref="AE36">
    <cfRule type="cellIs" dxfId="122" priority="234" operator="greaterThan">
      <formula>0</formula>
    </cfRule>
  </conditionalFormatting>
  <conditionalFormatting sqref="AE38">
    <cfRule type="cellIs" dxfId="121" priority="233" operator="greaterThan">
      <formula>0</formula>
    </cfRule>
  </conditionalFormatting>
  <conditionalFormatting sqref="AA46:AC46">
    <cfRule type="cellIs" dxfId="120" priority="232" operator="greaterThan">
      <formula>10</formula>
    </cfRule>
  </conditionalFormatting>
  <conditionalFormatting sqref="AD46">
    <cfRule type="cellIs" dxfId="119" priority="231" stopIfTrue="1" operator="equal">
      <formula>0</formula>
    </cfRule>
  </conditionalFormatting>
  <conditionalFormatting sqref="N20">
    <cfRule type="cellIs" dxfId="118" priority="230" operator="equal">
      <formula>2</formula>
    </cfRule>
  </conditionalFormatting>
  <conditionalFormatting sqref="AR8">
    <cfRule type="cellIs" dxfId="117" priority="227" stopIfTrue="1" operator="equal">
      <formula>0</formula>
    </cfRule>
  </conditionalFormatting>
  <conditionalFormatting sqref="AR8">
    <cfRule type="cellIs" dxfId="116" priority="226" operator="equal">
      <formula>0</formula>
    </cfRule>
  </conditionalFormatting>
  <conditionalFormatting sqref="AR8">
    <cfRule type="cellIs" dxfId="115" priority="221" stopIfTrue="1" operator="equal">
      <formula>0</formula>
    </cfRule>
  </conditionalFormatting>
  <conditionalFormatting sqref="AR8">
    <cfRule type="cellIs" dxfId="114" priority="220" operator="equal">
      <formula>0</formula>
    </cfRule>
  </conditionalFormatting>
  <conditionalFormatting sqref="AR8">
    <cfRule type="cellIs" dxfId="113" priority="219" stopIfTrue="1" operator="equal">
      <formula>0</formula>
    </cfRule>
  </conditionalFormatting>
  <conditionalFormatting sqref="AR8">
    <cfRule type="cellIs" dxfId="112" priority="218" operator="equal">
      <formula>0</formula>
    </cfRule>
  </conditionalFormatting>
  <conditionalFormatting sqref="AR8">
    <cfRule type="cellIs" dxfId="111" priority="229" stopIfTrue="1" operator="equal">
      <formula>0</formula>
    </cfRule>
  </conditionalFormatting>
  <conditionalFormatting sqref="AR8">
    <cfRule type="cellIs" dxfId="110" priority="228" operator="equal">
      <formula>0</formula>
    </cfRule>
  </conditionalFormatting>
  <conditionalFormatting sqref="AR8">
    <cfRule type="cellIs" dxfId="109" priority="225" stopIfTrue="1" operator="equal">
      <formula>0</formula>
    </cfRule>
  </conditionalFormatting>
  <conditionalFormatting sqref="AR8">
    <cfRule type="cellIs" dxfId="108" priority="224" operator="equal">
      <formula>0</formula>
    </cfRule>
  </conditionalFormatting>
  <conditionalFormatting sqref="AR8">
    <cfRule type="cellIs" dxfId="107" priority="223" stopIfTrue="1" operator="equal">
      <formula>0</formula>
    </cfRule>
  </conditionalFormatting>
  <conditionalFormatting sqref="AR8">
    <cfRule type="cellIs" dxfId="106" priority="222" operator="equal">
      <formula>0</formula>
    </cfRule>
  </conditionalFormatting>
  <conditionalFormatting sqref="AR8">
    <cfRule type="cellIs" dxfId="105" priority="217" stopIfTrue="1" operator="equal">
      <formula>0</formula>
    </cfRule>
  </conditionalFormatting>
  <conditionalFormatting sqref="AR8">
    <cfRule type="cellIs" dxfId="104" priority="216" operator="equal">
      <formula>0</formula>
    </cfRule>
  </conditionalFormatting>
  <conditionalFormatting sqref="AR8">
    <cfRule type="cellIs" dxfId="103" priority="208" operator="equal">
      <formula>0</formula>
    </cfRule>
  </conditionalFormatting>
  <conditionalFormatting sqref="AR8">
    <cfRule type="cellIs" dxfId="102" priority="215" stopIfTrue="1" operator="equal">
      <formula>0</formula>
    </cfRule>
  </conditionalFormatting>
  <conditionalFormatting sqref="AR8">
    <cfRule type="cellIs" dxfId="101" priority="214" operator="equal">
      <formula>0</formula>
    </cfRule>
  </conditionalFormatting>
  <conditionalFormatting sqref="AR8">
    <cfRule type="cellIs" dxfId="100" priority="213" stopIfTrue="1" operator="equal">
      <formula>0</formula>
    </cfRule>
  </conditionalFormatting>
  <conditionalFormatting sqref="AR8">
    <cfRule type="cellIs" dxfId="99" priority="212" operator="equal">
      <formula>0</formula>
    </cfRule>
  </conditionalFormatting>
  <conditionalFormatting sqref="AR8">
    <cfRule type="cellIs" dxfId="98" priority="211" stopIfTrue="1" operator="equal">
      <formula>0</formula>
    </cfRule>
  </conditionalFormatting>
  <conditionalFormatting sqref="AR8">
    <cfRule type="cellIs" dxfId="97" priority="210" operator="equal">
      <formula>0</formula>
    </cfRule>
  </conditionalFormatting>
  <conditionalFormatting sqref="AB25">
    <cfRule type="cellIs" dxfId="96" priority="28" stopIfTrue="1" operator="equal">
      <formula>0</formula>
    </cfRule>
  </conditionalFormatting>
  <conditionalFormatting sqref="D61:D63">
    <cfRule type="expression" dxfId="95" priority="26">
      <formula>($H61=0)*1</formula>
    </cfRule>
  </conditionalFormatting>
  <conditionalFormatting sqref="D66:D67">
    <cfRule type="expression" dxfId="94" priority="25">
      <formula>($H66=0)*1</formula>
    </cfRule>
  </conditionalFormatting>
  <conditionalFormatting sqref="AC8:AC10 AC21:AC26">
    <cfRule type="cellIs" dxfId="93" priority="24" stopIfTrue="1" operator="equal">
      <formula>0</formula>
    </cfRule>
  </conditionalFormatting>
  <conditionalFormatting sqref="E81">
    <cfRule type="cellIs" dxfId="92" priority="21" operator="equal">
      <formula>0</formula>
    </cfRule>
  </conditionalFormatting>
  <conditionalFormatting sqref="F82">
    <cfRule type="cellIs" dxfId="91" priority="19" operator="equal">
      <formula>0</formula>
    </cfRule>
  </conditionalFormatting>
  <conditionalFormatting sqref="E95">
    <cfRule type="cellIs" dxfId="90" priority="17" operator="equal">
      <formula>0</formula>
    </cfRule>
  </conditionalFormatting>
  <conditionalFormatting sqref="E96">
    <cfRule type="cellIs" dxfId="89" priority="15" operator="equal">
      <formula>0</formula>
    </cfRule>
  </conditionalFormatting>
  <conditionalFormatting sqref="E97">
    <cfRule type="cellIs" dxfId="88" priority="13" operator="equal">
      <formula>0</formula>
    </cfRule>
  </conditionalFormatting>
  <conditionalFormatting sqref="E98">
    <cfRule type="cellIs" dxfId="87" priority="11" operator="equal">
      <formula>0</formula>
    </cfRule>
  </conditionalFormatting>
  <conditionalFormatting sqref="E99">
    <cfRule type="cellIs" dxfId="86" priority="9" operator="equal">
      <formula>0</formula>
    </cfRule>
  </conditionalFormatting>
  <conditionalFormatting sqref="E100">
    <cfRule type="cellIs" dxfId="85" priority="7" operator="equal">
      <formula>0</formula>
    </cfRule>
  </conditionalFormatting>
  <conditionalFormatting sqref="F101">
    <cfRule type="cellIs" dxfId="84" priority="6" operator="equal">
      <formula>0</formula>
    </cfRule>
  </conditionalFormatting>
  <conditionalFormatting sqref="E101">
    <cfRule type="cellIs" dxfId="83" priority="5" operator="equal">
      <formula>0</formula>
    </cfRule>
  </conditionalFormatting>
  <conditionalFormatting sqref="F102">
    <cfRule type="cellIs" dxfId="82" priority="4" operator="equal">
      <formula>0</formula>
    </cfRule>
  </conditionalFormatting>
  <conditionalFormatting sqref="E102">
    <cfRule type="cellIs" dxfId="81" priority="3" operator="equal">
      <formula>0</formula>
    </cfRule>
  </conditionalFormatting>
  <conditionalFormatting sqref="F81">
    <cfRule type="cellIs" dxfId="80" priority="2" operator="equal">
      <formula>0</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Drop Down 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6" r:id="rId5" name="Drop Down 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7" r:id="rId6" name="Drop Down 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8" r:id="rId7" name="Drop Down 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9" r:id="rId8" name="Drop Down 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0" r:id="rId9" name="Drop Down 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1" r:id="rId10" name="Drop Down 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2" r:id="rId11" name="Drop Down 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3" r:id="rId12" name="Drop Down 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4" r:id="rId13" name="Drop Down 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5" r:id="rId14" name="Drop Down 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6" r:id="rId15" name="Drop Down 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7" r:id="rId16" name="Drop Down 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8" r:id="rId17" name="Drop Down 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9" r:id="rId18" name="Drop Down 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0" r:id="rId19" name="Drop Down 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1" r:id="rId20" name="Drop Down 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2" r:id="rId21" name="Drop Down 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3" r:id="rId22" name="Drop Down 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4" r:id="rId23" name="Drop Down 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5" r:id="rId24" name="Drop Down 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6" r:id="rId25" name="Drop Down 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7" r:id="rId26" name="Drop Down 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8" r:id="rId27" name="Drop Down 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9" r:id="rId28" name="Drop Down 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0" r:id="rId29" name="Drop Down 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1" r:id="rId30" name="Drop Down 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2" r:id="rId31" name="Drop Down 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3" r:id="rId32" name="Drop Down 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4" r:id="rId33" name="Drop Down 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5" r:id="rId34" name="Drop Down 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6" r:id="rId35" name="Drop Down 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7" r:id="rId36" name="Drop Down 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8" r:id="rId37" name="Drop Down 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9" r:id="rId38" name="Drop Down 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0" r:id="rId39" name="Drop Down 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1" r:id="rId40" name="Drop Down 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2" r:id="rId41" name="Drop Down 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3" r:id="rId42" name="Drop Down 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4" r:id="rId43" name="Drop Down 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5" r:id="rId44" name="Drop Down 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6" r:id="rId45" name="Drop Down 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7" r:id="rId46" name="Drop Down 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8" r:id="rId47" name="Drop Down 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9" r:id="rId48" name="Drop Down 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0" r:id="rId49" name="Drop Down 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1" r:id="rId50" name="Drop Down 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2" r:id="rId51" name="Drop Down 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3" r:id="rId52" name="Drop Down 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4" r:id="rId53" name="Drop Down 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5" r:id="rId54" name="Drop Down 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6" r:id="rId55" name="Drop Down 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7" r:id="rId56" name="Drop Down 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8" r:id="rId57" name="Drop Down 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9" r:id="rId58" name="Drop Down 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0" r:id="rId59" name="Drop Down 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1" r:id="rId60" name="Drop Down 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2" r:id="rId61" name="Drop Down 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3" r:id="rId62" name="Drop Down 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4" r:id="rId63" name="Drop Down 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5" r:id="rId64" name="Drop Down 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6" r:id="rId65" name="Drop Down 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7" r:id="rId66" name="Drop Down 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8" r:id="rId67" name="Drop Down 64">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689" r:id="rId68" name="Drop Down 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0" r:id="rId69" name="Drop Down 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1" r:id="rId70" name="Drop Down 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2" r:id="rId71" name="Drop Down 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3" r:id="rId72" name="Drop Down 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4" r:id="rId73" name="Drop Down 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5" r:id="rId74" name="Drop Down 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6" r:id="rId75" name="Drop Down 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7" r:id="rId76" name="Drop Down 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8" r:id="rId77" name="Drop Down 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9" r:id="rId78" name="Drop Down 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0" r:id="rId79" name="Drop Down 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1" r:id="rId80" name="Drop Down 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2" r:id="rId81" name="Drop Down 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3" r:id="rId82" name="Drop Down 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4" r:id="rId83" name="Drop Down 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5" r:id="rId84" name="Drop Down 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6" r:id="rId85" name="Drop Down 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7" r:id="rId86" name="Drop Down 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8" r:id="rId87" name="Drop Down 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9" r:id="rId88" name="Drop Down 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0" r:id="rId89" name="Drop Down 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1" r:id="rId90" name="Drop Down 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2" r:id="rId91" name="Drop Down 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3" r:id="rId92" name="Drop Down 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4" r:id="rId93" name="Drop Down 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5" r:id="rId94" name="Drop Down 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6" r:id="rId95" name="Drop Down 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7" r:id="rId96" name="Drop Down 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8" r:id="rId97" name="Drop Down 9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9" r:id="rId98" name="Drop Down 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0" r:id="rId99" name="Drop Down 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1" r:id="rId100" name="Drop Down 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2" r:id="rId101" name="Drop Down 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3" r:id="rId102" name="Drop Down 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4" r:id="rId103" name="Drop Down 1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5" r:id="rId104" name="Drop Down 1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6" r:id="rId105" name="Drop Down 1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7" r:id="rId106" name="Drop Down 1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8" r:id="rId107" name="Drop Down 1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9" r:id="rId108" name="Drop Down 1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0" r:id="rId109" name="Drop Down 1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1" r:id="rId110" name="Drop Down 1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2" r:id="rId111" name="Drop Down 1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3" r:id="rId112" name="Drop Down 1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4" r:id="rId113" name="Drop Down 1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5" r:id="rId114" name="Drop Down 1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6" r:id="rId115" name="Drop Down 1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7" r:id="rId116" name="Drop Down 1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8" r:id="rId117" name="Drop Down 1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9" r:id="rId118" name="Drop Down 1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0" r:id="rId119" name="Drop Down 1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1" r:id="rId120" name="Drop Down 1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2" r:id="rId121" name="Drop Down 1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3" r:id="rId122" name="Drop Down 1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4" r:id="rId123" name="Drop Down 1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5" r:id="rId124" name="Drop Down 1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6" r:id="rId125" name="Drop Down 1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7" r:id="rId126" name="Drop Down 1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8" r:id="rId127" name="Drop Down 1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9" r:id="rId128" name="Drop Down 1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0" r:id="rId129" name="Drop Down 1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1" r:id="rId130" name="Drop Down 1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2" r:id="rId131" name="Drop Down 128">
              <controlPr defaultSize="0" autoLine="0" autoPict="0">
                <anchor moveWithCells="1" sizeWithCells="1">
                  <from>
                    <xdr:col>5</xdr:col>
                    <xdr:colOff>752475</xdr:colOff>
                    <xdr:row>43</xdr:row>
                    <xdr:rowOff>9525</xdr:rowOff>
                  </from>
                  <to>
                    <xdr:col>6</xdr:col>
                    <xdr:colOff>1009650</xdr:colOff>
                    <xdr:row>44</xdr:row>
                    <xdr:rowOff>19050</xdr:rowOff>
                  </to>
                </anchor>
              </controlPr>
            </control>
          </mc:Choice>
        </mc:AlternateContent>
        <mc:AlternateContent xmlns:mc="http://schemas.openxmlformats.org/markup-compatibility/2006">
          <mc:Choice Requires="x14">
            <control shapeId="26753" r:id="rId132" name="Drop Down 129">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755" r:id="rId133" name="Drop Down 1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6" r:id="rId134" name="Drop Down 1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7" r:id="rId135" name="Drop Down 1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8" r:id="rId136" name="Drop Down 1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9" r:id="rId137" name="Drop Down 1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0" r:id="rId138" name="Drop Down 1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1" r:id="rId139" name="Drop Down 1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2" r:id="rId140" name="Drop Down 1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3" r:id="rId141" name="Drop Down 1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4" r:id="rId142" name="Drop Down 1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5" r:id="rId143" name="Drop Down 1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6" r:id="rId144" name="Drop Down 1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7" r:id="rId145" name="Drop Down 1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8" r:id="rId146" name="Drop Down 1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9" r:id="rId147" name="Drop Down 1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0" r:id="rId148" name="Drop Down 1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1" r:id="rId149" name="Drop Down 1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2" r:id="rId150" name="Drop Down 1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3" r:id="rId151" name="Drop Down 1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4" r:id="rId152" name="Drop Down 1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5" r:id="rId153" name="Drop Down 1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6" r:id="rId154" name="Drop Down 1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7" r:id="rId155" name="Drop Down 1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8" r:id="rId156" name="Drop Down 1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9" r:id="rId157" name="Drop Down 1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0" r:id="rId158" name="Drop Down 1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1" r:id="rId159" name="Drop Down 1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2" r:id="rId160" name="Drop Down 1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3" r:id="rId161" name="Drop Down 1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4" r:id="rId162" name="Drop Down 1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5" r:id="rId163" name="Drop Down 1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6" r:id="rId164" name="Drop Down 1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7" r:id="rId165" name="Drop Down 1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8" r:id="rId166" name="Drop Down 16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9" r:id="rId167" name="Drop Down 1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0" r:id="rId168" name="Drop Down 1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1" r:id="rId169" name="Drop Down 1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2" r:id="rId170" name="Drop Down 1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3" r:id="rId171" name="Drop Down 1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4" r:id="rId172" name="Drop Down 1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5" r:id="rId173" name="Drop Down 1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6" r:id="rId174" name="Drop Down 1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7" r:id="rId175" name="Drop Down 1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8" r:id="rId176" name="Drop Down 1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9" r:id="rId177" name="Drop Down 1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0" r:id="rId178" name="Drop Down 1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1" r:id="rId179" name="Drop Down 1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2" r:id="rId180" name="Drop Down 1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3" r:id="rId181" name="Drop Down 1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4" r:id="rId182" name="Drop Down 1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5" r:id="rId183" name="Drop Down 1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6" r:id="rId184" name="Drop Down 1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7" r:id="rId185" name="Drop Down 1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8" r:id="rId186" name="Drop Down 1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9" r:id="rId187" name="Drop Down 1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0" r:id="rId188" name="Drop Down 1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1" r:id="rId189" name="Drop Down 1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2" r:id="rId190" name="Drop Down 1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3" r:id="rId191" name="Drop Down 1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4" r:id="rId192" name="Drop Down 1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5" r:id="rId193" name="Drop Down 1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6" r:id="rId194" name="Drop Down 1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7" r:id="rId195" name="Drop Down 1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8" r:id="rId196" name="Drop Down 194">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19" r:id="rId197" name="Drop Down 1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0" r:id="rId198" name="Drop Down 1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1" r:id="rId199" name="Drop Down 1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2" r:id="rId200" name="Drop Down 1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3" r:id="rId201" name="Drop Down 1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4" r:id="rId202" name="Drop Down 2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5" r:id="rId203" name="Drop Down 2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6" r:id="rId204" name="Drop Down 2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7" r:id="rId205" name="Drop Down 2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8" r:id="rId206" name="Drop Down 2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9" r:id="rId207" name="Drop Down 2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0" r:id="rId208" name="Drop Down 2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1" r:id="rId209" name="Drop Down 2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2" r:id="rId210" name="Drop Down 2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3" r:id="rId211" name="Drop Down 2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4" r:id="rId212" name="Drop Down 2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5" r:id="rId213" name="Drop Down 2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6" r:id="rId214" name="Drop Down 2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7" r:id="rId215" name="Drop Down 2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8" r:id="rId216" name="Drop Down 2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9" r:id="rId217" name="Drop Down 2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0" r:id="rId218" name="Drop Down 2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1" r:id="rId219" name="Drop Down 2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2" r:id="rId220" name="Drop Down 2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3" r:id="rId221" name="Drop Down 2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4" r:id="rId222" name="Drop Down 2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5" r:id="rId223" name="Drop Down 2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6" r:id="rId224" name="Drop Down 2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7" r:id="rId225" name="Drop Down 2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8" r:id="rId226" name="Drop Down 2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9" r:id="rId227" name="Drop Down 2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0" r:id="rId228" name="Drop Down 2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1" r:id="rId229" name="Drop Down 2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2" r:id="rId230" name="Drop Down 2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3" r:id="rId231" name="Drop Down 2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4" r:id="rId232" name="Drop Down 2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5" r:id="rId233" name="Drop Down 2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6" r:id="rId234" name="Drop Down 2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7" r:id="rId235" name="Drop Down 2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8" r:id="rId236" name="Drop Down 2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9" r:id="rId237" name="Drop Down 2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0" r:id="rId238" name="Drop Down 2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1" r:id="rId239" name="Drop Down 2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2" r:id="rId240" name="Drop Down 2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3" r:id="rId241" name="Drop Down 2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4" r:id="rId242" name="Drop Down 2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5" r:id="rId243" name="Drop Down 2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6" r:id="rId244" name="Drop Down 2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7" r:id="rId245" name="Drop Down 2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8" r:id="rId246" name="Drop Down 2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9" r:id="rId247" name="Drop Down 2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0" r:id="rId248" name="Drop Down 2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1" r:id="rId249" name="Drop Down 2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2" r:id="rId250" name="Drop Down 2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3" r:id="rId251" name="Drop Down 2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4" r:id="rId252" name="Drop Down 2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5" r:id="rId253" name="Drop Down 2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6" r:id="rId254" name="Drop Down 2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7" r:id="rId255" name="Drop Down 2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8" r:id="rId256" name="Drop Down 2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9" r:id="rId257" name="Drop Down 2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0" r:id="rId258" name="Drop Down 2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1" r:id="rId259" name="Drop Down 2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2" r:id="rId260" name="Drop Down 258">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83" r:id="rId261" name="Drop Down 259">
              <controlPr defaultSize="0" autoLine="0" autoPict="0">
                <anchor moveWithCells="1" sizeWithCells="1">
                  <from>
                    <xdr:col>5</xdr:col>
                    <xdr:colOff>609600</xdr:colOff>
                    <xdr:row>82</xdr:row>
                    <xdr:rowOff>9525</xdr:rowOff>
                  </from>
                  <to>
                    <xdr:col>6</xdr:col>
                    <xdr:colOff>914400</xdr:colOff>
                    <xdr:row>83</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WC73"/>
  <sheetViews>
    <sheetView showGridLines="0" zoomScaleNormal="100" workbookViewId="0">
      <pane xSplit="8" ySplit="6" topLeftCell="I73" activePane="bottomRight" state="frozen"/>
      <selection activeCell="K146" sqref="K146"/>
      <selection pane="topRight" activeCell="K146" sqref="K146"/>
      <selection pane="bottomLeft" activeCell="K146" sqref="K146"/>
      <selection pane="bottomRight" activeCell="O58" sqref="O58"/>
    </sheetView>
  </sheetViews>
  <sheetFormatPr defaultColWidth="0" defaultRowHeight="12.75"/>
  <cols>
    <col min="1" max="1" width="1.5" style="835" customWidth="1"/>
    <col min="2" max="3" width="2.75" style="835" customWidth="1"/>
    <col min="4" max="4" width="3.875" style="835" customWidth="1"/>
    <col min="5" max="5" width="13.75" style="835" customWidth="1"/>
    <col min="6" max="6" width="17.625" style="835" customWidth="1"/>
    <col min="7" max="7" width="13.25" style="835" customWidth="1"/>
    <col min="8" max="8" width="10.875" style="835" customWidth="1"/>
    <col min="9" max="9" width="2.125" style="835" customWidth="1"/>
    <col min="10" max="21" width="10.5" style="835" customWidth="1"/>
    <col min="22" max="22" width="2.125" style="835" customWidth="1"/>
    <col min="23" max="256" width="8.875" style="835" hidden="1"/>
    <col min="257" max="257" width="1.25" style="835" hidden="1"/>
    <col min="258" max="258" width="1.625" style="835" hidden="1"/>
    <col min="259" max="259" width="2.125" style="835" hidden="1"/>
    <col min="260" max="260" width="2.75" style="835" hidden="1"/>
    <col min="261" max="261" width="11.25" style="835" hidden="1"/>
    <col min="262" max="262" width="12.5" style="835" hidden="1"/>
    <col min="263" max="263" width="13.25" style="835" hidden="1"/>
    <col min="264" max="264" width="9.75" style="835" hidden="1"/>
    <col min="265" max="265" width="0.25" style="835" hidden="1"/>
    <col min="266" max="266" width="9.75" style="835" hidden="1"/>
    <col min="267" max="277" width="9" style="835" hidden="1"/>
    <col min="278" max="512" width="8.875" style="835" hidden="1"/>
    <col min="513" max="513" width="1.25" style="835" hidden="1"/>
    <col min="514" max="514" width="1.625" style="835" hidden="1"/>
    <col min="515" max="515" width="2.125" style="835" hidden="1"/>
    <col min="516" max="516" width="2.75" style="835" hidden="1"/>
    <col min="517" max="517" width="11.25" style="835" hidden="1"/>
    <col min="518" max="518" width="12.5" style="835" hidden="1"/>
    <col min="519" max="519" width="13.25" style="835" hidden="1"/>
    <col min="520" max="520" width="9.75" style="835" hidden="1"/>
    <col min="521" max="521" width="0.25" style="835" hidden="1"/>
    <col min="522" max="522" width="9.75" style="835" hidden="1"/>
    <col min="523" max="533" width="9" style="835" hidden="1"/>
    <col min="534" max="768" width="8.875" style="835" hidden="1"/>
    <col min="769" max="769" width="1.25" style="835" hidden="1"/>
    <col min="770" max="770" width="1.625" style="835" hidden="1"/>
    <col min="771" max="771" width="2.125" style="835" hidden="1"/>
    <col min="772" max="772" width="2.75" style="835" hidden="1"/>
    <col min="773" max="773" width="11.25" style="835" hidden="1"/>
    <col min="774" max="774" width="12.5" style="835" hidden="1"/>
    <col min="775" max="775" width="13.25" style="835" hidden="1"/>
    <col min="776" max="776" width="9.75" style="835" hidden="1"/>
    <col min="777" max="777" width="0.25" style="835" hidden="1"/>
    <col min="778" max="778" width="9.75" style="835" hidden="1"/>
    <col min="779" max="789" width="9" style="835" hidden="1"/>
    <col min="790" max="1024" width="8.875" style="835" hidden="1"/>
    <col min="1025" max="1025" width="1.25" style="835" hidden="1"/>
    <col min="1026" max="1026" width="1.625" style="835" hidden="1"/>
    <col min="1027" max="1027" width="2.125" style="835" hidden="1"/>
    <col min="1028" max="1028" width="2.75" style="835" hidden="1"/>
    <col min="1029" max="1029" width="11.25" style="835" hidden="1"/>
    <col min="1030" max="1030" width="12.5" style="835" hidden="1"/>
    <col min="1031" max="1031" width="13.25" style="835" hidden="1"/>
    <col min="1032" max="1032" width="9.75" style="835" hidden="1"/>
    <col min="1033" max="1033" width="0.25" style="835" hidden="1"/>
    <col min="1034" max="1034" width="9.75" style="835" hidden="1"/>
    <col min="1035" max="1045" width="9" style="835" hidden="1"/>
    <col min="1046" max="1280" width="8.875" style="835" hidden="1"/>
    <col min="1281" max="1281" width="1.25" style="835" hidden="1"/>
    <col min="1282" max="1282" width="1.625" style="835" hidden="1"/>
    <col min="1283" max="1283" width="2.125" style="835" hidden="1"/>
    <col min="1284" max="1284" width="2.75" style="835" hidden="1"/>
    <col min="1285" max="1285" width="11.25" style="835" hidden="1"/>
    <col min="1286" max="1286" width="12.5" style="835" hidden="1"/>
    <col min="1287" max="1287" width="13.25" style="835" hidden="1"/>
    <col min="1288" max="1288" width="9.75" style="835" hidden="1"/>
    <col min="1289" max="1289" width="0.25" style="835" hidden="1"/>
    <col min="1290" max="1290" width="9.75" style="835" hidden="1"/>
    <col min="1291" max="1301" width="9" style="835" hidden="1"/>
    <col min="1302" max="1536" width="8.875" style="835" hidden="1"/>
    <col min="1537" max="1537" width="1.25" style="835" hidden="1"/>
    <col min="1538" max="1538" width="1.625" style="835" hidden="1"/>
    <col min="1539" max="1539" width="2.125" style="835" hidden="1"/>
    <col min="1540" max="1540" width="2.75" style="835" hidden="1"/>
    <col min="1541" max="1541" width="11.25" style="835" hidden="1"/>
    <col min="1542" max="1542" width="12.5" style="835" hidden="1"/>
    <col min="1543" max="1543" width="13.25" style="835" hidden="1"/>
    <col min="1544" max="1544" width="9.75" style="835" hidden="1"/>
    <col min="1545" max="1545" width="0.25" style="835" hidden="1"/>
    <col min="1546" max="1546" width="9.75" style="835" hidden="1"/>
    <col min="1547" max="1557" width="9" style="835" hidden="1"/>
    <col min="1558" max="1792" width="8.875" style="835" hidden="1"/>
    <col min="1793" max="1793" width="1.25" style="835" hidden="1"/>
    <col min="1794" max="1794" width="1.625" style="835" hidden="1"/>
    <col min="1795" max="1795" width="2.125" style="835" hidden="1"/>
    <col min="1796" max="1796" width="2.75" style="835" hidden="1"/>
    <col min="1797" max="1797" width="11.25" style="835" hidden="1"/>
    <col min="1798" max="1798" width="12.5" style="835" hidden="1"/>
    <col min="1799" max="1799" width="13.25" style="835" hidden="1"/>
    <col min="1800" max="1800" width="9.75" style="835" hidden="1"/>
    <col min="1801" max="1801" width="0.25" style="835" hidden="1"/>
    <col min="1802" max="1802" width="9.75" style="835" hidden="1"/>
    <col min="1803" max="1813" width="9" style="835" hidden="1"/>
    <col min="1814" max="2048" width="8.875" style="835" hidden="1"/>
    <col min="2049" max="2049" width="1.25" style="835" hidden="1"/>
    <col min="2050" max="2050" width="1.625" style="835" hidden="1"/>
    <col min="2051" max="2051" width="2.125" style="835" hidden="1"/>
    <col min="2052" max="2052" width="2.75" style="835" hidden="1"/>
    <col min="2053" max="2053" width="11.25" style="835" hidden="1"/>
    <col min="2054" max="2054" width="12.5" style="835" hidden="1"/>
    <col min="2055" max="2055" width="13.25" style="835" hidden="1"/>
    <col min="2056" max="2056" width="9.75" style="835" hidden="1"/>
    <col min="2057" max="2057" width="0.25" style="835" hidden="1"/>
    <col min="2058" max="2058" width="9.75" style="835" hidden="1"/>
    <col min="2059" max="2069" width="9" style="835" hidden="1"/>
    <col min="2070" max="2304" width="8.875" style="835" hidden="1"/>
    <col min="2305" max="2305" width="1.25" style="835" hidden="1"/>
    <col min="2306" max="2306" width="1.625" style="835" hidden="1"/>
    <col min="2307" max="2307" width="2.125" style="835" hidden="1"/>
    <col min="2308" max="2308" width="2.75" style="835" hidden="1"/>
    <col min="2309" max="2309" width="11.25" style="835" hidden="1"/>
    <col min="2310" max="2310" width="12.5" style="835" hidden="1"/>
    <col min="2311" max="2311" width="13.25" style="835" hidden="1"/>
    <col min="2312" max="2312" width="9.75" style="835" hidden="1"/>
    <col min="2313" max="2313" width="0.25" style="835" hidden="1"/>
    <col min="2314" max="2314" width="9.75" style="835" hidden="1"/>
    <col min="2315" max="2325" width="9" style="835" hidden="1"/>
    <col min="2326" max="2560" width="8.875" style="835" hidden="1"/>
    <col min="2561" max="2561" width="1.25" style="835" hidden="1"/>
    <col min="2562" max="2562" width="1.625" style="835" hidden="1"/>
    <col min="2563" max="2563" width="2.125" style="835" hidden="1"/>
    <col min="2564" max="2564" width="2.75" style="835" hidden="1"/>
    <col min="2565" max="2565" width="11.25" style="835" hidden="1"/>
    <col min="2566" max="2566" width="12.5" style="835" hidden="1"/>
    <col min="2567" max="2567" width="13.25" style="835" hidden="1"/>
    <col min="2568" max="2568" width="9.75" style="835" hidden="1"/>
    <col min="2569" max="2569" width="0.25" style="835" hidden="1"/>
    <col min="2570" max="2570" width="9.75" style="835" hidden="1"/>
    <col min="2571" max="2581" width="9" style="835" hidden="1"/>
    <col min="2582" max="2816" width="8.875" style="835" hidden="1"/>
    <col min="2817" max="2817" width="1.25" style="835" hidden="1"/>
    <col min="2818" max="2818" width="1.625" style="835" hidden="1"/>
    <col min="2819" max="2819" width="2.125" style="835" hidden="1"/>
    <col min="2820" max="2820" width="2.75" style="835" hidden="1"/>
    <col min="2821" max="2821" width="11.25" style="835" hidden="1"/>
    <col min="2822" max="2822" width="12.5" style="835" hidden="1"/>
    <col min="2823" max="2823" width="13.25" style="835" hidden="1"/>
    <col min="2824" max="2824" width="9.75" style="835" hidden="1"/>
    <col min="2825" max="2825" width="0.25" style="835" hidden="1"/>
    <col min="2826" max="2826" width="9.75" style="835" hidden="1"/>
    <col min="2827" max="2837" width="9" style="835" hidden="1"/>
    <col min="2838" max="3072" width="8.875" style="835" hidden="1"/>
    <col min="3073" max="3073" width="1.25" style="835" hidden="1"/>
    <col min="3074" max="3074" width="1.625" style="835" hidden="1"/>
    <col min="3075" max="3075" width="2.125" style="835" hidden="1"/>
    <col min="3076" max="3076" width="2.75" style="835" hidden="1"/>
    <col min="3077" max="3077" width="11.25" style="835" hidden="1"/>
    <col min="3078" max="3078" width="12.5" style="835" hidden="1"/>
    <col min="3079" max="3079" width="13.25" style="835" hidden="1"/>
    <col min="3080" max="3080" width="9.75" style="835" hidden="1"/>
    <col min="3081" max="3081" width="0.25" style="835" hidden="1"/>
    <col min="3082" max="3082" width="9.75" style="835" hidden="1"/>
    <col min="3083" max="3093" width="9" style="835" hidden="1"/>
    <col min="3094" max="3328" width="8.875" style="835" hidden="1"/>
    <col min="3329" max="3329" width="1.25" style="835" hidden="1"/>
    <col min="3330" max="3330" width="1.625" style="835" hidden="1"/>
    <col min="3331" max="3331" width="2.125" style="835" hidden="1"/>
    <col min="3332" max="3332" width="2.75" style="835" hidden="1"/>
    <col min="3333" max="3333" width="11.25" style="835" hidden="1"/>
    <col min="3334" max="3334" width="12.5" style="835" hidden="1"/>
    <col min="3335" max="3335" width="13.25" style="835" hidden="1"/>
    <col min="3336" max="3336" width="9.75" style="835" hidden="1"/>
    <col min="3337" max="3337" width="0.25" style="835" hidden="1"/>
    <col min="3338" max="3338" width="9.75" style="835" hidden="1"/>
    <col min="3339" max="3349" width="9" style="835" hidden="1"/>
    <col min="3350" max="3584" width="8.875" style="835" hidden="1"/>
    <col min="3585" max="3585" width="1.25" style="835" hidden="1"/>
    <col min="3586" max="3586" width="1.625" style="835" hidden="1"/>
    <col min="3587" max="3587" width="2.125" style="835" hidden="1"/>
    <col min="3588" max="3588" width="2.75" style="835" hidden="1"/>
    <col min="3589" max="3589" width="11.25" style="835" hidden="1"/>
    <col min="3590" max="3590" width="12.5" style="835" hidden="1"/>
    <col min="3591" max="3591" width="13.25" style="835" hidden="1"/>
    <col min="3592" max="3592" width="9.75" style="835" hidden="1"/>
    <col min="3593" max="3593" width="0.25" style="835" hidden="1"/>
    <col min="3594" max="3594" width="9.75" style="835" hidden="1"/>
    <col min="3595" max="3605" width="9" style="835" hidden="1"/>
    <col min="3606" max="3840" width="8.875" style="835" hidden="1"/>
    <col min="3841" max="3841" width="1.25" style="835" hidden="1"/>
    <col min="3842" max="3842" width="1.625" style="835" hidden="1"/>
    <col min="3843" max="3843" width="2.125" style="835" hidden="1"/>
    <col min="3844" max="3844" width="2.75" style="835" hidden="1"/>
    <col min="3845" max="3845" width="11.25" style="835" hidden="1"/>
    <col min="3846" max="3846" width="12.5" style="835" hidden="1"/>
    <col min="3847" max="3847" width="13.25" style="835" hidden="1"/>
    <col min="3848" max="3848" width="9.75" style="835" hidden="1"/>
    <col min="3849" max="3849" width="0.25" style="835" hidden="1"/>
    <col min="3850" max="3850" width="9.75" style="835" hidden="1"/>
    <col min="3851" max="3861" width="9" style="835" hidden="1"/>
    <col min="3862" max="4096" width="8.875" style="835" hidden="1"/>
    <col min="4097" max="4097" width="1.25" style="835" hidden="1"/>
    <col min="4098" max="4098" width="1.625" style="835" hidden="1"/>
    <col min="4099" max="4099" width="2.125" style="835" hidden="1"/>
    <col min="4100" max="4100" width="2.75" style="835" hidden="1"/>
    <col min="4101" max="4101" width="11.25" style="835" hidden="1"/>
    <col min="4102" max="4102" width="12.5" style="835" hidden="1"/>
    <col min="4103" max="4103" width="13.25" style="835" hidden="1"/>
    <col min="4104" max="4104" width="9.75" style="835" hidden="1"/>
    <col min="4105" max="4105" width="0.25" style="835" hidden="1"/>
    <col min="4106" max="4106" width="9.75" style="835" hidden="1"/>
    <col min="4107" max="4117" width="9" style="835" hidden="1"/>
    <col min="4118" max="4352" width="8.875" style="835" hidden="1"/>
    <col min="4353" max="4353" width="1.25" style="835" hidden="1"/>
    <col min="4354" max="4354" width="1.625" style="835" hidden="1"/>
    <col min="4355" max="4355" width="2.125" style="835" hidden="1"/>
    <col min="4356" max="4356" width="2.75" style="835" hidden="1"/>
    <col min="4357" max="4357" width="11.25" style="835" hidden="1"/>
    <col min="4358" max="4358" width="12.5" style="835" hidden="1"/>
    <col min="4359" max="4359" width="13.25" style="835" hidden="1"/>
    <col min="4360" max="4360" width="9.75" style="835" hidden="1"/>
    <col min="4361" max="4361" width="0.25" style="835" hidden="1"/>
    <col min="4362" max="4362" width="9.75" style="835" hidden="1"/>
    <col min="4363" max="4373" width="9" style="835" hidden="1"/>
    <col min="4374" max="4608" width="8.875" style="835" hidden="1"/>
    <col min="4609" max="4609" width="1.25" style="835" hidden="1"/>
    <col min="4610" max="4610" width="1.625" style="835" hidden="1"/>
    <col min="4611" max="4611" width="2.125" style="835" hidden="1"/>
    <col min="4612" max="4612" width="2.75" style="835" hidden="1"/>
    <col min="4613" max="4613" width="11.25" style="835" hidden="1"/>
    <col min="4614" max="4614" width="12.5" style="835" hidden="1"/>
    <col min="4615" max="4615" width="13.25" style="835" hidden="1"/>
    <col min="4616" max="4616" width="9.75" style="835" hidden="1"/>
    <col min="4617" max="4617" width="0.25" style="835" hidden="1"/>
    <col min="4618" max="4618" width="9.75" style="835" hidden="1"/>
    <col min="4619" max="4629" width="9" style="835" hidden="1"/>
    <col min="4630" max="4864" width="8.875" style="835" hidden="1"/>
    <col min="4865" max="4865" width="1.25" style="835" hidden="1"/>
    <col min="4866" max="4866" width="1.625" style="835" hidden="1"/>
    <col min="4867" max="4867" width="2.125" style="835" hidden="1"/>
    <col min="4868" max="4868" width="2.75" style="835" hidden="1"/>
    <col min="4869" max="4869" width="11.25" style="835" hidden="1"/>
    <col min="4870" max="4870" width="12.5" style="835" hidden="1"/>
    <col min="4871" max="4871" width="13.25" style="835" hidden="1"/>
    <col min="4872" max="4872" width="9.75" style="835" hidden="1"/>
    <col min="4873" max="4873" width="0.25" style="835" hidden="1"/>
    <col min="4874" max="4874" width="9.75" style="835" hidden="1"/>
    <col min="4875" max="4885" width="9" style="835" hidden="1"/>
    <col min="4886" max="5120" width="8.875" style="835" hidden="1"/>
    <col min="5121" max="5121" width="1.25" style="835" hidden="1"/>
    <col min="5122" max="5122" width="1.625" style="835" hidden="1"/>
    <col min="5123" max="5123" width="2.125" style="835" hidden="1"/>
    <col min="5124" max="5124" width="2.75" style="835" hidden="1"/>
    <col min="5125" max="5125" width="11.25" style="835" hidden="1"/>
    <col min="5126" max="5126" width="12.5" style="835" hidden="1"/>
    <col min="5127" max="5127" width="13.25" style="835" hidden="1"/>
    <col min="5128" max="5128" width="9.75" style="835" hidden="1"/>
    <col min="5129" max="5129" width="0.25" style="835" hidden="1"/>
    <col min="5130" max="5130" width="9.75" style="835" hidden="1"/>
    <col min="5131" max="5141" width="9" style="835" hidden="1"/>
    <col min="5142" max="5376" width="8.875" style="835" hidden="1"/>
    <col min="5377" max="5377" width="1.25" style="835" hidden="1"/>
    <col min="5378" max="5378" width="1.625" style="835" hidden="1"/>
    <col min="5379" max="5379" width="2.125" style="835" hidden="1"/>
    <col min="5380" max="5380" width="2.75" style="835" hidden="1"/>
    <col min="5381" max="5381" width="11.25" style="835" hidden="1"/>
    <col min="5382" max="5382" width="12.5" style="835" hidden="1"/>
    <col min="5383" max="5383" width="13.25" style="835" hidden="1"/>
    <col min="5384" max="5384" width="9.75" style="835" hidden="1"/>
    <col min="5385" max="5385" width="0.25" style="835" hidden="1"/>
    <col min="5386" max="5386" width="9.75" style="835" hidden="1"/>
    <col min="5387" max="5397" width="9" style="835" hidden="1"/>
    <col min="5398" max="5632" width="8.875" style="835" hidden="1"/>
    <col min="5633" max="5633" width="1.25" style="835" hidden="1"/>
    <col min="5634" max="5634" width="1.625" style="835" hidden="1"/>
    <col min="5635" max="5635" width="2.125" style="835" hidden="1"/>
    <col min="5636" max="5636" width="2.75" style="835" hidden="1"/>
    <col min="5637" max="5637" width="11.25" style="835" hidden="1"/>
    <col min="5638" max="5638" width="12.5" style="835" hidden="1"/>
    <col min="5639" max="5639" width="13.25" style="835" hidden="1"/>
    <col min="5640" max="5640" width="9.75" style="835" hidden="1"/>
    <col min="5641" max="5641" width="0.25" style="835" hidden="1"/>
    <col min="5642" max="5642" width="9.75" style="835" hidden="1"/>
    <col min="5643" max="5653" width="9" style="835" hidden="1"/>
    <col min="5654" max="5888" width="8.875" style="835" hidden="1"/>
    <col min="5889" max="5889" width="1.25" style="835" hidden="1"/>
    <col min="5890" max="5890" width="1.625" style="835" hidden="1"/>
    <col min="5891" max="5891" width="2.125" style="835" hidden="1"/>
    <col min="5892" max="5892" width="2.75" style="835" hidden="1"/>
    <col min="5893" max="5893" width="11.25" style="835" hidden="1"/>
    <col min="5894" max="5894" width="12.5" style="835" hidden="1"/>
    <col min="5895" max="5895" width="13.25" style="835" hidden="1"/>
    <col min="5896" max="5896" width="9.75" style="835" hidden="1"/>
    <col min="5897" max="5897" width="0.25" style="835" hidden="1"/>
    <col min="5898" max="5898" width="9.75" style="835" hidden="1"/>
    <col min="5899" max="5909" width="9" style="835" hidden="1"/>
    <col min="5910" max="6144" width="8.875" style="835" hidden="1"/>
    <col min="6145" max="6145" width="1.25" style="835" hidden="1"/>
    <col min="6146" max="6146" width="1.625" style="835" hidden="1"/>
    <col min="6147" max="6147" width="2.125" style="835" hidden="1"/>
    <col min="6148" max="6148" width="2.75" style="835" hidden="1"/>
    <col min="6149" max="6149" width="11.25" style="835" hidden="1"/>
    <col min="6150" max="6150" width="12.5" style="835" hidden="1"/>
    <col min="6151" max="6151" width="13.25" style="835" hidden="1"/>
    <col min="6152" max="6152" width="9.75" style="835" hidden="1"/>
    <col min="6153" max="6153" width="0.25" style="835" hidden="1"/>
    <col min="6154" max="6154" width="9.75" style="835" hidden="1"/>
    <col min="6155" max="6165" width="9" style="835" hidden="1"/>
    <col min="6166" max="6400" width="8.875" style="835" hidden="1"/>
    <col min="6401" max="6401" width="1.25" style="835" hidden="1"/>
    <col min="6402" max="6402" width="1.625" style="835" hidden="1"/>
    <col min="6403" max="6403" width="2.125" style="835" hidden="1"/>
    <col min="6404" max="6404" width="2.75" style="835" hidden="1"/>
    <col min="6405" max="6405" width="11.25" style="835" hidden="1"/>
    <col min="6406" max="6406" width="12.5" style="835" hidden="1"/>
    <col min="6407" max="6407" width="13.25" style="835" hidden="1"/>
    <col min="6408" max="6408" width="9.75" style="835" hidden="1"/>
    <col min="6409" max="6409" width="0.25" style="835" hidden="1"/>
    <col min="6410" max="6410" width="9.75" style="835" hidden="1"/>
    <col min="6411" max="6421" width="9" style="835" hidden="1"/>
    <col min="6422" max="6656" width="8.875" style="835" hidden="1"/>
    <col min="6657" max="6657" width="1.25" style="835" hidden="1"/>
    <col min="6658" max="6658" width="1.625" style="835" hidden="1"/>
    <col min="6659" max="6659" width="2.125" style="835" hidden="1"/>
    <col min="6660" max="6660" width="2.75" style="835" hidden="1"/>
    <col min="6661" max="6661" width="11.25" style="835" hidden="1"/>
    <col min="6662" max="6662" width="12.5" style="835" hidden="1"/>
    <col min="6663" max="6663" width="13.25" style="835" hidden="1"/>
    <col min="6664" max="6664" width="9.75" style="835" hidden="1"/>
    <col min="6665" max="6665" width="0.25" style="835" hidden="1"/>
    <col min="6666" max="6666" width="9.75" style="835" hidden="1"/>
    <col min="6667" max="6677" width="9" style="835" hidden="1"/>
    <col min="6678" max="6912" width="8.875" style="835" hidden="1"/>
    <col min="6913" max="6913" width="1.25" style="835" hidden="1"/>
    <col min="6914" max="6914" width="1.625" style="835" hidden="1"/>
    <col min="6915" max="6915" width="2.125" style="835" hidden="1"/>
    <col min="6916" max="6916" width="2.75" style="835" hidden="1"/>
    <col min="6917" max="6917" width="11.25" style="835" hidden="1"/>
    <col min="6918" max="6918" width="12.5" style="835" hidden="1"/>
    <col min="6919" max="6919" width="13.25" style="835" hidden="1"/>
    <col min="6920" max="6920" width="9.75" style="835" hidden="1"/>
    <col min="6921" max="6921" width="0.25" style="835" hidden="1"/>
    <col min="6922" max="6922" width="9.75" style="835" hidden="1"/>
    <col min="6923" max="6933" width="9" style="835" hidden="1"/>
    <col min="6934" max="7168" width="8.875" style="835" hidden="1"/>
    <col min="7169" max="7169" width="1.25" style="835" hidden="1"/>
    <col min="7170" max="7170" width="1.625" style="835" hidden="1"/>
    <col min="7171" max="7171" width="2.125" style="835" hidden="1"/>
    <col min="7172" max="7172" width="2.75" style="835" hidden="1"/>
    <col min="7173" max="7173" width="11.25" style="835" hidden="1"/>
    <col min="7174" max="7174" width="12.5" style="835" hidden="1"/>
    <col min="7175" max="7175" width="13.25" style="835" hidden="1"/>
    <col min="7176" max="7176" width="9.75" style="835" hidden="1"/>
    <col min="7177" max="7177" width="0.25" style="835" hidden="1"/>
    <col min="7178" max="7178" width="9.75" style="835" hidden="1"/>
    <col min="7179" max="7189" width="9" style="835" hidden="1"/>
    <col min="7190" max="7424" width="8.875" style="835" hidden="1"/>
    <col min="7425" max="7425" width="1.25" style="835" hidden="1"/>
    <col min="7426" max="7426" width="1.625" style="835" hidden="1"/>
    <col min="7427" max="7427" width="2.125" style="835" hidden="1"/>
    <col min="7428" max="7428" width="2.75" style="835" hidden="1"/>
    <col min="7429" max="7429" width="11.25" style="835" hidden="1"/>
    <col min="7430" max="7430" width="12.5" style="835" hidden="1"/>
    <col min="7431" max="7431" width="13.25" style="835" hidden="1"/>
    <col min="7432" max="7432" width="9.75" style="835" hidden="1"/>
    <col min="7433" max="7433" width="0.25" style="835" hidden="1"/>
    <col min="7434" max="7434" width="9.75" style="835" hidden="1"/>
    <col min="7435" max="7445" width="9" style="835" hidden="1"/>
    <col min="7446" max="7680" width="8.875" style="835" hidden="1"/>
    <col min="7681" max="7681" width="1.25" style="835" hidden="1"/>
    <col min="7682" max="7682" width="1.625" style="835" hidden="1"/>
    <col min="7683" max="7683" width="2.125" style="835" hidden="1"/>
    <col min="7684" max="7684" width="2.75" style="835" hidden="1"/>
    <col min="7685" max="7685" width="11.25" style="835" hidden="1"/>
    <col min="7686" max="7686" width="12.5" style="835" hidden="1"/>
    <col min="7687" max="7687" width="13.25" style="835" hidden="1"/>
    <col min="7688" max="7688" width="9.75" style="835" hidden="1"/>
    <col min="7689" max="7689" width="0.25" style="835" hidden="1"/>
    <col min="7690" max="7690" width="9.75" style="835" hidden="1"/>
    <col min="7691" max="7701" width="9" style="835" hidden="1"/>
    <col min="7702" max="7936" width="8.875" style="835" hidden="1"/>
    <col min="7937" max="7937" width="1.25" style="835" hidden="1"/>
    <col min="7938" max="7938" width="1.625" style="835" hidden="1"/>
    <col min="7939" max="7939" width="2.125" style="835" hidden="1"/>
    <col min="7940" max="7940" width="2.75" style="835" hidden="1"/>
    <col min="7941" max="7941" width="11.25" style="835" hidden="1"/>
    <col min="7942" max="7942" width="12.5" style="835" hidden="1"/>
    <col min="7943" max="7943" width="13.25" style="835" hidden="1"/>
    <col min="7944" max="7944" width="9.75" style="835" hidden="1"/>
    <col min="7945" max="7945" width="0.25" style="835" hidden="1"/>
    <col min="7946" max="7946" width="9.75" style="835" hidden="1"/>
    <col min="7947" max="7957" width="9" style="835" hidden="1"/>
    <col min="7958" max="8192" width="8.875" style="835" hidden="1"/>
    <col min="8193" max="8193" width="1.25" style="835" hidden="1"/>
    <col min="8194" max="8194" width="1.625" style="835" hidden="1"/>
    <col min="8195" max="8195" width="2.125" style="835" hidden="1"/>
    <col min="8196" max="8196" width="2.75" style="835" hidden="1"/>
    <col min="8197" max="8197" width="11.25" style="835" hidden="1"/>
    <col min="8198" max="8198" width="12.5" style="835" hidden="1"/>
    <col min="8199" max="8199" width="13.25" style="835" hidden="1"/>
    <col min="8200" max="8200" width="9.75" style="835" hidden="1"/>
    <col min="8201" max="8201" width="0.25" style="835" hidden="1"/>
    <col min="8202" max="8202" width="9.75" style="835" hidden="1"/>
    <col min="8203" max="8213" width="9" style="835" hidden="1"/>
    <col min="8214" max="8448" width="8.875" style="835" hidden="1"/>
    <col min="8449" max="8449" width="1.25" style="835" hidden="1"/>
    <col min="8450" max="8450" width="1.625" style="835" hidden="1"/>
    <col min="8451" max="8451" width="2.125" style="835" hidden="1"/>
    <col min="8452" max="8452" width="2.75" style="835" hidden="1"/>
    <col min="8453" max="8453" width="11.25" style="835" hidden="1"/>
    <col min="8454" max="8454" width="12.5" style="835" hidden="1"/>
    <col min="8455" max="8455" width="13.25" style="835" hidden="1"/>
    <col min="8456" max="8456" width="9.75" style="835" hidden="1"/>
    <col min="8457" max="8457" width="0.25" style="835" hidden="1"/>
    <col min="8458" max="8458" width="9.75" style="835" hidden="1"/>
    <col min="8459" max="8469" width="9" style="835" hidden="1"/>
    <col min="8470" max="8704" width="8.875" style="835" hidden="1"/>
    <col min="8705" max="8705" width="1.25" style="835" hidden="1"/>
    <col min="8706" max="8706" width="1.625" style="835" hidden="1"/>
    <col min="8707" max="8707" width="2.125" style="835" hidden="1"/>
    <col min="8708" max="8708" width="2.75" style="835" hidden="1"/>
    <col min="8709" max="8709" width="11.25" style="835" hidden="1"/>
    <col min="8710" max="8710" width="12.5" style="835" hidden="1"/>
    <col min="8711" max="8711" width="13.25" style="835" hidden="1"/>
    <col min="8712" max="8712" width="9.75" style="835" hidden="1"/>
    <col min="8713" max="8713" width="0.25" style="835" hidden="1"/>
    <col min="8714" max="8714" width="9.75" style="835" hidden="1"/>
    <col min="8715" max="8725" width="9" style="835" hidden="1"/>
    <col min="8726" max="8960" width="8.875" style="835" hidden="1"/>
    <col min="8961" max="8961" width="1.25" style="835" hidden="1"/>
    <col min="8962" max="8962" width="1.625" style="835" hidden="1"/>
    <col min="8963" max="8963" width="2.125" style="835" hidden="1"/>
    <col min="8964" max="8964" width="2.75" style="835" hidden="1"/>
    <col min="8965" max="8965" width="11.25" style="835" hidden="1"/>
    <col min="8966" max="8966" width="12.5" style="835" hidden="1"/>
    <col min="8967" max="8967" width="13.25" style="835" hidden="1"/>
    <col min="8968" max="8968" width="9.75" style="835" hidden="1"/>
    <col min="8969" max="8969" width="0.25" style="835" hidden="1"/>
    <col min="8970" max="8970" width="9.75" style="835" hidden="1"/>
    <col min="8971" max="8981" width="9" style="835" hidden="1"/>
    <col min="8982" max="9216" width="8.875" style="835" hidden="1"/>
    <col min="9217" max="9217" width="1.25" style="835" hidden="1"/>
    <col min="9218" max="9218" width="1.625" style="835" hidden="1"/>
    <col min="9219" max="9219" width="2.125" style="835" hidden="1"/>
    <col min="9220" max="9220" width="2.75" style="835" hidden="1"/>
    <col min="9221" max="9221" width="11.25" style="835" hidden="1"/>
    <col min="9222" max="9222" width="12.5" style="835" hidden="1"/>
    <col min="9223" max="9223" width="13.25" style="835" hidden="1"/>
    <col min="9224" max="9224" width="9.75" style="835" hidden="1"/>
    <col min="9225" max="9225" width="0.25" style="835" hidden="1"/>
    <col min="9226" max="9226" width="9.75" style="835" hidden="1"/>
    <col min="9227" max="9237" width="9" style="835" hidden="1"/>
    <col min="9238" max="9472" width="8.875" style="835" hidden="1"/>
    <col min="9473" max="9473" width="1.25" style="835" hidden="1"/>
    <col min="9474" max="9474" width="1.625" style="835" hidden="1"/>
    <col min="9475" max="9475" width="2.125" style="835" hidden="1"/>
    <col min="9476" max="9476" width="2.75" style="835" hidden="1"/>
    <col min="9477" max="9477" width="11.25" style="835" hidden="1"/>
    <col min="9478" max="9478" width="12.5" style="835" hidden="1"/>
    <col min="9479" max="9479" width="13.25" style="835" hidden="1"/>
    <col min="9480" max="9480" width="9.75" style="835" hidden="1"/>
    <col min="9481" max="9481" width="0.25" style="835" hidden="1"/>
    <col min="9482" max="9482" width="9.75" style="835" hidden="1"/>
    <col min="9483" max="9493" width="9" style="835" hidden="1"/>
    <col min="9494" max="9728" width="8.875" style="835" hidden="1"/>
    <col min="9729" max="9729" width="1.25" style="835" hidden="1"/>
    <col min="9730" max="9730" width="1.625" style="835" hidden="1"/>
    <col min="9731" max="9731" width="2.125" style="835" hidden="1"/>
    <col min="9732" max="9732" width="2.75" style="835" hidden="1"/>
    <col min="9733" max="9733" width="11.25" style="835" hidden="1"/>
    <col min="9734" max="9734" width="12.5" style="835" hidden="1"/>
    <col min="9735" max="9735" width="13.25" style="835" hidden="1"/>
    <col min="9736" max="9736" width="9.75" style="835" hidden="1"/>
    <col min="9737" max="9737" width="0.25" style="835" hidden="1"/>
    <col min="9738" max="9738" width="9.75" style="835" hidden="1"/>
    <col min="9739" max="9749" width="9" style="835" hidden="1"/>
    <col min="9750" max="9984" width="8.875" style="835" hidden="1"/>
    <col min="9985" max="9985" width="1.25" style="835" hidden="1"/>
    <col min="9986" max="9986" width="1.625" style="835" hidden="1"/>
    <col min="9987" max="9987" width="2.125" style="835" hidden="1"/>
    <col min="9988" max="9988" width="2.75" style="835" hidden="1"/>
    <col min="9989" max="9989" width="11.25" style="835" hidden="1"/>
    <col min="9990" max="9990" width="12.5" style="835" hidden="1"/>
    <col min="9991" max="9991" width="13.25" style="835" hidden="1"/>
    <col min="9992" max="9992" width="9.75" style="835" hidden="1"/>
    <col min="9993" max="9993" width="0.25" style="835" hidden="1"/>
    <col min="9994" max="9994" width="9.75" style="835" hidden="1"/>
    <col min="9995" max="10005" width="9" style="835" hidden="1"/>
    <col min="10006" max="10240" width="8.875" style="835" hidden="1"/>
    <col min="10241" max="10241" width="1.25" style="835" hidden="1"/>
    <col min="10242" max="10242" width="1.625" style="835" hidden="1"/>
    <col min="10243" max="10243" width="2.125" style="835" hidden="1"/>
    <col min="10244" max="10244" width="2.75" style="835" hidden="1"/>
    <col min="10245" max="10245" width="11.25" style="835" hidden="1"/>
    <col min="10246" max="10246" width="12.5" style="835" hidden="1"/>
    <col min="10247" max="10247" width="13.25" style="835" hidden="1"/>
    <col min="10248" max="10248" width="9.75" style="835" hidden="1"/>
    <col min="10249" max="10249" width="0.25" style="835" hidden="1"/>
    <col min="10250" max="10250" width="9.75" style="835" hidden="1"/>
    <col min="10251" max="10261" width="9" style="835" hidden="1"/>
    <col min="10262" max="10496" width="8.875" style="835" hidden="1"/>
    <col min="10497" max="10497" width="1.25" style="835" hidden="1"/>
    <col min="10498" max="10498" width="1.625" style="835" hidden="1"/>
    <col min="10499" max="10499" width="2.125" style="835" hidden="1"/>
    <col min="10500" max="10500" width="2.75" style="835" hidden="1"/>
    <col min="10501" max="10501" width="11.25" style="835" hidden="1"/>
    <col min="10502" max="10502" width="12.5" style="835" hidden="1"/>
    <col min="10503" max="10503" width="13.25" style="835" hidden="1"/>
    <col min="10504" max="10504" width="9.75" style="835" hidden="1"/>
    <col min="10505" max="10505" width="0.25" style="835" hidden="1"/>
    <col min="10506" max="10506" width="9.75" style="835" hidden="1"/>
    <col min="10507" max="10517" width="9" style="835" hidden="1"/>
    <col min="10518" max="10752" width="8.875" style="835" hidden="1"/>
    <col min="10753" max="10753" width="1.25" style="835" hidden="1"/>
    <col min="10754" max="10754" width="1.625" style="835" hidden="1"/>
    <col min="10755" max="10755" width="2.125" style="835" hidden="1"/>
    <col min="10756" max="10756" width="2.75" style="835" hidden="1"/>
    <col min="10757" max="10757" width="11.25" style="835" hidden="1"/>
    <col min="10758" max="10758" width="12.5" style="835" hidden="1"/>
    <col min="10759" max="10759" width="13.25" style="835" hidden="1"/>
    <col min="10760" max="10760" width="9.75" style="835" hidden="1"/>
    <col min="10761" max="10761" width="0.25" style="835" hidden="1"/>
    <col min="10762" max="10762" width="9.75" style="835" hidden="1"/>
    <col min="10763" max="10773" width="9" style="835" hidden="1"/>
    <col min="10774" max="11008" width="8.875" style="835" hidden="1"/>
    <col min="11009" max="11009" width="1.25" style="835" hidden="1"/>
    <col min="11010" max="11010" width="1.625" style="835" hidden="1"/>
    <col min="11011" max="11011" width="2.125" style="835" hidden="1"/>
    <col min="11012" max="11012" width="2.75" style="835" hidden="1"/>
    <col min="11013" max="11013" width="11.25" style="835" hidden="1"/>
    <col min="11014" max="11014" width="12.5" style="835" hidden="1"/>
    <col min="11015" max="11015" width="13.25" style="835" hidden="1"/>
    <col min="11016" max="11016" width="9.75" style="835" hidden="1"/>
    <col min="11017" max="11017" width="0.25" style="835" hidden="1"/>
    <col min="11018" max="11018" width="9.75" style="835" hidden="1"/>
    <col min="11019" max="11029" width="9" style="835" hidden="1"/>
    <col min="11030" max="11264" width="8.875" style="835" hidden="1"/>
    <col min="11265" max="11265" width="1.25" style="835" hidden="1"/>
    <col min="11266" max="11266" width="1.625" style="835" hidden="1"/>
    <col min="11267" max="11267" width="2.125" style="835" hidden="1"/>
    <col min="11268" max="11268" width="2.75" style="835" hidden="1"/>
    <col min="11269" max="11269" width="11.25" style="835" hidden="1"/>
    <col min="11270" max="11270" width="12.5" style="835" hidden="1"/>
    <col min="11271" max="11271" width="13.25" style="835" hidden="1"/>
    <col min="11272" max="11272" width="9.75" style="835" hidden="1"/>
    <col min="11273" max="11273" width="0.25" style="835" hidden="1"/>
    <col min="11274" max="11274" width="9.75" style="835" hidden="1"/>
    <col min="11275" max="11285" width="9" style="835" hidden="1"/>
    <col min="11286" max="11520" width="8.875" style="835" hidden="1"/>
    <col min="11521" max="11521" width="1.25" style="835" hidden="1"/>
    <col min="11522" max="11522" width="1.625" style="835" hidden="1"/>
    <col min="11523" max="11523" width="2.125" style="835" hidden="1"/>
    <col min="11524" max="11524" width="2.75" style="835" hidden="1"/>
    <col min="11525" max="11525" width="11.25" style="835" hidden="1"/>
    <col min="11526" max="11526" width="12.5" style="835" hidden="1"/>
    <col min="11527" max="11527" width="13.25" style="835" hidden="1"/>
    <col min="11528" max="11528" width="9.75" style="835" hidden="1"/>
    <col min="11529" max="11529" width="0.25" style="835" hidden="1"/>
    <col min="11530" max="11530" width="9.75" style="835" hidden="1"/>
    <col min="11531" max="11541" width="9" style="835" hidden="1"/>
    <col min="11542" max="11776" width="8.875" style="835" hidden="1"/>
    <col min="11777" max="11777" width="1.25" style="835" hidden="1"/>
    <col min="11778" max="11778" width="1.625" style="835" hidden="1"/>
    <col min="11779" max="11779" width="2.125" style="835" hidden="1"/>
    <col min="11780" max="11780" width="2.75" style="835" hidden="1"/>
    <col min="11781" max="11781" width="11.25" style="835" hidden="1"/>
    <col min="11782" max="11782" width="12.5" style="835" hidden="1"/>
    <col min="11783" max="11783" width="13.25" style="835" hidden="1"/>
    <col min="11784" max="11784" width="9.75" style="835" hidden="1"/>
    <col min="11785" max="11785" width="0.25" style="835" hidden="1"/>
    <col min="11786" max="11786" width="9.75" style="835" hidden="1"/>
    <col min="11787" max="11797" width="9" style="835" hidden="1"/>
    <col min="11798" max="12032" width="8.875" style="835" hidden="1"/>
    <col min="12033" max="12033" width="1.25" style="835" hidden="1"/>
    <col min="12034" max="12034" width="1.625" style="835" hidden="1"/>
    <col min="12035" max="12035" width="2.125" style="835" hidden="1"/>
    <col min="12036" max="12036" width="2.75" style="835" hidden="1"/>
    <col min="12037" max="12037" width="11.25" style="835" hidden="1"/>
    <col min="12038" max="12038" width="12.5" style="835" hidden="1"/>
    <col min="12039" max="12039" width="13.25" style="835" hidden="1"/>
    <col min="12040" max="12040" width="9.75" style="835" hidden="1"/>
    <col min="12041" max="12041" width="0.25" style="835" hidden="1"/>
    <col min="12042" max="12042" width="9.75" style="835" hidden="1"/>
    <col min="12043" max="12053" width="9" style="835" hidden="1"/>
    <col min="12054" max="12288" width="8.875" style="835" hidden="1"/>
    <col min="12289" max="12289" width="1.25" style="835" hidden="1"/>
    <col min="12290" max="12290" width="1.625" style="835" hidden="1"/>
    <col min="12291" max="12291" width="2.125" style="835" hidden="1"/>
    <col min="12292" max="12292" width="2.75" style="835" hidden="1"/>
    <col min="12293" max="12293" width="11.25" style="835" hidden="1"/>
    <col min="12294" max="12294" width="12.5" style="835" hidden="1"/>
    <col min="12295" max="12295" width="13.25" style="835" hidden="1"/>
    <col min="12296" max="12296" width="9.75" style="835" hidden="1"/>
    <col min="12297" max="12297" width="0.25" style="835" hidden="1"/>
    <col min="12298" max="12298" width="9.75" style="835" hidden="1"/>
    <col min="12299" max="12309" width="9" style="835" hidden="1"/>
    <col min="12310" max="12544" width="8.875" style="835" hidden="1"/>
    <col min="12545" max="12545" width="1.25" style="835" hidden="1"/>
    <col min="12546" max="12546" width="1.625" style="835" hidden="1"/>
    <col min="12547" max="12547" width="2.125" style="835" hidden="1"/>
    <col min="12548" max="12548" width="2.75" style="835" hidden="1"/>
    <col min="12549" max="12549" width="11.25" style="835" hidden="1"/>
    <col min="12550" max="12550" width="12.5" style="835" hidden="1"/>
    <col min="12551" max="12551" width="13.25" style="835" hidden="1"/>
    <col min="12552" max="12552" width="9.75" style="835" hidden="1"/>
    <col min="12553" max="12553" width="0.25" style="835" hidden="1"/>
    <col min="12554" max="12554" width="9.75" style="835" hidden="1"/>
    <col min="12555" max="12565" width="9" style="835" hidden="1"/>
    <col min="12566" max="12800" width="8.875" style="835" hidden="1"/>
    <col min="12801" max="12801" width="1.25" style="835" hidden="1"/>
    <col min="12802" max="12802" width="1.625" style="835" hidden="1"/>
    <col min="12803" max="12803" width="2.125" style="835" hidden="1"/>
    <col min="12804" max="12804" width="2.75" style="835" hidden="1"/>
    <col min="12805" max="12805" width="11.25" style="835" hidden="1"/>
    <col min="12806" max="12806" width="12.5" style="835" hidden="1"/>
    <col min="12807" max="12807" width="13.25" style="835" hidden="1"/>
    <col min="12808" max="12808" width="9.75" style="835" hidden="1"/>
    <col min="12809" max="12809" width="0.25" style="835" hidden="1"/>
    <col min="12810" max="12810" width="9.75" style="835" hidden="1"/>
    <col min="12811" max="12821" width="9" style="835" hidden="1"/>
    <col min="12822" max="13056" width="8.875" style="835" hidden="1"/>
    <col min="13057" max="13057" width="1.25" style="835" hidden="1"/>
    <col min="13058" max="13058" width="1.625" style="835" hidden="1"/>
    <col min="13059" max="13059" width="2.125" style="835" hidden="1"/>
    <col min="13060" max="13060" width="2.75" style="835" hidden="1"/>
    <col min="13061" max="13061" width="11.25" style="835" hidden="1"/>
    <col min="13062" max="13062" width="12.5" style="835" hidden="1"/>
    <col min="13063" max="13063" width="13.25" style="835" hidden="1"/>
    <col min="13064" max="13064" width="9.75" style="835" hidden="1"/>
    <col min="13065" max="13065" width="0.25" style="835" hidden="1"/>
    <col min="13066" max="13066" width="9.75" style="835" hidden="1"/>
    <col min="13067" max="13077" width="9" style="835" hidden="1"/>
    <col min="13078" max="13312" width="8.875" style="835" hidden="1"/>
    <col min="13313" max="13313" width="1.25" style="835" hidden="1"/>
    <col min="13314" max="13314" width="1.625" style="835" hidden="1"/>
    <col min="13315" max="13315" width="2.125" style="835" hidden="1"/>
    <col min="13316" max="13316" width="2.75" style="835" hidden="1"/>
    <col min="13317" max="13317" width="11.25" style="835" hidden="1"/>
    <col min="13318" max="13318" width="12.5" style="835" hidden="1"/>
    <col min="13319" max="13319" width="13.25" style="835" hidden="1"/>
    <col min="13320" max="13320" width="9.75" style="835" hidden="1"/>
    <col min="13321" max="13321" width="0.25" style="835" hidden="1"/>
    <col min="13322" max="13322" width="9.75" style="835" hidden="1"/>
    <col min="13323" max="13333" width="9" style="835" hidden="1"/>
    <col min="13334" max="13568" width="8.875" style="835" hidden="1"/>
    <col min="13569" max="13569" width="1.25" style="835" hidden="1"/>
    <col min="13570" max="13570" width="1.625" style="835" hidden="1"/>
    <col min="13571" max="13571" width="2.125" style="835" hidden="1"/>
    <col min="13572" max="13572" width="2.75" style="835" hidden="1"/>
    <col min="13573" max="13573" width="11.25" style="835" hidden="1"/>
    <col min="13574" max="13574" width="12.5" style="835" hidden="1"/>
    <col min="13575" max="13575" width="13.25" style="835" hidden="1"/>
    <col min="13576" max="13576" width="9.75" style="835" hidden="1"/>
    <col min="13577" max="13577" width="0.25" style="835" hidden="1"/>
    <col min="13578" max="13578" width="9.75" style="835" hidden="1"/>
    <col min="13579" max="13589" width="9" style="835" hidden="1"/>
    <col min="13590" max="13824" width="8.875" style="835" hidden="1"/>
    <col min="13825" max="13825" width="1.25" style="835" hidden="1"/>
    <col min="13826" max="13826" width="1.625" style="835" hidden="1"/>
    <col min="13827" max="13827" width="2.125" style="835" hidden="1"/>
    <col min="13828" max="13828" width="2.75" style="835" hidden="1"/>
    <col min="13829" max="13829" width="11.25" style="835" hidden="1"/>
    <col min="13830" max="13830" width="12.5" style="835" hidden="1"/>
    <col min="13831" max="13831" width="13.25" style="835" hidden="1"/>
    <col min="13832" max="13832" width="9.75" style="835" hidden="1"/>
    <col min="13833" max="13833" width="0.25" style="835" hidden="1"/>
    <col min="13834" max="13834" width="9.75" style="835" hidden="1"/>
    <col min="13835" max="13845" width="9" style="835" hidden="1"/>
    <col min="13846" max="14080" width="8.875" style="835" hidden="1"/>
    <col min="14081" max="14081" width="1.25" style="835" hidden="1"/>
    <col min="14082" max="14082" width="1.625" style="835" hidden="1"/>
    <col min="14083" max="14083" width="2.125" style="835" hidden="1"/>
    <col min="14084" max="14084" width="2.75" style="835" hidden="1"/>
    <col min="14085" max="14085" width="11.25" style="835" hidden="1"/>
    <col min="14086" max="14086" width="12.5" style="835" hidden="1"/>
    <col min="14087" max="14087" width="13.25" style="835" hidden="1"/>
    <col min="14088" max="14088" width="9.75" style="835" hidden="1"/>
    <col min="14089" max="14089" width="0.25" style="835" hidden="1"/>
    <col min="14090" max="14090" width="9.75" style="835" hidden="1"/>
    <col min="14091" max="14101" width="9" style="835" hidden="1"/>
    <col min="14102" max="14336" width="8.875" style="835" hidden="1"/>
    <col min="14337" max="14337" width="1.25" style="835" hidden="1"/>
    <col min="14338" max="14338" width="1.625" style="835" hidden="1"/>
    <col min="14339" max="14339" width="2.125" style="835" hidden="1"/>
    <col min="14340" max="14340" width="2.75" style="835" hidden="1"/>
    <col min="14341" max="14341" width="11.25" style="835" hidden="1"/>
    <col min="14342" max="14342" width="12.5" style="835" hidden="1"/>
    <col min="14343" max="14343" width="13.25" style="835" hidden="1"/>
    <col min="14344" max="14344" width="9.75" style="835" hidden="1"/>
    <col min="14345" max="14345" width="0.25" style="835" hidden="1"/>
    <col min="14346" max="14346" width="9.75" style="835" hidden="1"/>
    <col min="14347" max="14357" width="9" style="835" hidden="1"/>
    <col min="14358" max="14592" width="8.875" style="835" hidden="1"/>
    <col min="14593" max="14593" width="1.25" style="835" hidden="1"/>
    <col min="14594" max="14594" width="1.625" style="835" hidden="1"/>
    <col min="14595" max="14595" width="2.125" style="835" hidden="1"/>
    <col min="14596" max="14596" width="2.75" style="835" hidden="1"/>
    <col min="14597" max="14597" width="11.25" style="835" hidden="1"/>
    <col min="14598" max="14598" width="12.5" style="835" hidden="1"/>
    <col min="14599" max="14599" width="13.25" style="835" hidden="1"/>
    <col min="14600" max="14600" width="9.75" style="835" hidden="1"/>
    <col min="14601" max="14601" width="0.25" style="835" hidden="1"/>
    <col min="14602" max="14602" width="9.75" style="835" hidden="1"/>
    <col min="14603" max="14613" width="9" style="835" hidden="1"/>
    <col min="14614" max="14848" width="8.875" style="835" hidden="1"/>
    <col min="14849" max="14849" width="1.25" style="835" hidden="1"/>
    <col min="14850" max="14850" width="1.625" style="835" hidden="1"/>
    <col min="14851" max="14851" width="2.125" style="835" hidden="1"/>
    <col min="14852" max="14852" width="2.75" style="835" hidden="1"/>
    <col min="14853" max="14853" width="11.25" style="835" hidden="1"/>
    <col min="14854" max="14854" width="12.5" style="835" hidden="1"/>
    <col min="14855" max="14855" width="13.25" style="835" hidden="1"/>
    <col min="14856" max="14856" width="9.75" style="835" hidden="1"/>
    <col min="14857" max="14857" width="0.25" style="835" hidden="1"/>
    <col min="14858" max="14858" width="9.75" style="835" hidden="1"/>
    <col min="14859" max="14869" width="9" style="835" hidden="1"/>
    <col min="14870" max="15104" width="8.875" style="835" hidden="1"/>
    <col min="15105" max="15105" width="1.25" style="835" hidden="1"/>
    <col min="15106" max="15106" width="1.625" style="835" hidden="1"/>
    <col min="15107" max="15107" width="2.125" style="835" hidden="1"/>
    <col min="15108" max="15108" width="2.75" style="835" hidden="1"/>
    <col min="15109" max="15109" width="11.25" style="835" hidden="1"/>
    <col min="15110" max="15110" width="12.5" style="835" hidden="1"/>
    <col min="15111" max="15111" width="13.25" style="835" hidden="1"/>
    <col min="15112" max="15112" width="9.75" style="835" hidden="1"/>
    <col min="15113" max="15113" width="0.25" style="835" hidden="1"/>
    <col min="15114" max="15114" width="9.75" style="835" hidden="1"/>
    <col min="15115" max="15125" width="9" style="835" hidden="1"/>
    <col min="15126" max="15360" width="8.875" style="835" hidden="1"/>
    <col min="15361" max="15361" width="1.25" style="835" hidden="1"/>
    <col min="15362" max="15362" width="1.625" style="835" hidden="1"/>
    <col min="15363" max="15363" width="2.125" style="835" hidden="1"/>
    <col min="15364" max="15364" width="2.75" style="835" hidden="1"/>
    <col min="15365" max="15365" width="11.25" style="835" hidden="1"/>
    <col min="15366" max="15366" width="12.5" style="835" hidden="1"/>
    <col min="15367" max="15367" width="13.25" style="835" hidden="1"/>
    <col min="15368" max="15368" width="9.75" style="835" hidden="1"/>
    <col min="15369" max="15369" width="0.25" style="835" hidden="1"/>
    <col min="15370" max="15370" width="9.75" style="835" hidden="1"/>
    <col min="15371" max="15381" width="9" style="835" hidden="1"/>
    <col min="15382" max="15616" width="8.875" style="835" hidden="1"/>
    <col min="15617" max="15617" width="1.25" style="835" hidden="1"/>
    <col min="15618" max="15618" width="1.625" style="835" hidden="1"/>
    <col min="15619" max="15619" width="2.125" style="835" hidden="1"/>
    <col min="15620" max="15620" width="2.75" style="835" hidden="1"/>
    <col min="15621" max="15621" width="11.25" style="835" hidden="1"/>
    <col min="15622" max="15622" width="12.5" style="835" hidden="1"/>
    <col min="15623" max="15623" width="13.25" style="835" hidden="1"/>
    <col min="15624" max="15624" width="9.75" style="835" hidden="1"/>
    <col min="15625" max="15625" width="0.25" style="835" hidden="1"/>
    <col min="15626" max="15626" width="9.75" style="835" hidden="1"/>
    <col min="15627" max="15637" width="9" style="835" hidden="1"/>
    <col min="15638" max="15872" width="8.875" style="835" hidden="1"/>
    <col min="15873" max="15873" width="1.25" style="835" hidden="1"/>
    <col min="15874" max="15874" width="1.625" style="835" hidden="1"/>
    <col min="15875" max="15875" width="2.125" style="835" hidden="1"/>
    <col min="15876" max="15876" width="2.75" style="835" hidden="1"/>
    <col min="15877" max="15877" width="11.25" style="835" hidden="1"/>
    <col min="15878" max="15878" width="12.5" style="835" hidden="1"/>
    <col min="15879" max="15879" width="13.25" style="835" hidden="1"/>
    <col min="15880" max="15880" width="9.75" style="835" hidden="1"/>
    <col min="15881" max="15881" width="0.25" style="835" hidden="1"/>
    <col min="15882" max="15882" width="9.75" style="835" hidden="1"/>
    <col min="15883" max="15893" width="9" style="835" hidden="1"/>
    <col min="15894" max="16128" width="8.875" style="835" hidden="1"/>
    <col min="16129" max="16129" width="1.25" style="835" hidden="1"/>
    <col min="16130" max="16130" width="1.625" style="835" hidden="1"/>
    <col min="16131" max="16131" width="2.125" style="835" hidden="1"/>
    <col min="16132" max="16132" width="2.75" style="835" hidden="1"/>
    <col min="16133" max="16133" width="11.25" style="835" hidden="1"/>
    <col min="16134" max="16134" width="12.5" style="835" hidden="1"/>
    <col min="16135" max="16135" width="13.25" style="835" hidden="1"/>
    <col min="16136" max="16136" width="9.75" style="835" hidden="1"/>
    <col min="16137" max="16137" width="0.25" style="835" hidden="1"/>
    <col min="16138" max="16138" width="9.75" style="835" hidden="1"/>
    <col min="16139" max="16149" width="9" style="835" hidden="1"/>
    <col min="16150" max="16384" width="8.875" style="835" hidden="1"/>
  </cols>
  <sheetData>
    <row r="1" spans="2:37" s="814" customFormat="1" ht="33" customHeight="1">
      <c r="B1" s="1099" t="s">
        <v>1596</v>
      </c>
      <c r="C1" s="1100"/>
      <c r="D1" s="1100"/>
      <c r="E1" s="1100"/>
      <c r="F1" s="1100"/>
      <c r="G1" s="1100"/>
      <c r="H1" s="1100"/>
      <c r="I1" s="1100"/>
      <c r="J1" s="1101" t="s">
        <v>767</v>
      </c>
      <c r="K1" s="1100"/>
      <c r="L1" s="1100"/>
      <c r="M1" s="1100"/>
      <c r="N1" s="1100"/>
      <c r="O1" s="1100"/>
      <c r="P1" s="1100"/>
      <c r="Q1" s="1100"/>
      <c r="R1" s="1100"/>
      <c r="S1" s="1102" t="s">
        <v>768</v>
      </c>
      <c r="T1" s="1100"/>
      <c r="U1" s="1100"/>
      <c r="V1" s="1103"/>
      <c r="W1" s="1103"/>
      <c r="X1" s="1103"/>
      <c r="Y1" s="1103"/>
      <c r="Z1" s="1103"/>
      <c r="AA1" s="1103"/>
      <c r="AB1" s="1103"/>
      <c r="AC1" s="1103"/>
      <c r="AD1" s="1103"/>
      <c r="AE1" s="1103"/>
      <c r="AF1" s="1103"/>
      <c r="AG1" s="1103"/>
      <c r="AH1" s="1103"/>
      <c r="AI1" s="1103"/>
      <c r="AJ1" s="1103"/>
      <c r="AK1" s="1103"/>
    </row>
    <row r="2" spans="2:37" s="833" customFormat="1"/>
    <row r="3" spans="2:37" s="833" customFormat="1" ht="13.5">
      <c r="B3" s="1104" t="s">
        <v>1597</v>
      </c>
      <c r="C3" s="1104"/>
      <c r="D3" s="1104"/>
      <c r="E3" s="1104"/>
      <c r="F3" s="1104"/>
      <c r="G3" s="1104"/>
      <c r="H3" s="1104"/>
      <c r="J3" s="1922" t="s">
        <v>1664</v>
      </c>
    </row>
    <row r="4" spans="2:37" s="833" customFormat="1">
      <c r="B4" s="843"/>
    </row>
    <row r="5" spans="2:37" s="833" customFormat="1" ht="13.5">
      <c r="B5" s="907"/>
      <c r="C5" s="908"/>
      <c r="D5" s="908"/>
      <c r="E5" s="1105" t="s">
        <v>1598</v>
      </c>
      <c r="F5" s="991" t="s">
        <v>1599</v>
      </c>
      <c r="G5" s="992">
        <v>45230</v>
      </c>
      <c r="H5" s="1107" t="s">
        <v>1600</v>
      </c>
      <c r="J5" s="820">
        <f t="shared" ref="J5:U5" si="0">YEAR(J6)</f>
        <v>2031</v>
      </c>
      <c r="K5" s="820">
        <f t="shared" si="0"/>
        <v>2031</v>
      </c>
      <c r="L5" s="820">
        <f t="shared" si="0"/>
        <v>2031</v>
      </c>
      <c r="M5" s="820">
        <f t="shared" si="0"/>
        <v>2031</v>
      </c>
      <c r="N5" s="820">
        <f t="shared" si="0"/>
        <v>2031</v>
      </c>
      <c r="O5" s="820">
        <f t="shared" si="0"/>
        <v>2031</v>
      </c>
      <c r="P5" s="820">
        <f t="shared" si="0"/>
        <v>2032</v>
      </c>
      <c r="Q5" s="820">
        <f t="shared" si="0"/>
        <v>2032</v>
      </c>
      <c r="R5" s="820">
        <f t="shared" si="0"/>
        <v>2032</v>
      </c>
      <c r="S5" s="820">
        <f t="shared" si="0"/>
        <v>2032</v>
      </c>
      <c r="T5" s="820">
        <f t="shared" si="0"/>
        <v>2032</v>
      </c>
      <c r="U5" s="820">
        <f t="shared" si="0"/>
        <v>2032</v>
      </c>
    </row>
    <row r="6" spans="2:37" s="833" customFormat="1" ht="13.5">
      <c r="B6" s="860"/>
      <c r="C6" s="861"/>
      <c r="D6" s="861"/>
      <c r="E6" s="861"/>
      <c r="F6" s="830" t="s">
        <v>1601</v>
      </c>
      <c r="G6" s="983">
        <v>48029</v>
      </c>
      <c r="H6" s="832"/>
      <c r="J6" s="834">
        <v>48060</v>
      </c>
      <c r="K6" s="834">
        <v>48091</v>
      </c>
      <c r="L6" s="834">
        <v>48121</v>
      </c>
      <c r="M6" s="834">
        <v>48152</v>
      </c>
      <c r="N6" s="834">
        <v>48182</v>
      </c>
      <c r="O6" s="834">
        <v>48213</v>
      </c>
      <c r="P6" s="834">
        <v>48244</v>
      </c>
      <c r="Q6" s="834">
        <v>48273</v>
      </c>
      <c r="R6" s="834">
        <v>48304</v>
      </c>
      <c r="S6" s="834">
        <v>48334</v>
      </c>
      <c r="T6" s="834">
        <v>48365</v>
      </c>
      <c r="U6" s="834">
        <v>48395</v>
      </c>
    </row>
    <row r="7" spans="2:37" s="833" customFormat="1">
      <c r="B7" s="845"/>
      <c r="C7" s="846"/>
      <c r="D7" s="846"/>
      <c r="E7" s="846"/>
      <c r="F7" s="846"/>
      <c r="G7" s="1108"/>
      <c r="H7" s="915"/>
      <c r="J7" s="916"/>
      <c r="K7" s="916"/>
      <c r="L7" s="916"/>
      <c r="M7" s="916"/>
      <c r="N7" s="916"/>
      <c r="O7" s="916"/>
      <c r="P7" s="916"/>
      <c r="Q7" s="916"/>
      <c r="R7" s="916"/>
      <c r="S7" s="916"/>
      <c r="T7" s="916"/>
      <c r="U7" s="916"/>
    </row>
    <row r="8" spans="2:37" s="833" customFormat="1" ht="13.5">
      <c r="B8" s="845"/>
      <c r="C8" s="846" t="s">
        <v>1602</v>
      </c>
      <c r="D8" s="846"/>
      <c r="E8" s="846"/>
      <c r="F8" s="846"/>
      <c r="G8" s="1109"/>
      <c r="H8" s="214">
        <f>SUM(J8:U8)</f>
        <v>46415.559700814927</v>
      </c>
      <c r="J8" s="296">
        <f>SUM(J10:J13)</f>
        <v>3597.6693662251255</v>
      </c>
      <c r="K8" s="296">
        <f t="shared" ref="K8:U8" si="1">SUM(K10:K13)</f>
        <v>3597.6693662251255</v>
      </c>
      <c r="L8" s="296">
        <f t="shared" si="1"/>
        <v>3597.6693662251255</v>
      </c>
      <c r="M8" s="296">
        <f t="shared" si="1"/>
        <v>3600.6807950951279</v>
      </c>
      <c r="N8" s="296">
        <f t="shared" si="1"/>
        <v>3600.6807950951279</v>
      </c>
      <c r="O8" s="296">
        <f t="shared" si="1"/>
        <v>2030.6373126004592</v>
      </c>
      <c r="P8" s="296">
        <f t="shared" si="1"/>
        <v>4371.5448704033215</v>
      </c>
      <c r="Q8" s="296">
        <f t="shared" si="1"/>
        <v>4403.8015657891037</v>
      </c>
      <c r="R8" s="296">
        <f t="shared" si="1"/>
        <v>4403.8015657891037</v>
      </c>
      <c r="S8" s="296">
        <f t="shared" si="1"/>
        <v>4403.8015657891037</v>
      </c>
      <c r="T8" s="296">
        <f t="shared" si="1"/>
        <v>4403.8015657891037</v>
      </c>
      <c r="U8" s="296">
        <f t="shared" si="1"/>
        <v>4403.8015657891037</v>
      </c>
    </row>
    <row r="9" spans="2:37" s="833" customFormat="1">
      <c r="B9" s="845"/>
      <c r="C9" s="846"/>
      <c r="D9" s="846"/>
      <c r="E9" s="846"/>
      <c r="F9" s="846"/>
      <c r="G9" s="297"/>
      <c r="H9" s="214"/>
      <c r="J9" s="296"/>
      <c r="K9" s="296"/>
      <c r="L9" s="296"/>
      <c r="M9" s="296"/>
      <c r="N9" s="296"/>
      <c r="O9" s="296"/>
      <c r="P9" s="296"/>
      <c r="Q9" s="296"/>
      <c r="R9" s="296"/>
      <c r="S9" s="296"/>
      <c r="T9" s="296"/>
      <c r="U9" s="296"/>
    </row>
    <row r="10" spans="2:37" s="833" customFormat="1" ht="13.5">
      <c r="B10" s="845"/>
      <c r="C10" s="846"/>
      <c r="D10" s="881" t="s">
        <v>1603</v>
      </c>
      <c r="E10" s="846"/>
      <c r="F10" s="298"/>
      <c r="G10" s="297"/>
      <c r="H10" s="214">
        <f>SUM(J10:U10)</f>
        <v>30464.204458921075</v>
      </c>
      <c r="J10" s="296">
        <v>2374.4042111353856</v>
      </c>
      <c r="K10" s="296">
        <v>2374.4042111353856</v>
      </c>
      <c r="L10" s="296">
        <v>2374.4042111353856</v>
      </c>
      <c r="M10" s="296">
        <v>2376.4646624674929</v>
      </c>
      <c r="N10" s="296">
        <v>2376.4646624674929</v>
      </c>
      <c r="O10" s="296">
        <v>806.42117997282389</v>
      </c>
      <c r="P10" s="296">
        <v>2945.2149113285882</v>
      </c>
      <c r="Q10" s="296">
        <v>2967.2852818557026</v>
      </c>
      <c r="R10" s="296">
        <v>2967.2852818557026</v>
      </c>
      <c r="S10" s="296">
        <v>2967.2852818557026</v>
      </c>
      <c r="T10" s="296">
        <v>2967.2852818557026</v>
      </c>
      <c r="U10" s="296">
        <v>2967.2852818557026</v>
      </c>
    </row>
    <row r="11" spans="2:37" s="833" customFormat="1" ht="13.5">
      <c r="B11" s="845"/>
      <c r="C11" s="846"/>
      <c r="D11" s="881" t="s">
        <v>1604</v>
      </c>
      <c r="E11" s="846"/>
      <c r="F11" s="298"/>
      <c r="G11" s="297"/>
      <c r="H11" s="214">
        <f>SUM(J11:U11)</f>
        <v>15147.355241893862</v>
      </c>
      <c r="J11" s="296">
        <v>1156.2651550897397</v>
      </c>
      <c r="K11" s="296">
        <v>1156.2651550897397</v>
      </c>
      <c r="L11" s="296">
        <v>1156.2651550897397</v>
      </c>
      <c r="M11" s="296">
        <v>1157.2161326276353</v>
      </c>
      <c r="N11" s="296">
        <v>1157.2161326276353</v>
      </c>
      <c r="O11" s="296">
        <v>1157.2161326276353</v>
      </c>
      <c r="P11" s="296">
        <v>1359.3299590747331</v>
      </c>
      <c r="Q11" s="296">
        <v>1369.5162839334009</v>
      </c>
      <c r="R11" s="296">
        <v>1369.5162839334009</v>
      </c>
      <c r="S11" s="296">
        <v>1369.5162839334009</v>
      </c>
      <c r="T11" s="296">
        <v>1369.5162839334009</v>
      </c>
      <c r="U11" s="296">
        <v>1369.5162839334009</v>
      </c>
    </row>
    <row r="12" spans="2:37" s="833" customFormat="1" ht="13.5">
      <c r="B12" s="845"/>
      <c r="C12" s="846"/>
      <c r="D12" s="881" t="s">
        <v>1605</v>
      </c>
      <c r="E12" s="846"/>
      <c r="F12" s="1110"/>
      <c r="G12" s="297"/>
      <c r="H12" s="214">
        <f>SUM(J12:U12)</f>
        <v>432</v>
      </c>
      <c r="J12" s="296">
        <v>36</v>
      </c>
      <c r="K12" s="296">
        <v>36</v>
      </c>
      <c r="L12" s="296">
        <v>36</v>
      </c>
      <c r="M12" s="296">
        <v>36</v>
      </c>
      <c r="N12" s="296">
        <v>36</v>
      </c>
      <c r="O12" s="296">
        <v>36</v>
      </c>
      <c r="P12" s="296">
        <v>36</v>
      </c>
      <c r="Q12" s="296">
        <v>36</v>
      </c>
      <c r="R12" s="296">
        <v>36</v>
      </c>
      <c r="S12" s="296">
        <v>36</v>
      </c>
      <c r="T12" s="296">
        <v>36</v>
      </c>
      <c r="U12" s="296">
        <v>36</v>
      </c>
    </row>
    <row r="13" spans="2:37" s="833" customFormat="1" ht="13.5">
      <c r="B13" s="845"/>
      <c r="C13" s="846"/>
      <c r="D13" s="881" t="s">
        <v>1606</v>
      </c>
      <c r="E13" s="846"/>
      <c r="F13" s="1110"/>
      <c r="G13" s="297"/>
      <c r="H13" s="214">
        <f>SUM(J13:U13)</f>
        <v>372</v>
      </c>
      <c r="J13" s="296">
        <v>31</v>
      </c>
      <c r="K13" s="296">
        <v>31</v>
      </c>
      <c r="L13" s="296">
        <v>31</v>
      </c>
      <c r="M13" s="296">
        <v>31</v>
      </c>
      <c r="N13" s="296">
        <v>31</v>
      </c>
      <c r="O13" s="296">
        <v>31</v>
      </c>
      <c r="P13" s="296">
        <v>31</v>
      </c>
      <c r="Q13" s="296">
        <v>31</v>
      </c>
      <c r="R13" s="296">
        <v>31</v>
      </c>
      <c r="S13" s="296">
        <v>31</v>
      </c>
      <c r="T13" s="296">
        <v>31</v>
      </c>
      <c r="U13" s="296">
        <v>31</v>
      </c>
    </row>
    <row r="14" spans="2:37" s="833" customFormat="1">
      <c r="B14" s="845"/>
      <c r="C14" s="846"/>
      <c r="D14" s="846"/>
      <c r="E14" s="846"/>
      <c r="F14" s="846"/>
      <c r="G14" s="297"/>
      <c r="H14" s="214"/>
      <c r="J14" s="296"/>
      <c r="K14" s="296"/>
      <c r="L14" s="296"/>
      <c r="M14" s="296"/>
      <c r="N14" s="296"/>
      <c r="O14" s="296"/>
      <c r="P14" s="296"/>
      <c r="Q14" s="296"/>
      <c r="R14" s="296"/>
      <c r="S14" s="296"/>
      <c r="T14" s="296"/>
      <c r="U14" s="296"/>
    </row>
    <row r="15" spans="2:37" s="833" customFormat="1" ht="13.5">
      <c r="B15" s="845"/>
      <c r="C15" s="846" t="s">
        <v>1607</v>
      </c>
      <c r="D15" s="846"/>
      <c r="E15" s="846"/>
      <c r="F15" s="855"/>
      <c r="G15" s="1111" t="s">
        <v>1608</v>
      </c>
      <c r="H15" s="214">
        <f>SUM(J15:U15)</f>
        <v>7135.7639936482346</v>
      </c>
      <c r="J15" s="296">
        <f t="shared" ref="J15:U15" si="2">SUM(J17:J29)</f>
        <v>572.87767255068752</v>
      </c>
      <c r="K15" s="296">
        <f t="shared" si="2"/>
        <v>572.87767255068752</v>
      </c>
      <c r="L15" s="296">
        <f t="shared" si="2"/>
        <v>572.76195900883101</v>
      </c>
      <c r="M15" s="296">
        <f t="shared" si="2"/>
        <v>629.21750775667158</v>
      </c>
      <c r="N15" s="296">
        <f t="shared" si="2"/>
        <v>583.78818862962112</v>
      </c>
      <c r="O15" s="296">
        <f t="shared" si="2"/>
        <v>583.90390217147763</v>
      </c>
      <c r="P15" s="296">
        <f t="shared" si="2"/>
        <v>587.21967722772365</v>
      </c>
      <c r="Q15" s="296">
        <f t="shared" si="2"/>
        <v>586.77012807252368</v>
      </c>
      <c r="R15" s="296">
        <f t="shared" si="2"/>
        <v>685.13780315204087</v>
      </c>
      <c r="S15" s="296">
        <f t="shared" si="2"/>
        <v>586.99490265012366</v>
      </c>
      <c r="T15" s="296">
        <f t="shared" si="2"/>
        <v>587.21967722772365</v>
      </c>
      <c r="U15" s="296">
        <f t="shared" si="2"/>
        <v>586.99490265012366</v>
      </c>
    </row>
    <row r="16" spans="2:37" s="833" customFormat="1">
      <c r="B16" s="845"/>
      <c r="C16" s="846"/>
      <c r="D16" s="846"/>
      <c r="E16" s="846"/>
      <c r="F16" s="298"/>
      <c r="G16" s="297"/>
      <c r="H16" s="214"/>
      <c r="J16" s="296"/>
      <c r="K16" s="296"/>
      <c r="L16" s="296"/>
      <c r="M16" s="296"/>
      <c r="N16" s="296"/>
      <c r="O16" s="296"/>
      <c r="P16" s="296"/>
      <c r="Q16" s="296"/>
      <c r="R16" s="296"/>
      <c r="S16" s="296"/>
      <c r="T16" s="296"/>
      <c r="U16" s="296"/>
    </row>
    <row r="17" spans="2:21" s="833" customFormat="1" ht="13.5">
      <c r="B17" s="845"/>
      <c r="C17" s="846"/>
      <c r="D17" s="881" t="s">
        <v>783</v>
      </c>
      <c r="E17" s="846"/>
      <c r="F17" s="298"/>
      <c r="G17" s="1112">
        <v>1</v>
      </c>
      <c r="H17" s="214">
        <f t="shared" ref="H17:H26" si="3">SUM(J17:U17)</f>
        <v>574.58398418604691</v>
      </c>
      <c r="J17" s="296">
        <v>47.09704788410221</v>
      </c>
      <c r="K17" s="296">
        <v>47.09704788410221</v>
      </c>
      <c r="L17" s="296">
        <v>47.09704788410221</v>
      </c>
      <c r="M17" s="296">
        <v>47.09704788410221</v>
      </c>
      <c r="N17" s="296">
        <v>48.274474081204765</v>
      </c>
      <c r="O17" s="296">
        <v>48.274474081204765</v>
      </c>
      <c r="P17" s="296">
        <v>48.274474081204765</v>
      </c>
      <c r="Q17" s="296">
        <v>48.274474081204765</v>
      </c>
      <c r="R17" s="296">
        <v>48.274474081204765</v>
      </c>
      <c r="S17" s="296">
        <v>48.274474081204765</v>
      </c>
      <c r="T17" s="296">
        <v>48.274474081204765</v>
      </c>
      <c r="U17" s="296">
        <v>48.274474081204765</v>
      </c>
    </row>
    <row r="18" spans="2:21" s="833" customFormat="1" ht="13.5">
      <c r="B18" s="845"/>
      <c r="C18" s="846"/>
      <c r="D18" s="881" t="s">
        <v>784</v>
      </c>
      <c r="E18" s="846"/>
      <c r="F18" s="298"/>
      <c r="G18" s="1112">
        <v>1</v>
      </c>
      <c r="H18" s="214">
        <f t="shared" si="3"/>
        <v>2924.955314912605</v>
      </c>
      <c r="J18" s="296">
        <v>239.75043564857427</v>
      </c>
      <c r="K18" s="296">
        <v>239.75043564857427</v>
      </c>
      <c r="L18" s="296">
        <v>239.75043564857427</v>
      </c>
      <c r="M18" s="296">
        <v>239.75043564857427</v>
      </c>
      <c r="N18" s="296">
        <v>245.74419653978859</v>
      </c>
      <c r="O18" s="296">
        <v>245.74419653978859</v>
      </c>
      <c r="P18" s="296">
        <v>245.74419653978859</v>
      </c>
      <c r="Q18" s="296">
        <v>245.74419653978859</v>
      </c>
      <c r="R18" s="296">
        <v>245.74419653978859</v>
      </c>
      <c r="S18" s="296">
        <v>245.74419653978859</v>
      </c>
      <c r="T18" s="296">
        <v>245.74419653978859</v>
      </c>
      <c r="U18" s="296">
        <v>245.74419653978859</v>
      </c>
    </row>
    <row r="19" spans="2:21" s="833" customFormat="1" ht="13.5">
      <c r="B19" s="845"/>
      <c r="C19" s="846"/>
      <c r="D19" s="881" t="s">
        <v>381</v>
      </c>
      <c r="E19" s="846"/>
      <c r="F19" s="298"/>
      <c r="G19" s="1112">
        <v>1</v>
      </c>
      <c r="H19" s="214">
        <f t="shared" si="3"/>
        <v>2122.8405464849538</v>
      </c>
      <c r="J19" s="296">
        <v>174.57570283593367</v>
      </c>
      <c r="K19" s="296">
        <v>174.57570283593367</v>
      </c>
      <c r="L19" s="296">
        <v>174.57570283593367</v>
      </c>
      <c r="M19" s="296">
        <v>174.57570283593367</v>
      </c>
      <c r="N19" s="296">
        <v>178.06721689265237</v>
      </c>
      <c r="O19" s="296">
        <v>178.06721689265237</v>
      </c>
      <c r="P19" s="296">
        <v>178.06721689265237</v>
      </c>
      <c r="Q19" s="296">
        <v>178.06721689265237</v>
      </c>
      <c r="R19" s="296">
        <v>178.06721689265237</v>
      </c>
      <c r="S19" s="296">
        <v>178.06721689265237</v>
      </c>
      <c r="T19" s="296">
        <v>178.06721689265237</v>
      </c>
      <c r="U19" s="296">
        <v>178.06721689265237</v>
      </c>
    </row>
    <row r="20" spans="2:21" s="833" customFormat="1" ht="13.5">
      <c r="B20" s="845"/>
      <c r="C20" s="846"/>
      <c r="D20" s="881" t="s">
        <v>382</v>
      </c>
      <c r="E20" s="846"/>
      <c r="F20" s="298"/>
      <c r="G20" s="1112">
        <v>1</v>
      </c>
      <c r="H20" s="214">
        <f t="shared" si="3"/>
        <v>52.662846810060387</v>
      </c>
      <c r="J20" s="296">
        <v>4.3595071862632757</v>
      </c>
      <c r="K20" s="296">
        <v>4.3595071862632757</v>
      </c>
      <c r="L20" s="296">
        <v>4.3595071862632757</v>
      </c>
      <c r="M20" s="296">
        <v>4.3595071862632757</v>
      </c>
      <c r="N20" s="296">
        <v>4.4031022581259096</v>
      </c>
      <c r="O20" s="296">
        <v>4.4031022581259096</v>
      </c>
      <c r="P20" s="296">
        <v>4.4031022581259096</v>
      </c>
      <c r="Q20" s="296">
        <v>4.4031022581259096</v>
      </c>
      <c r="R20" s="296">
        <v>4.4031022581259096</v>
      </c>
      <c r="S20" s="296">
        <v>4.4031022581259096</v>
      </c>
      <c r="T20" s="296">
        <v>4.4031022581259096</v>
      </c>
      <c r="U20" s="296">
        <v>4.4031022581259096</v>
      </c>
    </row>
    <row r="21" spans="2:21" s="833" customFormat="1" ht="13.5">
      <c r="B21" s="845"/>
      <c r="C21" s="846"/>
      <c r="D21" s="881" t="s">
        <v>383</v>
      </c>
      <c r="E21" s="846"/>
      <c r="F21" s="298"/>
      <c r="G21" s="1112">
        <v>1</v>
      </c>
      <c r="H21" s="214">
        <f t="shared" si="3"/>
        <v>706.548835970607</v>
      </c>
      <c r="J21" s="296">
        <v>58.683458137093602</v>
      </c>
      <c r="K21" s="296">
        <v>58.683458137093602</v>
      </c>
      <c r="L21" s="296">
        <v>58.683458137093602</v>
      </c>
      <c r="M21" s="296">
        <v>58.683458137093602</v>
      </c>
      <c r="N21" s="296">
        <v>58.976875427779071</v>
      </c>
      <c r="O21" s="296">
        <v>58.976875427779071</v>
      </c>
      <c r="P21" s="296">
        <v>58.976875427779071</v>
      </c>
      <c r="Q21" s="296">
        <v>58.976875427779071</v>
      </c>
      <c r="R21" s="296">
        <v>58.976875427779071</v>
      </c>
      <c r="S21" s="296">
        <v>58.976875427779071</v>
      </c>
      <c r="T21" s="296">
        <v>58.976875427779071</v>
      </c>
      <c r="U21" s="296">
        <v>58.976875427779071</v>
      </c>
    </row>
    <row r="22" spans="2:21" s="833" customFormat="1" ht="13.5">
      <c r="B22" s="845"/>
      <c r="C22" s="846"/>
      <c r="D22" s="881" t="s">
        <v>384</v>
      </c>
      <c r="E22" s="846"/>
      <c r="F22" s="298"/>
      <c r="G22" s="1112">
        <v>1</v>
      </c>
      <c r="H22" s="214">
        <f>SUM(J22:U22)</f>
        <v>0</v>
      </c>
      <c r="J22" s="296">
        <v>0</v>
      </c>
      <c r="K22" s="296">
        <v>0</v>
      </c>
      <c r="L22" s="296">
        <v>0</v>
      </c>
      <c r="M22" s="296">
        <v>0</v>
      </c>
      <c r="N22" s="296">
        <v>0</v>
      </c>
      <c r="O22" s="296">
        <v>0</v>
      </c>
      <c r="P22" s="296">
        <v>0</v>
      </c>
      <c r="Q22" s="296">
        <v>0</v>
      </c>
      <c r="R22" s="296">
        <v>0</v>
      </c>
      <c r="S22" s="296">
        <v>0</v>
      </c>
      <c r="T22" s="296">
        <v>0</v>
      </c>
      <c r="U22" s="296">
        <v>0</v>
      </c>
    </row>
    <row r="23" spans="2:21" s="833" customFormat="1" ht="13.5">
      <c r="B23" s="845"/>
      <c r="C23" s="846"/>
      <c r="D23" s="881" t="s">
        <v>385</v>
      </c>
      <c r="E23" s="846"/>
      <c r="F23" s="298"/>
      <c r="G23" s="1112">
        <v>1</v>
      </c>
      <c r="H23" s="214">
        <f>SUM(J23:U23)</f>
        <v>13.344648143375093</v>
      </c>
      <c r="J23" s="296">
        <v>1.1046894158423086</v>
      </c>
      <c r="K23" s="296">
        <v>1.1046894158423086</v>
      </c>
      <c r="L23" s="296">
        <v>1.1046894158423086</v>
      </c>
      <c r="M23" s="296">
        <v>1.1046894158423086</v>
      </c>
      <c r="N23" s="296">
        <v>1.115736310000732</v>
      </c>
      <c r="O23" s="296">
        <v>1.115736310000732</v>
      </c>
      <c r="P23" s="296">
        <v>1.115736310000732</v>
      </c>
      <c r="Q23" s="296">
        <v>1.115736310000732</v>
      </c>
      <c r="R23" s="296">
        <v>1.115736310000732</v>
      </c>
      <c r="S23" s="296">
        <v>1.115736310000732</v>
      </c>
      <c r="T23" s="296">
        <v>1.115736310000732</v>
      </c>
      <c r="U23" s="296">
        <v>1.115736310000732</v>
      </c>
    </row>
    <row r="24" spans="2:21" s="833" customFormat="1" ht="13.5">
      <c r="B24" s="845"/>
      <c r="C24" s="846"/>
      <c r="D24" s="881" t="s">
        <v>386</v>
      </c>
      <c r="E24" s="846"/>
      <c r="F24" s="298"/>
      <c r="G24" s="1112">
        <v>1</v>
      </c>
      <c r="H24" s="214">
        <f>SUM(J24:U24)</f>
        <v>18.686816610021417</v>
      </c>
      <c r="J24" s="296">
        <v>1.5469219048030971</v>
      </c>
      <c r="K24" s="296">
        <v>1.5469219048030971</v>
      </c>
      <c r="L24" s="296">
        <v>1.5469219048030971</v>
      </c>
      <c r="M24" s="296">
        <v>1.5469219048030971</v>
      </c>
      <c r="N24" s="296">
        <v>1.5623911238511285</v>
      </c>
      <c r="O24" s="296">
        <v>1.5623911238511285</v>
      </c>
      <c r="P24" s="296">
        <v>1.5623911238511285</v>
      </c>
      <c r="Q24" s="296">
        <v>1.5623911238511285</v>
      </c>
      <c r="R24" s="296">
        <v>1.5623911238511285</v>
      </c>
      <c r="S24" s="296">
        <v>1.5623911238511285</v>
      </c>
      <c r="T24" s="296">
        <v>1.5623911238511285</v>
      </c>
      <c r="U24" s="296">
        <v>1.5623911238511285</v>
      </c>
    </row>
    <row r="25" spans="2:21" s="833" customFormat="1" ht="13.5">
      <c r="B25" s="845"/>
      <c r="C25" s="846"/>
      <c r="D25" s="881" t="s">
        <v>785</v>
      </c>
      <c r="E25" s="846"/>
      <c r="F25" s="298"/>
      <c r="G25" s="1112">
        <v>1</v>
      </c>
      <c r="H25" s="214">
        <f t="shared" si="3"/>
        <v>154.25796113030137</v>
      </c>
      <c r="J25" s="296">
        <v>0</v>
      </c>
      <c r="K25" s="296">
        <v>0</v>
      </c>
      <c r="L25" s="296">
        <v>0</v>
      </c>
      <c r="M25" s="296">
        <v>56.339835205984109</v>
      </c>
      <c r="N25" s="296">
        <v>0</v>
      </c>
      <c r="O25" s="296">
        <v>0</v>
      </c>
      <c r="P25" s="296">
        <v>0</v>
      </c>
      <c r="Q25" s="296">
        <v>0</v>
      </c>
      <c r="R25" s="296">
        <v>97.918125924317252</v>
      </c>
      <c r="S25" s="296">
        <v>0</v>
      </c>
      <c r="T25" s="296">
        <v>0</v>
      </c>
      <c r="U25" s="296">
        <v>0</v>
      </c>
    </row>
    <row r="26" spans="2:21" s="833" customFormat="1" ht="13.5">
      <c r="B26" s="845"/>
      <c r="C26" s="846"/>
      <c r="D26" s="881" t="s">
        <v>786</v>
      </c>
      <c r="E26" s="846"/>
      <c r="F26" s="1113" t="s">
        <v>1609</v>
      </c>
      <c r="G26" s="1112">
        <v>1</v>
      </c>
      <c r="H26" s="214">
        <f t="shared" si="3"/>
        <v>505.68277457547271</v>
      </c>
      <c r="J26" s="984">
        <v>42.172789740523896</v>
      </c>
      <c r="K26" s="984">
        <v>42.172789740523896</v>
      </c>
      <c r="L26" s="984">
        <v>42.172789740523896</v>
      </c>
      <c r="M26" s="984">
        <v>42.172789740523896</v>
      </c>
      <c r="N26" s="984">
        <v>42.172789740523896</v>
      </c>
      <c r="O26" s="984">
        <v>42.172789740523896</v>
      </c>
      <c r="P26" s="984">
        <v>42.10767268872155</v>
      </c>
      <c r="Q26" s="984">
        <v>42.10767268872155</v>
      </c>
      <c r="R26" s="984">
        <v>42.10767268872155</v>
      </c>
      <c r="S26" s="984">
        <v>42.10767268872155</v>
      </c>
      <c r="T26" s="984">
        <v>42.10767268872155</v>
      </c>
      <c r="U26" s="984">
        <v>42.10767268872155</v>
      </c>
    </row>
    <row r="27" spans="2:21" s="833" customFormat="1" ht="13.5">
      <c r="B27" s="845"/>
      <c r="C27" s="846"/>
      <c r="D27" s="881" t="s">
        <v>1610</v>
      </c>
      <c r="E27" s="846"/>
      <c r="F27" s="298"/>
      <c r="G27" s="1112">
        <v>1</v>
      </c>
      <c r="H27" s="214">
        <f>SUM(J27:U27)</f>
        <v>62.200264824791027</v>
      </c>
      <c r="J27" s="296">
        <f t="shared" ref="J27:U27" si="4">J40*$G27</f>
        <v>3.5871197975511842</v>
      </c>
      <c r="K27" s="296">
        <f t="shared" si="4"/>
        <v>3.5871197975511842</v>
      </c>
      <c r="L27" s="296">
        <f t="shared" si="4"/>
        <v>3.4714062556946939</v>
      </c>
      <c r="M27" s="296">
        <f t="shared" si="4"/>
        <v>3.5871197975511842</v>
      </c>
      <c r="N27" s="296">
        <f t="shared" si="4"/>
        <v>3.4714062556946939</v>
      </c>
      <c r="O27" s="296">
        <f t="shared" si="4"/>
        <v>3.5871197975511842</v>
      </c>
      <c r="P27" s="296">
        <f t="shared" si="4"/>
        <v>6.9680119055994725</v>
      </c>
      <c r="Q27" s="296">
        <f t="shared" si="4"/>
        <v>6.5184627503995065</v>
      </c>
      <c r="R27" s="296">
        <f t="shared" si="4"/>
        <v>6.9680119055994725</v>
      </c>
      <c r="S27" s="296">
        <f t="shared" si="4"/>
        <v>6.7432373279994886</v>
      </c>
      <c r="T27" s="296">
        <f t="shared" si="4"/>
        <v>6.9680119055994725</v>
      </c>
      <c r="U27" s="296">
        <f t="shared" si="4"/>
        <v>6.7432373279994886</v>
      </c>
    </row>
    <row r="28" spans="2:21" s="833" customFormat="1" ht="13.5">
      <c r="B28" s="845"/>
      <c r="C28" s="846"/>
      <c r="D28" s="884" t="s">
        <v>1611</v>
      </c>
      <c r="E28" s="1114"/>
      <c r="F28" s="299" t="s">
        <v>1612</v>
      </c>
      <c r="G28" s="1115">
        <v>0</v>
      </c>
      <c r="H28" s="300">
        <f>SUM(J28:U28)</f>
        <v>0</v>
      </c>
      <c r="J28" s="301">
        <v>0</v>
      </c>
      <c r="K28" s="301">
        <v>0</v>
      </c>
      <c r="L28" s="301">
        <v>0</v>
      </c>
      <c r="M28" s="301">
        <v>0</v>
      </c>
      <c r="N28" s="301">
        <v>0</v>
      </c>
      <c r="O28" s="301">
        <v>0</v>
      </c>
      <c r="P28" s="301">
        <v>0</v>
      </c>
      <c r="Q28" s="301">
        <v>0</v>
      </c>
      <c r="R28" s="301">
        <v>0</v>
      </c>
      <c r="S28" s="301">
        <v>0</v>
      </c>
      <c r="T28" s="301">
        <v>0</v>
      </c>
      <c r="U28" s="301">
        <v>0</v>
      </c>
    </row>
    <row r="29" spans="2:21" s="833" customFormat="1">
      <c r="B29" s="845"/>
      <c r="C29" s="846"/>
      <c r="D29" s="846"/>
      <c r="E29" s="846"/>
      <c r="F29" s="302"/>
      <c r="G29" s="303"/>
      <c r="H29" s="214"/>
      <c r="J29" s="296"/>
      <c r="K29" s="296"/>
      <c r="L29" s="296"/>
      <c r="M29" s="296"/>
      <c r="N29" s="296"/>
      <c r="O29" s="296"/>
      <c r="P29" s="296"/>
      <c r="Q29" s="296"/>
      <c r="R29" s="296"/>
      <c r="S29" s="296"/>
      <c r="T29" s="296"/>
      <c r="U29" s="296"/>
    </row>
    <row r="30" spans="2:21" s="833" customFormat="1" ht="13.5">
      <c r="B30" s="845"/>
      <c r="C30" s="1116" t="s">
        <v>980</v>
      </c>
      <c r="D30" s="1116"/>
      <c r="E30" s="1116"/>
      <c r="F30" s="1116"/>
      <c r="G30" s="985"/>
      <c r="H30" s="1117">
        <f>SUM(J30:U30)</f>
        <v>39279.795707166697</v>
      </c>
      <c r="J30" s="848">
        <f>J8-J15</f>
        <v>3024.7916936744377</v>
      </c>
      <c r="K30" s="848">
        <f t="shared" ref="K30:U30" si="5">K8-K15</f>
        <v>3024.7916936744377</v>
      </c>
      <c r="L30" s="848">
        <f t="shared" si="5"/>
        <v>3024.9074072162944</v>
      </c>
      <c r="M30" s="848">
        <f t="shared" si="5"/>
        <v>2971.4632873384562</v>
      </c>
      <c r="N30" s="848">
        <f t="shared" si="5"/>
        <v>3016.892606465507</v>
      </c>
      <c r="O30" s="848">
        <f t="shared" si="5"/>
        <v>1446.7334104289816</v>
      </c>
      <c r="P30" s="848">
        <f t="shared" si="5"/>
        <v>3784.3251931755976</v>
      </c>
      <c r="Q30" s="848">
        <f t="shared" si="5"/>
        <v>3817.0314377165801</v>
      </c>
      <c r="R30" s="848">
        <f t="shared" si="5"/>
        <v>3718.663762637063</v>
      </c>
      <c r="S30" s="848">
        <f t="shared" si="5"/>
        <v>3816.8066631389802</v>
      </c>
      <c r="T30" s="848">
        <f t="shared" si="5"/>
        <v>3816.5818885613799</v>
      </c>
      <c r="U30" s="848">
        <f t="shared" si="5"/>
        <v>3816.8066631389802</v>
      </c>
    </row>
    <row r="31" spans="2:21" s="833" customFormat="1">
      <c r="B31" s="845"/>
      <c r="C31" s="846"/>
      <c r="D31" s="846"/>
      <c r="E31" s="846"/>
      <c r="F31" s="846"/>
      <c r="G31" s="304"/>
      <c r="H31" s="214"/>
      <c r="J31" s="296"/>
      <c r="K31" s="296"/>
      <c r="L31" s="296"/>
      <c r="M31" s="296"/>
      <c r="N31" s="296"/>
      <c r="O31" s="296"/>
      <c r="P31" s="296"/>
      <c r="Q31" s="296"/>
      <c r="R31" s="296"/>
      <c r="S31" s="296"/>
      <c r="T31" s="296"/>
      <c r="U31" s="296"/>
    </row>
    <row r="32" spans="2:21" s="833" customFormat="1">
      <c r="B32" s="860"/>
      <c r="C32" s="861"/>
      <c r="D32" s="861"/>
      <c r="E32" s="861"/>
      <c r="F32" s="861"/>
      <c r="G32" s="305"/>
      <c r="H32" s="217"/>
      <c r="I32" s="861"/>
      <c r="J32" s="306"/>
      <c r="K32" s="306"/>
      <c r="L32" s="306"/>
      <c r="M32" s="306"/>
      <c r="N32" s="306"/>
      <c r="O32" s="306"/>
      <c r="P32" s="306"/>
      <c r="Q32" s="306"/>
      <c r="R32" s="306"/>
      <c r="S32" s="306"/>
      <c r="T32" s="306"/>
      <c r="U32" s="306"/>
    </row>
    <row r="33" spans="1:22" s="837" customFormat="1">
      <c r="B33" s="1118"/>
      <c r="C33" s="1118"/>
      <c r="D33" s="1118"/>
      <c r="E33" s="1118"/>
      <c r="F33" s="1119"/>
      <c r="G33" s="1118"/>
      <c r="H33" s="1120"/>
    </row>
    <row r="34" spans="1:22" s="833" customFormat="1" ht="13.5">
      <c r="C34" s="833" t="s">
        <v>1613</v>
      </c>
      <c r="H34" s="856"/>
    </row>
    <row r="35" spans="1:22" s="833" customFormat="1" ht="13.5">
      <c r="B35" s="907"/>
      <c r="C35" s="908"/>
      <c r="D35" s="908"/>
      <c r="E35" s="1105" t="s">
        <v>1598</v>
      </c>
      <c r="F35" s="908"/>
      <c r="G35" s="1106"/>
      <c r="H35" s="1107" t="s">
        <v>979</v>
      </c>
      <c r="J35" s="820">
        <f t="shared" ref="J35:U35" si="6">YEAR(J36)</f>
        <v>2031</v>
      </c>
      <c r="K35" s="820">
        <f t="shared" si="6"/>
        <v>2031</v>
      </c>
      <c r="L35" s="820">
        <f t="shared" si="6"/>
        <v>2031</v>
      </c>
      <c r="M35" s="820">
        <f t="shared" si="6"/>
        <v>2031</v>
      </c>
      <c r="N35" s="820">
        <f t="shared" si="6"/>
        <v>2031</v>
      </c>
      <c r="O35" s="820">
        <f t="shared" si="6"/>
        <v>2031</v>
      </c>
      <c r="P35" s="820">
        <f t="shared" si="6"/>
        <v>2032</v>
      </c>
      <c r="Q35" s="820">
        <f t="shared" si="6"/>
        <v>2032</v>
      </c>
      <c r="R35" s="820">
        <f t="shared" si="6"/>
        <v>2032</v>
      </c>
      <c r="S35" s="820">
        <f t="shared" si="6"/>
        <v>2032</v>
      </c>
      <c r="T35" s="820">
        <f t="shared" si="6"/>
        <v>2032</v>
      </c>
      <c r="U35" s="820">
        <f t="shared" si="6"/>
        <v>2032</v>
      </c>
    </row>
    <row r="36" spans="1:22" s="833" customFormat="1">
      <c r="B36" s="860"/>
      <c r="C36" s="861"/>
      <c r="D36" s="861"/>
      <c r="E36" s="861"/>
      <c r="F36" s="861"/>
      <c r="G36" s="1121"/>
      <c r="H36" s="832"/>
      <c r="J36" s="834">
        <f t="shared" ref="J36:U36" si="7">J6</f>
        <v>48060</v>
      </c>
      <c r="K36" s="834">
        <f t="shared" si="7"/>
        <v>48091</v>
      </c>
      <c r="L36" s="834">
        <f t="shared" si="7"/>
        <v>48121</v>
      </c>
      <c r="M36" s="834">
        <f t="shared" si="7"/>
        <v>48152</v>
      </c>
      <c r="N36" s="834">
        <f t="shared" si="7"/>
        <v>48182</v>
      </c>
      <c r="O36" s="834">
        <f t="shared" si="7"/>
        <v>48213</v>
      </c>
      <c r="P36" s="834">
        <f t="shared" si="7"/>
        <v>48244</v>
      </c>
      <c r="Q36" s="834">
        <f t="shared" si="7"/>
        <v>48273</v>
      </c>
      <c r="R36" s="834">
        <f t="shared" si="7"/>
        <v>48304</v>
      </c>
      <c r="S36" s="834">
        <f t="shared" si="7"/>
        <v>48334</v>
      </c>
      <c r="T36" s="834">
        <f t="shared" si="7"/>
        <v>48365</v>
      </c>
      <c r="U36" s="834">
        <f t="shared" si="7"/>
        <v>48395</v>
      </c>
    </row>
    <row r="37" spans="1:22" s="833" customFormat="1">
      <c r="B37" s="907"/>
      <c r="C37" s="908"/>
      <c r="D37" s="908"/>
      <c r="E37" s="908"/>
      <c r="F37" s="908"/>
      <c r="G37" s="1106"/>
      <c r="H37" s="915"/>
      <c r="J37" s="916"/>
      <c r="K37" s="916"/>
      <c r="L37" s="916"/>
      <c r="M37" s="916"/>
      <c r="N37" s="916"/>
      <c r="O37" s="916"/>
      <c r="P37" s="916"/>
      <c r="Q37" s="916"/>
      <c r="R37" s="916"/>
      <c r="S37" s="916"/>
      <c r="T37" s="916"/>
      <c r="U37" s="916"/>
    </row>
    <row r="38" spans="1:22" s="833" customFormat="1" ht="13.5">
      <c r="B38" s="845"/>
      <c r="C38" s="852" t="s">
        <v>1614</v>
      </c>
      <c r="D38" s="846"/>
      <c r="E38" s="846"/>
      <c r="F38" s="298"/>
      <c r="G38" s="297"/>
      <c r="H38" s="214">
        <f>SUM(J38:U38)</f>
        <v>213048.28045990723</v>
      </c>
      <c r="J38" s="296">
        <v>12067.269365033935</v>
      </c>
      <c r="K38" s="296">
        <v>12067.269365033935</v>
      </c>
      <c r="L38" s="296">
        <v>12067.269365033935</v>
      </c>
      <c r="M38" s="296">
        <v>12067.269365033935</v>
      </c>
      <c r="N38" s="296">
        <v>12067.269365033935</v>
      </c>
      <c r="O38" s="296">
        <v>12067.269365033935</v>
      </c>
      <c r="P38" s="296">
        <v>23440.777378283936</v>
      </c>
      <c r="Q38" s="296">
        <v>23440.777378283936</v>
      </c>
      <c r="R38" s="296">
        <v>23440.777378283936</v>
      </c>
      <c r="S38" s="296">
        <v>23440.777378283936</v>
      </c>
      <c r="T38" s="296">
        <v>23440.777378283936</v>
      </c>
      <c r="U38" s="296">
        <v>23440.777378283936</v>
      </c>
    </row>
    <row r="39" spans="1:22" s="833" customFormat="1" ht="13.5">
      <c r="B39" s="845"/>
      <c r="C39" s="846" t="s">
        <v>1615</v>
      </c>
      <c r="D39" s="846"/>
      <c r="E39" s="846"/>
      <c r="F39" s="298"/>
      <c r="G39" s="297"/>
      <c r="H39" s="214">
        <f>SUM(J39:U39)</f>
        <v>17771.504235654575</v>
      </c>
      <c r="J39" s="307">
        <f>(J36-$G$6)/365*J38</f>
        <v>1024.8913707289096</v>
      </c>
      <c r="K39" s="296">
        <f t="shared" ref="K39:U39" si="8">(K36-J36)/365*K38</f>
        <v>1024.8913707289096</v>
      </c>
      <c r="L39" s="296">
        <f t="shared" si="8"/>
        <v>991.83035876991244</v>
      </c>
      <c r="M39" s="296">
        <f t="shared" si="8"/>
        <v>1024.8913707289096</v>
      </c>
      <c r="N39" s="296">
        <f t="shared" si="8"/>
        <v>991.83035876991244</v>
      </c>
      <c r="O39" s="296">
        <f t="shared" si="8"/>
        <v>1024.8913707289096</v>
      </c>
      <c r="P39" s="296">
        <f t="shared" si="8"/>
        <v>1990.8605444569919</v>
      </c>
      <c r="Q39" s="296">
        <f t="shared" si="8"/>
        <v>1862.4179286855731</v>
      </c>
      <c r="R39" s="296">
        <f t="shared" si="8"/>
        <v>1990.8605444569919</v>
      </c>
      <c r="S39" s="296">
        <f t="shared" si="8"/>
        <v>1926.6392365712823</v>
      </c>
      <c r="T39" s="296">
        <f t="shared" si="8"/>
        <v>1990.8605444569919</v>
      </c>
      <c r="U39" s="296">
        <f t="shared" si="8"/>
        <v>1926.6392365712823</v>
      </c>
    </row>
    <row r="40" spans="1:22" s="833" customFormat="1" ht="13.5">
      <c r="B40" s="845"/>
      <c r="C40" s="846" t="s">
        <v>1616</v>
      </c>
      <c r="D40" s="846"/>
      <c r="E40" s="846"/>
      <c r="F40" s="308">
        <v>3.5000000000000003E-2</v>
      </c>
      <c r="G40" s="309">
        <v>0.1</v>
      </c>
      <c r="H40" s="214">
        <f>SUM(J40:U40)</f>
        <v>62.200264824791027</v>
      </c>
      <c r="J40" s="296">
        <f>$F40*$G40*J$39</f>
        <v>3.5871197975511842</v>
      </c>
      <c r="K40" s="296">
        <f t="shared" ref="K40:U40" si="9">$F40*$G40*K$39</f>
        <v>3.5871197975511842</v>
      </c>
      <c r="L40" s="296">
        <f t="shared" si="9"/>
        <v>3.4714062556946939</v>
      </c>
      <c r="M40" s="296">
        <f t="shared" si="9"/>
        <v>3.5871197975511842</v>
      </c>
      <c r="N40" s="296">
        <f t="shared" si="9"/>
        <v>3.4714062556946939</v>
      </c>
      <c r="O40" s="296">
        <f t="shared" si="9"/>
        <v>3.5871197975511842</v>
      </c>
      <c r="P40" s="296">
        <f t="shared" si="9"/>
        <v>6.9680119055994725</v>
      </c>
      <c r="Q40" s="296">
        <f t="shared" si="9"/>
        <v>6.5184627503995065</v>
      </c>
      <c r="R40" s="296">
        <f t="shared" si="9"/>
        <v>6.9680119055994725</v>
      </c>
      <c r="S40" s="296">
        <f t="shared" si="9"/>
        <v>6.7432373279994886</v>
      </c>
      <c r="T40" s="296">
        <f t="shared" si="9"/>
        <v>6.9680119055994725</v>
      </c>
      <c r="U40" s="296">
        <f t="shared" si="9"/>
        <v>6.7432373279994886</v>
      </c>
    </row>
    <row r="41" spans="1:22" s="833" customFormat="1">
      <c r="B41" s="860"/>
      <c r="C41" s="861"/>
      <c r="D41" s="861"/>
      <c r="E41" s="861"/>
      <c r="F41" s="861"/>
      <c r="G41" s="305"/>
      <c r="H41" s="217"/>
      <c r="J41" s="306"/>
      <c r="K41" s="306"/>
      <c r="L41" s="306"/>
      <c r="M41" s="306"/>
      <c r="N41" s="306"/>
      <c r="O41" s="306"/>
      <c r="P41" s="306"/>
      <c r="Q41" s="306"/>
      <c r="R41" s="306"/>
      <c r="S41" s="306"/>
      <c r="T41" s="306"/>
      <c r="U41" s="306"/>
    </row>
    <row r="42" spans="1:22" s="833" customFormat="1">
      <c r="B42" s="846"/>
      <c r="C42" s="846"/>
      <c r="D42" s="846"/>
      <c r="E42" s="846"/>
      <c r="F42" s="846"/>
      <c r="G42" s="310"/>
      <c r="H42" s="311"/>
      <c r="I42" s="846"/>
      <c r="J42" s="298"/>
      <c r="K42" s="298"/>
      <c r="L42" s="298"/>
      <c r="M42" s="298"/>
      <c r="N42" s="298"/>
      <c r="O42" s="298"/>
      <c r="P42" s="298"/>
      <c r="Q42" s="298"/>
      <c r="R42" s="298"/>
      <c r="S42" s="298"/>
      <c r="T42" s="298"/>
      <c r="U42" s="298"/>
    </row>
    <row r="43" spans="1:22" ht="13.5" thickBot="1">
      <c r="A43" s="837"/>
      <c r="B43" s="1122"/>
      <c r="C43" s="1122"/>
      <c r="D43" s="1122"/>
      <c r="E43" s="1122"/>
      <c r="F43" s="1122"/>
      <c r="G43" s="1122"/>
      <c r="H43" s="1122"/>
      <c r="I43" s="1122"/>
      <c r="J43" s="1122"/>
      <c r="K43" s="1122"/>
      <c r="L43" s="1122"/>
      <c r="M43" s="1122"/>
      <c r="N43" s="1122"/>
      <c r="O43" s="1122"/>
      <c r="P43" s="1122"/>
      <c r="Q43" s="1122"/>
      <c r="R43" s="1122"/>
      <c r="S43" s="1122"/>
      <c r="T43" s="1122"/>
      <c r="U43" s="1122"/>
      <c r="V43" s="837"/>
    </row>
    <row r="45" spans="1:22" ht="13.5">
      <c r="B45" s="1104" t="s">
        <v>1617</v>
      </c>
      <c r="C45" s="1104"/>
      <c r="D45" s="1104"/>
      <c r="E45" s="1104"/>
      <c r="F45" s="1104"/>
      <c r="G45" s="1104"/>
      <c r="H45" s="1123">
        <v>1</v>
      </c>
      <c r="I45" s="1124"/>
      <c r="K45" s="906"/>
      <c r="L45" s="906"/>
      <c r="M45" s="906"/>
      <c r="N45" s="1125"/>
      <c r="O45" s="906"/>
      <c r="P45" s="906"/>
      <c r="Q45" s="906"/>
    </row>
    <row r="46" spans="1:22" s="833" customFormat="1" ht="14.25" thickBot="1">
      <c r="B46" s="1126"/>
      <c r="C46" s="1126"/>
      <c r="D46" s="1126"/>
      <c r="E46" s="1126"/>
      <c r="F46" s="1126"/>
      <c r="G46" s="1126"/>
      <c r="H46" s="1126"/>
      <c r="I46" s="1126"/>
      <c r="J46" s="1126"/>
      <c r="K46" s="1126"/>
      <c r="L46" s="906"/>
      <c r="M46" s="906"/>
      <c r="N46" s="906"/>
      <c r="O46" s="906"/>
      <c r="P46" s="906"/>
      <c r="Q46" s="906"/>
      <c r="U46" s="1127">
        <f>O50</f>
        <v>520949.87540410669</v>
      </c>
    </row>
    <row r="47" spans="1:22" ht="13.5">
      <c r="B47" s="1128"/>
      <c r="C47" s="1118"/>
      <c r="D47" s="1118"/>
      <c r="E47" s="1118"/>
      <c r="F47" s="1118"/>
      <c r="G47" s="1118"/>
      <c r="H47" s="1106"/>
      <c r="I47" s="1124"/>
      <c r="J47" s="1129"/>
      <c r="K47" s="1130"/>
      <c r="L47" s="1131"/>
      <c r="M47" s="1131"/>
      <c r="N47" s="1131"/>
      <c r="O47" s="1131"/>
      <c r="P47" s="1132"/>
      <c r="R47" s="1133"/>
      <c r="S47" s="1134"/>
      <c r="T47" s="1134"/>
      <c r="U47" s="1135">
        <f>O55</f>
        <v>65681.930974049479</v>
      </c>
    </row>
    <row r="48" spans="1:22" ht="13.5">
      <c r="B48" s="1136" t="s">
        <v>1618</v>
      </c>
      <c r="C48" s="1137" t="s">
        <v>1619</v>
      </c>
      <c r="D48" s="1138"/>
      <c r="E48" s="837"/>
      <c r="F48" s="837"/>
      <c r="G48" s="837"/>
      <c r="H48" s="1108"/>
      <c r="I48" s="312"/>
      <c r="J48" s="1129"/>
      <c r="K48" s="1139"/>
      <c r="L48" s="1140" t="s">
        <v>1620</v>
      </c>
      <c r="M48" s="837"/>
      <c r="N48" s="1125" t="str">
        <f>CHOOSE($H$45,C48,C55,C61,C64)</f>
        <v>NOI기준 매각금액</v>
      </c>
      <c r="O48" s="313">
        <v>1167355.3783993484</v>
      </c>
      <c r="P48" s="1141"/>
      <c r="R48" s="1142" t="s">
        <v>1621</v>
      </c>
      <c r="S48" s="837"/>
      <c r="T48" s="837"/>
      <c r="U48" s="1143">
        <f>O57</f>
        <v>455267.94443005719</v>
      </c>
    </row>
    <row r="49" spans="2:21" ht="13.5">
      <c r="B49" s="836"/>
      <c r="C49" s="837"/>
      <c r="D49" s="837"/>
      <c r="E49" s="837"/>
      <c r="F49" s="837"/>
      <c r="G49" s="837"/>
      <c r="H49" s="1108"/>
      <c r="I49" s="314"/>
      <c r="J49" s="1129"/>
      <c r="K49" s="1144" t="s">
        <v>1622</v>
      </c>
      <c r="L49" s="1145" t="s">
        <v>1623</v>
      </c>
      <c r="M49" s="837"/>
      <c r="N49" s="837"/>
      <c r="O49" s="1925">
        <f>G61</f>
        <v>646405.50299524167</v>
      </c>
      <c r="P49" s="1147"/>
      <c r="R49" s="315" t="s">
        <v>1624</v>
      </c>
      <c r="S49" s="837"/>
      <c r="T49" s="837"/>
      <c r="U49" s="1143">
        <v>34263.778949595835</v>
      </c>
    </row>
    <row r="50" spans="2:21" ht="13.5">
      <c r="B50" s="836"/>
      <c r="C50" s="837"/>
      <c r="D50" s="837"/>
      <c r="E50" s="846" t="s">
        <v>1625</v>
      </c>
      <c r="F50" s="846" t="s">
        <v>1626</v>
      </c>
      <c r="G50" s="1146">
        <f>H30</f>
        <v>39279.795707166697</v>
      </c>
      <c r="H50" s="1108"/>
      <c r="I50" s="312"/>
      <c r="J50" s="1129"/>
      <c r="K50" s="1144"/>
      <c r="L50" s="986" t="s">
        <v>1627</v>
      </c>
      <c r="M50" s="837"/>
      <c r="N50" s="837"/>
      <c r="O50" s="1924">
        <f>O48-O49</f>
        <v>520949.87540410669</v>
      </c>
      <c r="P50" s="1147"/>
      <c r="R50" s="315" t="s">
        <v>1628</v>
      </c>
      <c r="S50" s="837"/>
      <c r="T50" s="1148"/>
      <c r="U50" s="318">
        <v>7913.9414589999942</v>
      </c>
    </row>
    <row r="51" spans="2:21" ht="13.5">
      <c r="B51" s="836"/>
      <c r="C51" s="837"/>
      <c r="D51" s="837"/>
      <c r="E51" s="852" t="s">
        <v>1629</v>
      </c>
      <c r="F51" s="846" t="s">
        <v>1630</v>
      </c>
      <c r="G51" s="316">
        <v>3.4000000000000002E-2</v>
      </c>
      <c r="H51" s="1108"/>
      <c r="I51" s="312"/>
      <c r="J51" s="1129"/>
      <c r="K51" s="1144"/>
      <c r="L51" s="837"/>
      <c r="M51" s="837"/>
      <c r="N51" s="837"/>
      <c r="O51" s="1149"/>
      <c r="P51" s="1147"/>
      <c r="R51" s="1917" t="s">
        <v>1631</v>
      </c>
      <c r="S51" s="837"/>
      <c r="T51" s="1148"/>
      <c r="U51" s="1918">
        <v>40929.135244999998</v>
      </c>
    </row>
    <row r="52" spans="2:21" ht="13.5">
      <c r="B52" s="836"/>
      <c r="C52" s="837"/>
      <c r="D52" s="837"/>
      <c r="E52" s="846" t="s">
        <v>1632</v>
      </c>
      <c r="F52" s="846" t="s">
        <v>1633</v>
      </c>
      <c r="G52" s="1150">
        <v>12067.269365033935</v>
      </c>
      <c r="H52" s="1108"/>
      <c r="I52" s="314"/>
      <c r="J52" s="1129"/>
      <c r="K52" s="1144" t="s">
        <v>1634</v>
      </c>
      <c r="L52" s="1145" t="s">
        <v>787</v>
      </c>
      <c r="M52" s="837"/>
      <c r="N52" s="319">
        <v>0</v>
      </c>
      <c r="O52" s="1926">
        <f>O$48*N52</f>
        <v>0</v>
      </c>
      <c r="P52" s="1147"/>
      <c r="R52" s="317" t="s">
        <v>1635</v>
      </c>
      <c r="S52" s="837"/>
      <c r="T52" s="1148"/>
      <c r="U52" s="318">
        <v>0</v>
      </c>
    </row>
    <row r="53" spans="2:21" ht="13.5">
      <c r="B53" s="836"/>
      <c r="C53" s="837"/>
      <c r="D53" s="837"/>
      <c r="E53" s="846" t="s">
        <v>1636</v>
      </c>
      <c r="F53" s="846" t="s">
        <v>1637</v>
      </c>
      <c r="G53" s="321">
        <f>G50/G51+G52</f>
        <v>1167355.3783993484</v>
      </c>
      <c r="H53" s="1108"/>
      <c r="I53" s="312"/>
      <c r="J53" s="1129"/>
      <c r="K53" s="1144" t="s">
        <v>1634</v>
      </c>
      <c r="L53" s="1145" t="s">
        <v>788</v>
      </c>
      <c r="M53" s="837"/>
      <c r="N53" s="319">
        <v>5.0000000000000001E-3</v>
      </c>
      <c r="O53" s="2371">
        <f>O$48*N53</f>
        <v>5836.7768919967421</v>
      </c>
      <c r="P53" s="1147"/>
      <c r="R53" s="1917" t="s">
        <v>1638</v>
      </c>
      <c r="S53" s="837"/>
      <c r="T53" s="1148"/>
      <c r="U53" s="318">
        <v>91674.843836325672</v>
      </c>
    </row>
    <row r="54" spans="2:21" ht="14.25" thickBot="1">
      <c r="B54" s="836"/>
      <c r="C54" s="837"/>
      <c r="D54" s="837"/>
      <c r="E54" s="837"/>
      <c r="F54" s="837"/>
      <c r="G54" s="823"/>
      <c r="H54" s="1108"/>
      <c r="I54" s="1124"/>
      <c r="J54" s="1129"/>
      <c r="K54" s="1144" t="s">
        <v>1639</v>
      </c>
      <c r="L54" s="1145" t="s">
        <v>789</v>
      </c>
      <c r="N54" s="319">
        <v>0.15</v>
      </c>
      <c r="O54" s="2372">
        <f>O72</f>
        <v>59845.154082052737</v>
      </c>
      <c r="P54" s="1151"/>
      <c r="R54" s="1142" t="s">
        <v>1640</v>
      </c>
      <c r="S54" s="837"/>
      <c r="T54" s="1148"/>
      <c r="U54" s="1919">
        <f>U48-SUM(U49:U53)</f>
        <v>280486.24494013569</v>
      </c>
    </row>
    <row r="55" spans="2:21" ht="14.25" thickTop="1">
      <c r="B55" s="1154" t="s">
        <v>1641</v>
      </c>
      <c r="C55" s="1155" t="s">
        <v>1642</v>
      </c>
      <c r="D55" s="1138"/>
      <c r="E55" s="837"/>
      <c r="F55" s="837"/>
      <c r="G55" s="823"/>
      <c r="H55" s="1108"/>
      <c r="I55" s="312"/>
      <c r="J55" s="1129"/>
      <c r="K55" s="1144"/>
      <c r="L55" s="1145" t="s">
        <v>1643</v>
      </c>
      <c r="M55" s="837"/>
      <c r="N55" s="1156"/>
      <c r="O55" s="320">
        <f>SUM(O52:O54)</f>
        <v>65681.930974049479</v>
      </c>
      <c r="P55" s="1157"/>
      <c r="R55" s="1152" t="s">
        <v>1644</v>
      </c>
      <c r="S55" s="837"/>
      <c r="T55" s="837"/>
      <c r="U55" s="1153">
        <v>0</v>
      </c>
    </row>
    <row r="56" spans="2:21" ht="13.5">
      <c r="B56" s="836"/>
      <c r="C56" s="837"/>
      <c r="D56" s="837"/>
      <c r="E56" s="837" t="s">
        <v>1645</v>
      </c>
      <c r="F56" s="837"/>
      <c r="G56" s="1160">
        <v>1</v>
      </c>
      <c r="H56" s="1108"/>
      <c r="I56" s="1124"/>
      <c r="J56" s="1129"/>
      <c r="K56" s="1144"/>
      <c r="L56" s="1145"/>
      <c r="M56" s="837"/>
      <c r="N56" s="1156"/>
      <c r="O56" s="320"/>
      <c r="P56" s="1157"/>
      <c r="R56" s="1158"/>
      <c r="S56" s="837"/>
      <c r="T56" s="837"/>
      <c r="U56" s="1159"/>
    </row>
    <row r="57" spans="2:21" ht="14.25" thickBot="1">
      <c r="B57" s="845"/>
      <c r="C57" s="846"/>
      <c r="D57" s="846"/>
      <c r="E57" s="823" t="str">
        <f>C55</f>
        <v>취득원가</v>
      </c>
      <c r="F57" s="823" t="s">
        <v>1646</v>
      </c>
      <c r="G57" s="1164">
        <v>754636.96616800001</v>
      </c>
      <c r="H57" s="1108"/>
      <c r="I57" s="1124"/>
      <c r="J57" s="1129"/>
      <c r="K57" s="1139"/>
      <c r="L57" s="986" t="s">
        <v>1647</v>
      </c>
      <c r="M57" s="837"/>
      <c r="N57" s="837"/>
      <c r="O57" s="1923">
        <f>O50-O55</f>
        <v>455267.94443005719</v>
      </c>
      <c r="P57" s="1147"/>
      <c r="R57" s="1161"/>
      <c r="S57" s="1162"/>
      <c r="T57" s="1162"/>
      <c r="U57" s="1163"/>
    </row>
    <row r="58" spans="2:21" ht="15" thickTop="1" thickBot="1">
      <c r="B58" s="836"/>
      <c r="C58" s="837"/>
      <c r="D58" s="837"/>
      <c r="E58" s="1145" t="s">
        <v>1648</v>
      </c>
      <c r="F58" s="837"/>
      <c r="G58" s="321">
        <f>G57*G56</f>
        <v>754636.96616800001</v>
      </c>
      <c r="H58" s="1108"/>
      <c r="I58" s="1124"/>
      <c r="J58" s="1129"/>
      <c r="K58" s="1165"/>
      <c r="L58" s="1122"/>
      <c r="M58" s="1122"/>
      <c r="N58" s="1122"/>
      <c r="O58" s="1166"/>
      <c r="P58" s="1167"/>
      <c r="R58" s="833"/>
    </row>
    <row r="59" spans="2:21" ht="13.5">
      <c r="B59" s="836"/>
      <c r="C59" s="837"/>
      <c r="D59" s="837"/>
      <c r="E59" s="837"/>
      <c r="F59" s="837"/>
      <c r="G59" s="823"/>
      <c r="H59" s="1108"/>
      <c r="I59" s="1124"/>
      <c r="J59" s="1129"/>
      <c r="O59" s="826"/>
      <c r="P59" s="1168"/>
      <c r="Q59" s="1169"/>
    </row>
    <row r="60" spans="2:21" ht="13.5">
      <c r="B60" s="836"/>
      <c r="C60" s="837"/>
      <c r="D60" s="837"/>
      <c r="E60" s="1170"/>
      <c r="F60" s="1170"/>
      <c r="G60" s="322"/>
      <c r="H60" s="1108"/>
      <c r="I60" s="1124"/>
      <c r="J60" s="1129"/>
      <c r="K60" s="1171" t="s">
        <v>1649</v>
      </c>
      <c r="L60" s="1172"/>
      <c r="M60" s="1172"/>
      <c r="N60" s="1172"/>
      <c r="O60" s="1173"/>
      <c r="P60" s="1174"/>
    </row>
    <row r="61" spans="2:21" ht="13.5">
      <c r="B61" s="1154" t="s">
        <v>1650</v>
      </c>
      <c r="C61" s="1155" t="s">
        <v>1651</v>
      </c>
      <c r="D61" s="837"/>
      <c r="E61" s="837"/>
      <c r="F61" s="837"/>
      <c r="G61" s="1920">
        <v>646405.50299524167</v>
      </c>
      <c r="H61" s="1108"/>
      <c r="I61" s="1124"/>
      <c r="J61" s="1129"/>
      <c r="K61" s="1175"/>
      <c r="L61" s="823" t="str">
        <f>L48</f>
        <v>매각금액</v>
      </c>
      <c r="M61" s="823"/>
      <c r="N61" s="823"/>
      <c r="O61" s="1176">
        <f>O48</f>
        <v>1167355.3783993484</v>
      </c>
      <c r="P61" s="1177"/>
      <c r="Q61" s="323">
        <f>SUM(O62:O63,O65:O68)-O69</f>
        <v>762550.90762700001</v>
      </c>
    </row>
    <row r="62" spans="2:21" ht="13.5">
      <c r="B62" s="836"/>
      <c r="C62" s="837"/>
      <c r="D62" s="837"/>
      <c r="E62" s="837"/>
      <c r="F62" s="837"/>
      <c r="G62" s="823"/>
      <c r="H62" s="1108"/>
      <c r="I62" s="1124"/>
      <c r="J62" s="1129"/>
      <c r="K62" s="1178" t="s">
        <v>1639</v>
      </c>
      <c r="L62" s="823" t="s">
        <v>1652</v>
      </c>
      <c r="M62" s="823"/>
      <c r="N62" s="823"/>
      <c r="O62" s="1176">
        <f>G57</f>
        <v>754636.96616800001</v>
      </c>
      <c r="P62" s="324"/>
      <c r="Q62" s="323">
        <f>Q61/(1-N53)</f>
        <v>766382.82173567836</v>
      </c>
    </row>
    <row r="63" spans="2:21" ht="13.5">
      <c r="B63" s="836"/>
      <c r="C63" s="837"/>
      <c r="D63" s="837"/>
      <c r="E63" s="837"/>
      <c r="F63" s="837"/>
      <c r="G63" s="823"/>
      <c r="H63" s="1108"/>
      <c r="I63" s="1124"/>
      <c r="J63" s="1129"/>
      <c r="K63" s="1178" t="s">
        <v>1639</v>
      </c>
      <c r="L63" s="1179" t="str">
        <f>L52</f>
        <v>매각비용</v>
      </c>
      <c r="M63" s="823"/>
      <c r="N63" s="823"/>
      <c r="O63" s="1176">
        <f>O52</f>
        <v>0</v>
      </c>
      <c r="P63" s="1180"/>
    </row>
    <row r="64" spans="2:21" ht="13.5">
      <c r="B64" s="1154" t="s">
        <v>1653</v>
      </c>
      <c r="C64" s="1155" t="s">
        <v>1654</v>
      </c>
      <c r="D64" s="837"/>
      <c r="E64" s="837"/>
      <c r="F64" s="837"/>
      <c r="G64" s="325">
        <v>1167355.3783993484</v>
      </c>
      <c r="H64" s="1108"/>
      <c r="I64" s="326"/>
      <c r="J64" s="1129"/>
      <c r="K64" s="1178" t="s">
        <v>1639</v>
      </c>
      <c r="L64" s="823" t="str">
        <f>L53</f>
        <v>매각기본수수료</v>
      </c>
      <c r="M64" s="823"/>
      <c r="N64" s="823"/>
      <c r="O64" s="1176">
        <f>O53</f>
        <v>5836.7768919967421</v>
      </c>
      <c r="P64" s="1180"/>
    </row>
    <row r="65" spans="2:17" ht="13.5">
      <c r="B65" s="1181"/>
      <c r="C65" s="1082"/>
      <c r="D65" s="1082"/>
      <c r="E65" s="1082"/>
      <c r="F65" s="1082"/>
      <c r="G65" s="1082"/>
      <c r="H65" s="1121"/>
      <c r="I65" s="1124"/>
      <c r="J65" s="1129"/>
      <c r="K65" s="1178" t="s">
        <v>1639</v>
      </c>
      <c r="L65" s="823" t="s">
        <v>1655</v>
      </c>
      <c r="M65" s="823"/>
      <c r="N65" s="823"/>
      <c r="O65" s="1176">
        <f>U50</f>
        <v>7913.9414589999942</v>
      </c>
      <c r="P65" s="1180"/>
    </row>
    <row r="66" spans="2:17" ht="13.5">
      <c r="B66" s="837"/>
      <c r="C66" s="837"/>
      <c r="D66" s="837"/>
      <c r="E66" s="837"/>
      <c r="F66" s="837"/>
      <c r="G66" s="837"/>
      <c r="H66" s="846"/>
      <c r="I66" s="1129"/>
      <c r="J66" s="1129"/>
      <c r="K66" s="1178" t="s">
        <v>1639</v>
      </c>
      <c r="L66" s="1179" t="s">
        <v>1656</v>
      </c>
      <c r="M66" s="823"/>
      <c r="N66" s="823"/>
      <c r="O66" s="1176">
        <f>U52</f>
        <v>0</v>
      </c>
      <c r="P66" s="1180"/>
    </row>
    <row r="67" spans="2:17" ht="13.5">
      <c r="G67" s="1168"/>
      <c r="H67" s="1182"/>
      <c r="K67" s="1183" t="s">
        <v>1639</v>
      </c>
      <c r="L67" s="870" t="s">
        <v>1657</v>
      </c>
      <c r="M67" s="868"/>
      <c r="N67" s="868"/>
      <c r="O67" s="1149">
        <f>U53*0</f>
        <v>0</v>
      </c>
      <c r="P67" s="1184"/>
    </row>
    <row r="68" spans="2:17" ht="13.5">
      <c r="K68" s="1178"/>
      <c r="L68" s="870"/>
      <c r="M68" s="868"/>
      <c r="N68" s="868"/>
      <c r="O68" s="1149"/>
      <c r="P68" s="1184"/>
    </row>
    <row r="69" spans="2:17" ht="13.5">
      <c r="K69" s="1178" t="s">
        <v>1658</v>
      </c>
      <c r="L69" s="870" t="s">
        <v>1659</v>
      </c>
      <c r="M69" s="868"/>
      <c r="N69" s="319"/>
      <c r="O69" s="1185">
        <v>0</v>
      </c>
      <c r="P69" s="1184"/>
    </row>
    <row r="70" spans="2:17" ht="13.5">
      <c r="K70" s="1175"/>
      <c r="L70" s="1172" t="s">
        <v>1660</v>
      </c>
      <c r="M70" s="1172"/>
      <c r="N70" s="1172"/>
      <c r="O70" s="327">
        <f>MAX(O61-SUM(O62:O68)+O69,0)*(ABS(O61-SUM(O62:O68)+O69)&gt;0.0001)</f>
        <v>398967.69388035161</v>
      </c>
      <c r="P70" s="1186"/>
    </row>
    <row r="71" spans="2:17" ht="13.5">
      <c r="K71" s="1178" t="s">
        <v>1661</v>
      </c>
      <c r="L71" s="823" t="s">
        <v>1662</v>
      </c>
      <c r="M71" s="328"/>
      <c r="N71" s="823"/>
      <c r="O71" s="329">
        <f>N54</f>
        <v>0.15</v>
      </c>
      <c r="P71" s="1187"/>
      <c r="Q71" s="837"/>
    </row>
    <row r="72" spans="2:17" ht="13.5">
      <c r="K72" s="1188"/>
      <c r="L72" s="1189" t="s">
        <v>1663</v>
      </c>
      <c r="M72" s="1189"/>
      <c r="N72" s="1189"/>
      <c r="O72" s="1921">
        <f>O70*O71</f>
        <v>59845.154082052737</v>
      </c>
      <c r="P72" s="1190"/>
    </row>
    <row r="73" spans="2:17" ht="13.5">
      <c r="K73" s="981"/>
      <c r="L73" s="823"/>
      <c r="O73" s="1191"/>
      <c r="P73" s="987"/>
    </row>
  </sheetData>
  <phoneticPr fontId="3" type="noConversion"/>
  <conditionalFormatting sqref="G17:G21 G24:G27">
    <cfRule type="cellIs" dxfId="79" priority="6" operator="equal">
      <formula>$G$17</formula>
    </cfRule>
  </conditionalFormatting>
  <conditionalFormatting sqref="G28">
    <cfRule type="cellIs" dxfId="78" priority="5" operator="equal">
      <formula>$G$17</formula>
    </cfRule>
  </conditionalFormatting>
  <conditionalFormatting sqref="D10:D13">
    <cfRule type="expression" dxfId="77" priority="3">
      <formula>($H10=0)*1</formula>
    </cfRule>
  </conditionalFormatting>
  <conditionalFormatting sqref="J41:U42 J30:U32 H30">
    <cfRule type="cellIs" dxfId="76" priority="8" stopIfTrue="1" operator="equal">
      <formula>0</formula>
    </cfRule>
  </conditionalFormatting>
  <conditionalFormatting sqref="G6">
    <cfRule type="cellIs" dxfId="75" priority="7" operator="equal">
      <formula>0</formula>
    </cfRule>
  </conditionalFormatting>
  <conditionalFormatting sqref="G22:G23">
    <cfRule type="cellIs" dxfId="74" priority="4" operator="equal">
      <formula>$G$17</formula>
    </cfRule>
  </conditionalFormatting>
  <conditionalFormatting sqref="D17:D28">
    <cfRule type="expression" dxfId="73" priority="2">
      <formula>($H17=0)*1</formula>
    </cfRule>
  </conditionalFormatting>
  <conditionalFormatting sqref="G5">
    <cfRule type="cellIs" dxfId="72" priority="1"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Y29"/>
  <sheetViews>
    <sheetView showGridLines="0" zoomScaleNormal="100" workbookViewId="0">
      <selection activeCell="I40" sqref="I40"/>
    </sheetView>
  </sheetViews>
  <sheetFormatPr defaultRowHeight="13.5"/>
  <cols>
    <col min="1" max="1" width="2.625" style="330" customWidth="1"/>
    <col min="2" max="2" width="14.375" style="330" customWidth="1"/>
    <col min="3" max="3" width="12.125" style="330" customWidth="1"/>
    <col min="4" max="4" width="9" style="330"/>
    <col min="5" max="5" width="11.375" style="330" customWidth="1"/>
    <col min="6" max="6" width="2.625" style="330" customWidth="1"/>
    <col min="7" max="7" width="14.625" style="330" customWidth="1"/>
    <col min="8" max="8" width="25.125" style="330" customWidth="1"/>
    <col min="9" max="9" width="9.25" style="330" customWidth="1"/>
    <col min="10" max="10" width="11.375" style="330" customWidth="1"/>
    <col min="11" max="11" width="6" style="330" customWidth="1"/>
    <col min="12" max="12" width="9.25" style="330" customWidth="1"/>
    <col min="13" max="13" width="6.625" style="330" customWidth="1"/>
    <col min="14" max="14" width="2.625" style="330" customWidth="1"/>
    <col min="15" max="15" width="10.25" style="330" customWidth="1"/>
    <col min="16" max="16" width="8" style="330" customWidth="1"/>
    <col min="17" max="25" width="10.125" style="330" customWidth="1"/>
    <col min="26" max="16384" width="9" style="330"/>
  </cols>
  <sheetData>
    <row r="1" spans="2:25" ht="14.25" thickBot="1">
      <c r="C1" s="330" t="s">
        <v>201</v>
      </c>
      <c r="E1" s="330" t="s">
        <v>202</v>
      </c>
      <c r="H1" s="610">
        <f ca="1">평가_DDM!D88</f>
        <v>104048.93522714285</v>
      </c>
      <c r="I1" s="1814" t="s">
        <v>1135</v>
      </c>
      <c r="J1" s="1813">
        <f>J2</f>
        <v>45565</v>
      </c>
      <c r="L1" s="563" t="s">
        <v>1133</v>
      </c>
      <c r="Q1" s="331" t="s">
        <v>203</v>
      </c>
      <c r="T1" s="332"/>
    </row>
    <row r="2" spans="2:25">
      <c r="B2" s="333" t="s">
        <v>204</v>
      </c>
      <c r="C2" s="334">
        <f>H2</f>
        <v>44348</v>
      </c>
      <c r="D2" s="333" t="s">
        <v>205</v>
      </c>
      <c r="E2" s="335">
        <f>J2</f>
        <v>45565</v>
      </c>
      <c r="G2" s="333" t="s">
        <v>204</v>
      </c>
      <c r="H2" s="334">
        <v>44348</v>
      </c>
      <c r="I2" s="336" t="s">
        <v>206</v>
      </c>
      <c r="J2" s="335">
        <f>평가_DDM!E2</f>
        <v>45565</v>
      </c>
      <c r="L2" s="1037">
        <v>45473</v>
      </c>
      <c r="Q2" s="337" t="s">
        <v>207</v>
      </c>
      <c r="R2" s="338"/>
      <c r="S2" s="339"/>
      <c r="T2" s="337" t="s">
        <v>208</v>
      </c>
      <c r="U2" s="340"/>
      <c r="V2" s="337" t="s">
        <v>209</v>
      </c>
      <c r="W2" s="341"/>
      <c r="X2" s="337" t="s">
        <v>210</v>
      </c>
      <c r="Y2" s="342"/>
    </row>
    <row r="3" spans="2:25">
      <c r="B3" s="1797"/>
      <c r="C3" s="1798" t="s">
        <v>211</v>
      </c>
      <c r="D3" s="1797"/>
      <c r="E3" s="343"/>
      <c r="G3" s="1797"/>
      <c r="H3" s="1798" t="s">
        <v>212</v>
      </c>
      <c r="I3" s="1797"/>
      <c r="J3" s="343"/>
      <c r="L3" s="1035"/>
      <c r="V3" s="344">
        <v>0</v>
      </c>
      <c r="W3" s="344"/>
    </row>
    <row r="4" spans="2:25">
      <c r="B4" s="1799" t="s">
        <v>213</v>
      </c>
      <c r="C4" s="1800">
        <f>H5</f>
        <v>0.13185895582329299</v>
      </c>
      <c r="D4" s="1799"/>
      <c r="E4" s="345">
        <f>J4</f>
        <v>3.5900000000000001E-2</v>
      </c>
      <c r="G4" s="1799" t="s">
        <v>214</v>
      </c>
      <c r="H4" s="1800">
        <v>1.67832931726908E-2</v>
      </c>
      <c r="I4" s="1799"/>
      <c r="J4" s="345">
        <f>'24.3Q'!E65</f>
        <v>3.5900000000000001E-2</v>
      </c>
      <c r="K4" s="1912">
        <f>J4/L4-1</f>
        <v>-1.6438356164383494E-2</v>
      </c>
      <c r="L4" s="1036">
        <v>3.6499999999999998E-2</v>
      </c>
      <c r="M4" s="383"/>
      <c r="N4" s="346"/>
      <c r="O4" s="347" t="s">
        <v>215</v>
      </c>
      <c r="P4" s="348" t="s">
        <v>216</v>
      </c>
      <c r="Q4" s="349"/>
      <c r="R4" s="350">
        <v>5.2468923750765048E-2</v>
      </c>
      <c r="S4" s="351"/>
      <c r="T4" s="352"/>
      <c r="U4" s="350">
        <v>5.7999999999999996E-2</v>
      </c>
      <c r="V4" s="353"/>
      <c r="W4" s="354">
        <v>0</v>
      </c>
      <c r="X4" s="355"/>
      <c r="Y4" s="350">
        <v>1.4665334510160642E-2</v>
      </c>
    </row>
    <row r="5" spans="2:25">
      <c r="B5" s="1799" t="s">
        <v>217</v>
      </c>
      <c r="C5" s="1800">
        <v>0.13185895582329321</v>
      </c>
      <c r="D5" s="1799"/>
      <c r="E5" s="345">
        <f>J5</f>
        <v>0.1169</v>
      </c>
      <c r="G5" s="1799" t="s">
        <v>217</v>
      </c>
      <c r="H5" s="1800">
        <v>0.13185895582329299</v>
      </c>
      <c r="I5" s="1799"/>
      <c r="J5" s="345">
        <f>'24.3Q'!E66</f>
        <v>0.1169</v>
      </c>
      <c r="K5" s="1912">
        <f>J5/L5-1</f>
        <v>2.5438596491228038E-2</v>
      </c>
      <c r="L5" s="1036">
        <v>0.114</v>
      </c>
      <c r="M5" s="383"/>
      <c r="N5" s="356"/>
      <c r="O5" s="357"/>
      <c r="P5" s="358" t="s">
        <v>218</v>
      </c>
      <c r="Q5" s="359">
        <v>10</v>
      </c>
      <c r="R5" s="360">
        <v>0.10506954374030493</v>
      </c>
      <c r="S5" s="361"/>
      <c r="T5" s="362">
        <v>10</v>
      </c>
      <c r="U5" s="360">
        <v>9.4177997659913595E-2</v>
      </c>
      <c r="V5" s="363">
        <v>10</v>
      </c>
      <c r="W5" s="364">
        <v>0</v>
      </c>
      <c r="X5" s="362">
        <v>10</v>
      </c>
      <c r="Y5" s="360">
        <v>0.1795106679745225</v>
      </c>
    </row>
    <row r="6" spans="2:25">
      <c r="B6" s="1801" t="s">
        <v>219</v>
      </c>
      <c r="C6" s="1802">
        <f>'리츠 베타_22.2Q'!D42</f>
        <v>0.48980692674330562</v>
      </c>
      <c r="D6" s="1801"/>
      <c r="E6" s="365">
        <f ca="1">J6</f>
        <v>0.63256268609378385</v>
      </c>
      <c r="G6" s="1801" t="s">
        <v>219</v>
      </c>
      <c r="H6" s="1802">
        <f ca="1">J6</f>
        <v>0.63256268609378385</v>
      </c>
      <c r="I6" s="1801"/>
      <c r="J6" s="365">
        <f ca="1">'24.3Q'!E64</f>
        <v>0.63256268609378385</v>
      </c>
      <c r="K6" s="1912">
        <f ca="1">J6/L6-1</f>
        <v>-9.8875617738795274E-2</v>
      </c>
      <c r="L6" s="1899">
        <v>0.70197044774938278</v>
      </c>
      <c r="N6" s="346"/>
      <c r="O6" s="347" t="s">
        <v>220</v>
      </c>
      <c r="P6" s="366" t="s">
        <v>216</v>
      </c>
      <c r="Q6" s="367"/>
      <c r="R6" s="368">
        <v>5.1944351347329443E-2</v>
      </c>
      <c r="S6" s="361"/>
      <c r="T6" s="369"/>
      <c r="U6" s="368">
        <v>5.7788170712594678E-2</v>
      </c>
      <c r="V6" s="353"/>
      <c r="W6" s="354">
        <v>0</v>
      </c>
      <c r="X6" s="370"/>
      <c r="Y6" s="368">
        <v>1.3915388845633148E-2</v>
      </c>
    </row>
    <row r="7" spans="2:25" ht="14.25" thickBot="1">
      <c r="B7" s="1803" t="s">
        <v>221</v>
      </c>
      <c r="C7" s="1804">
        <f>C4+C5*C6</f>
        <v>0.19644438573868153</v>
      </c>
      <c r="D7" s="1803"/>
      <c r="E7" s="371">
        <f ca="1">E4+E5*E6</f>
        <v>0.10984657800436334</v>
      </c>
      <c r="G7" s="1803" t="s">
        <v>221</v>
      </c>
      <c r="H7" s="1805">
        <f ca="1">H4+H5*H6</f>
        <v>0.10019234845379459</v>
      </c>
      <c r="I7" s="1803"/>
      <c r="J7" s="371">
        <f ca="1">J4+J5*J6</f>
        <v>0.10984657800436334</v>
      </c>
      <c r="K7" s="1912">
        <f ca="1">J7/L7-1</f>
        <v>-5.7310226853044766E-2</v>
      </c>
      <c r="L7" s="371">
        <v>0.11652463104342964</v>
      </c>
      <c r="M7" s="383">
        <f>'22.4Q'!D61</f>
        <v>9.5318897538892833E-2</v>
      </c>
      <c r="N7" s="372"/>
      <c r="O7" s="373"/>
      <c r="P7" s="374" t="s">
        <v>218</v>
      </c>
      <c r="Q7" s="375"/>
      <c r="R7" s="376">
        <v>8.6951527164499595E-2</v>
      </c>
      <c r="S7" s="377"/>
      <c r="T7" s="378"/>
      <c r="U7" s="376">
        <v>8.2529248462404295E-2</v>
      </c>
      <c r="V7" s="379"/>
      <c r="W7" s="380">
        <v>0</v>
      </c>
      <c r="X7" s="381"/>
      <c r="Y7" s="376">
        <v>0.10874019268129299</v>
      </c>
    </row>
    <row r="8" spans="2:25" ht="16.5">
      <c r="C8" s="382">
        <f>U7</f>
        <v>8.2529248462404295E-2</v>
      </c>
      <c r="D8" s="382"/>
      <c r="E8" s="382"/>
      <c r="F8" s="382"/>
      <c r="G8" s="382"/>
      <c r="H8" s="1806">
        <f>Y7</f>
        <v>0.10874019268129299</v>
      </c>
      <c r="J8" s="557" t="b">
        <f ca="1">J7='24.3Q'!E67</f>
        <v>1</v>
      </c>
      <c r="M8" s="383"/>
    </row>
    <row r="9" spans="2:25">
      <c r="C9" s="383">
        <f>C7-C8</f>
        <v>0.11391513727627724</v>
      </c>
      <c r="G9" s="1807" t="s">
        <v>222</v>
      </c>
      <c r="H9" s="1808">
        <f ca="1">H7-H8</f>
        <v>-8.5478442274984079E-3</v>
      </c>
      <c r="Q9" s="384" t="s">
        <v>223</v>
      </c>
      <c r="R9" s="385" t="s">
        <v>224</v>
      </c>
      <c r="S9" s="385" t="s">
        <v>225</v>
      </c>
      <c r="T9" s="386" t="s">
        <v>226</v>
      </c>
      <c r="U9" s="387"/>
      <c r="V9" s="388" t="s">
        <v>223</v>
      </c>
      <c r="W9" s="388" t="s">
        <v>224</v>
      </c>
      <c r="X9" s="388" t="s">
        <v>225</v>
      </c>
      <c r="Y9" s="389" t="s">
        <v>226</v>
      </c>
    </row>
    <row r="10" spans="2:25">
      <c r="Q10" s="384" t="s">
        <v>227</v>
      </c>
      <c r="R10" s="390" t="s">
        <v>228</v>
      </c>
      <c r="S10" s="391"/>
      <c r="T10" s="392"/>
      <c r="U10" s="387"/>
      <c r="V10" s="388" t="s">
        <v>227</v>
      </c>
      <c r="W10" s="393" t="s">
        <v>228</v>
      </c>
      <c r="X10" s="394"/>
      <c r="Y10" s="395"/>
    </row>
    <row r="11" spans="2:25">
      <c r="Q11" s="384" t="s">
        <v>229</v>
      </c>
      <c r="R11" s="390" t="s">
        <v>230</v>
      </c>
      <c r="S11" s="396">
        <v>44316</v>
      </c>
      <c r="T11" s="392">
        <v>1.42</v>
      </c>
      <c r="U11" s="387"/>
      <c r="V11" s="388" t="s">
        <v>229</v>
      </c>
      <c r="W11" s="393" t="s">
        <v>230</v>
      </c>
      <c r="X11" s="397">
        <v>44408</v>
      </c>
      <c r="Y11" s="395">
        <v>1.38</v>
      </c>
    </row>
    <row r="12" spans="2:25">
      <c r="C12" s="398"/>
      <c r="Q12" s="384" t="s">
        <v>231</v>
      </c>
      <c r="R12" s="390" t="s">
        <v>232</v>
      </c>
      <c r="S12" s="396">
        <v>44316</v>
      </c>
      <c r="T12" s="392">
        <v>0.78</v>
      </c>
      <c r="U12" s="387"/>
      <c r="V12" s="388" t="s">
        <v>231</v>
      </c>
      <c r="W12" s="393" t="s">
        <v>232</v>
      </c>
      <c r="X12" s="397">
        <v>44408</v>
      </c>
      <c r="Y12" s="395">
        <v>0.76</v>
      </c>
    </row>
    <row r="13" spans="2:25">
      <c r="Q13" s="384" t="s">
        <v>233</v>
      </c>
      <c r="R13" s="390" t="s">
        <v>234</v>
      </c>
      <c r="S13" s="396">
        <v>44316</v>
      </c>
      <c r="T13" s="392">
        <v>1.42</v>
      </c>
      <c r="U13" s="387"/>
      <c r="V13" s="388" t="s">
        <v>233</v>
      </c>
      <c r="W13" s="393" t="s">
        <v>234</v>
      </c>
      <c r="X13" s="397">
        <v>44408</v>
      </c>
      <c r="Y13" s="395">
        <v>1.38</v>
      </c>
    </row>
    <row r="14" spans="2:25">
      <c r="Q14" s="384" t="s">
        <v>235</v>
      </c>
      <c r="R14" s="390" t="s">
        <v>236</v>
      </c>
      <c r="S14" s="396"/>
      <c r="T14" s="392"/>
      <c r="U14" s="387"/>
      <c r="V14" s="388" t="s">
        <v>235</v>
      </c>
      <c r="W14" s="393" t="s">
        <v>236</v>
      </c>
      <c r="X14" s="397"/>
      <c r="Y14" s="395"/>
    </row>
    <row r="15" spans="2:25">
      <c r="Q15" s="384" t="s">
        <v>237</v>
      </c>
      <c r="R15" s="390" t="s">
        <v>238</v>
      </c>
      <c r="S15" s="396">
        <v>44316</v>
      </c>
      <c r="T15" s="392">
        <v>1.62</v>
      </c>
      <c r="U15" s="387"/>
      <c r="V15" s="388" t="s">
        <v>237</v>
      </c>
      <c r="W15" s="393" t="s">
        <v>238</v>
      </c>
      <c r="X15" s="397">
        <v>44407</v>
      </c>
      <c r="Y15" s="395">
        <v>1.8</v>
      </c>
    </row>
    <row r="16" spans="2:25">
      <c r="Q16" s="384" t="s">
        <v>239</v>
      </c>
      <c r="R16" s="390" t="s">
        <v>240</v>
      </c>
      <c r="S16" s="396">
        <v>44316</v>
      </c>
      <c r="T16" s="392">
        <v>13.2</v>
      </c>
      <c r="U16" s="387"/>
      <c r="V16" s="388" t="s">
        <v>239</v>
      </c>
      <c r="W16" s="393" t="s">
        <v>240</v>
      </c>
      <c r="X16" s="397">
        <v>44407</v>
      </c>
      <c r="Y16" s="395">
        <v>13.31</v>
      </c>
    </row>
    <row r="17" spans="5:25">
      <c r="Q17" s="384" t="s">
        <v>241</v>
      </c>
      <c r="R17" s="399" t="s">
        <v>242</v>
      </c>
      <c r="S17" s="391">
        <v>44316</v>
      </c>
      <c r="T17" s="400">
        <v>0.31</v>
      </c>
      <c r="U17" s="387"/>
      <c r="V17" s="388" t="s">
        <v>241</v>
      </c>
      <c r="W17" s="401" t="s">
        <v>242</v>
      </c>
      <c r="X17" s="394">
        <v>44408</v>
      </c>
      <c r="Y17" s="402">
        <v>0.28000000000000003</v>
      </c>
    </row>
    <row r="21" spans="5:25">
      <c r="V21" s="330" t="s">
        <v>673</v>
      </c>
    </row>
    <row r="22" spans="5:25">
      <c r="G22" s="1811" t="s">
        <v>1134</v>
      </c>
    </row>
    <row r="23" spans="5:25">
      <c r="G23" s="1812">
        <f>J2</f>
        <v>45565</v>
      </c>
    </row>
    <row r="24" spans="5:25" ht="14.25" thickBot="1"/>
    <row r="25" spans="5:25" ht="14.25" thickBot="1">
      <c r="E25" s="332"/>
      <c r="G25" s="1027" t="s">
        <v>345</v>
      </c>
      <c r="H25" s="1027" t="s">
        <v>346</v>
      </c>
      <c r="I25" s="1028" t="s">
        <v>804</v>
      </c>
    </row>
    <row r="26" spans="5:25" ht="14.25" thickBot="1">
      <c r="G26" s="178" t="s">
        <v>805</v>
      </c>
      <c r="H26" s="206" t="s">
        <v>806</v>
      </c>
      <c r="I26" s="1809">
        <f>J4</f>
        <v>3.5900000000000001E-2</v>
      </c>
    </row>
    <row r="27" spans="5:25" ht="24.75" thickBot="1">
      <c r="G27" s="178" t="s">
        <v>807</v>
      </c>
      <c r="H27" s="206" t="s">
        <v>808</v>
      </c>
      <c r="I27" s="1809">
        <f>J5</f>
        <v>0.1169</v>
      </c>
    </row>
    <row r="28" spans="5:25" ht="14.25" thickBot="1">
      <c r="G28" s="178" t="s">
        <v>809</v>
      </c>
      <c r="H28" s="206" t="s">
        <v>810</v>
      </c>
      <c r="I28" s="1810">
        <f ca="1">J6</f>
        <v>0.63256268609378385</v>
      </c>
    </row>
    <row r="29" spans="5:25" ht="14.25" thickBot="1">
      <c r="G29" s="178" t="s">
        <v>811</v>
      </c>
      <c r="H29" s="1030" t="s">
        <v>812</v>
      </c>
      <c r="I29" s="1809">
        <f ca="1">J7</f>
        <v>0.10984657800436334</v>
      </c>
    </row>
  </sheetData>
  <phoneticPr fontId="3"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28" zoomScale="85" zoomScaleNormal="85" workbookViewId="0">
      <pane xSplit="4" topLeftCell="E1" activePane="topRight" state="frozen"/>
      <selection activeCell="O37" sqref="O37"/>
      <selection pane="topRight" activeCell="E54" sqref="E54:H54"/>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1482</v>
      </c>
      <c r="D1" s="711"/>
      <c r="E1" s="711"/>
      <c r="F1" s="711"/>
      <c r="G1" s="711"/>
      <c r="H1" s="711"/>
      <c r="I1" s="711"/>
      <c r="J1" s="711"/>
      <c r="K1" s="711"/>
      <c r="R1" s="713" t="s">
        <v>1483</v>
      </c>
    </row>
    <row r="2" spans="1:23" ht="15.75" customHeight="1" thickBot="1">
      <c r="A2" s="709"/>
      <c r="B2" s="709"/>
      <c r="C2" s="710"/>
      <c r="D2" s="711"/>
      <c r="E2" s="711"/>
      <c r="F2" s="711"/>
      <c r="G2" s="711"/>
      <c r="H2" s="711"/>
      <c r="I2" s="711"/>
      <c r="J2" s="711"/>
      <c r="K2" s="711"/>
      <c r="R2" s="713" t="s">
        <v>1484</v>
      </c>
    </row>
    <row r="3" spans="1:23" ht="15.75" customHeight="1" thickBot="1">
      <c r="C3" s="714" t="s">
        <v>1485</v>
      </c>
      <c r="E3" s="715"/>
      <c r="L3" s="716"/>
      <c r="N3" s="717"/>
      <c r="O3" s="718"/>
      <c r="P3" s="719"/>
      <c r="Q3" s="719"/>
      <c r="R3" s="719"/>
      <c r="S3" s="719"/>
      <c r="T3" s="719"/>
      <c r="U3" s="718"/>
    </row>
    <row r="4" spans="1:23" ht="15.75" customHeight="1" thickTop="1">
      <c r="C4" s="1866" t="s">
        <v>1486</v>
      </c>
      <c r="N4" s="717"/>
      <c r="O4" s="718"/>
      <c r="P4" s="718"/>
      <c r="Q4" s="718"/>
      <c r="R4" s="718"/>
      <c r="S4" s="718"/>
      <c r="T4" s="718"/>
      <c r="U4" s="718"/>
      <c r="V4" s="717"/>
    </row>
    <row r="5" spans="1:23" ht="15.75" customHeight="1" thickBot="1">
      <c r="C5" s="1867" t="s">
        <v>1487</v>
      </c>
      <c r="N5" s="717"/>
      <c r="O5" s="718"/>
      <c r="P5" s="718"/>
      <c r="Q5" s="718"/>
      <c r="R5" s="718"/>
      <c r="S5" s="718"/>
      <c r="T5" s="718"/>
      <c r="U5" s="718"/>
      <c r="V5" s="717"/>
    </row>
    <row r="6" spans="1:23" ht="15.75" customHeight="1" thickBot="1">
      <c r="M6" s="1868" t="s">
        <v>1488</v>
      </c>
      <c r="N6" s="1869">
        <v>45473</v>
      </c>
      <c r="Q6" s="718"/>
      <c r="R6" s="718"/>
      <c r="S6" s="718"/>
      <c r="T6" s="718"/>
      <c r="U6" s="718"/>
    </row>
    <row r="7" spans="1:23" ht="15.75" customHeight="1" thickBot="1">
      <c r="J7" s="724" t="s">
        <v>1489</v>
      </c>
      <c r="K7" s="725">
        <f>E67</f>
        <v>0.20899999999999999</v>
      </c>
      <c r="M7" s="1870" t="s">
        <v>1490</v>
      </c>
      <c r="N7" s="1871">
        <v>45440</v>
      </c>
      <c r="Q7" s="728"/>
      <c r="R7" s="728"/>
      <c r="S7" s="718"/>
      <c r="T7" s="718"/>
      <c r="U7" s="718"/>
    </row>
    <row r="8" spans="1:23" ht="15.75" customHeight="1" thickBot="1">
      <c r="G8" s="729"/>
      <c r="H8" s="729"/>
      <c r="I8" s="729"/>
      <c r="J8" s="729"/>
      <c r="K8" s="729"/>
      <c r="N8" s="718"/>
      <c r="O8" s="718"/>
      <c r="P8" s="728"/>
      <c r="Q8" s="730" t="s">
        <v>1491</v>
      </c>
      <c r="R8" s="728"/>
      <c r="W8" s="718"/>
    </row>
    <row r="9" spans="1:23" ht="15.75" customHeight="1" thickTop="1" thickBot="1">
      <c r="C9" s="1872" t="s">
        <v>1492</v>
      </c>
      <c r="D9" s="1873" t="s">
        <v>255</v>
      </c>
      <c r="E9" s="1873" t="s">
        <v>1493</v>
      </c>
      <c r="F9" s="1873" t="s">
        <v>258</v>
      </c>
      <c r="G9" s="1873" t="s">
        <v>683</v>
      </c>
      <c r="H9" s="1873" t="s">
        <v>1494</v>
      </c>
      <c r="I9" s="1874" t="s">
        <v>1495</v>
      </c>
      <c r="J9" s="1873" t="s">
        <v>1496</v>
      </c>
      <c r="K9" s="1873" t="s">
        <v>1497</v>
      </c>
      <c r="L9" s="1873" t="s">
        <v>687</v>
      </c>
      <c r="M9" s="1873" t="s">
        <v>688</v>
      </c>
      <c r="N9" s="1873" t="s">
        <v>689</v>
      </c>
      <c r="O9" s="1873" t="s">
        <v>690</v>
      </c>
      <c r="P9" s="1873" t="s">
        <v>1498</v>
      </c>
      <c r="Q9" s="1873" t="s">
        <v>1499</v>
      </c>
      <c r="W9" s="718"/>
    </row>
    <row r="10" spans="1:23" ht="25.5" thickTop="1" thickBot="1">
      <c r="A10" s="732"/>
      <c r="B10" s="732"/>
      <c r="C10" s="1875">
        <v>1</v>
      </c>
      <c r="D10" s="734" t="s">
        <v>273</v>
      </c>
      <c r="E10" s="734" t="s">
        <v>275</v>
      </c>
      <c r="F10" s="735">
        <v>40738</v>
      </c>
      <c r="G10" s="736">
        <v>0.64424459999999995</v>
      </c>
      <c r="H10" s="1876">
        <v>2.4405186791809941</v>
      </c>
      <c r="I10" s="738">
        <v>0.20900000000000002</v>
      </c>
      <c r="J10" s="739">
        <f>G10/(1+H10*(1-I10))</f>
        <v>0.21984491784251803</v>
      </c>
      <c r="K10" s="739">
        <f t="shared" ref="K10:K32" ca="1" si="0">J10*(1+$H$33*(1-$K$7))</f>
        <v>0.43654163445848448</v>
      </c>
      <c r="L10" s="740" t="s">
        <v>1500</v>
      </c>
      <c r="M10" s="1877" t="s">
        <v>1393</v>
      </c>
      <c r="N10" s="740" t="s">
        <v>694</v>
      </c>
      <c r="O10" s="1878" t="s">
        <v>1501</v>
      </c>
      <c r="P10" s="740">
        <f t="shared" ref="P10:P32" si="1">YEARFRAC(F10,EOMONTH($N$6,-2),1)</f>
        <v>12.795463433711381</v>
      </c>
      <c r="Q10" s="740" t="s">
        <v>670</v>
      </c>
      <c r="R10" s="712">
        <f>IF(Q10="O",1,0)</f>
        <v>1</v>
      </c>
      <c r="S10" s="712">
        <f>R10</f>
        <v>1</v>
      </c>
      <c r="W10" s="718"/>
    </row>
    <row r="11" spans="1:23" ht="24.75" thickBot="1">
      <c r="A11" s="732"/>
      <c r="B11" s="732"/>
      <c r="C11" s="1875">
        <v>2</v>
      </c>
      <c r="D11" s="734" t="s">
        <v>278</v>
      </c>
      <c r="E11" s="734" t="s">
        <v>280</v>
      </c>
      <c r="F11" s="735">
        <v>40939</v>
      </c>
      <c r="G11" s="736">
        <v>0.82383399999999996</v>
      </c>
      <c r="H11" s="1876">
        <v>1.5935511478582172</v>
      </c>
      <c r="I11" s="738">
        <v>0.20900000000000002</v>
      </c>
      <c r="J11" s="739">
        <f t="shared" ref="J11:J32" si="2">G11/(1+H11*(1-I11))</f>
        <v>0.36444785656746603</v>
      </c>
      <c r="K11" s="739">
        <f t="shared" ca="1" si="0"/>
        <v>0.72367678335334085</v>
      </c>
      <c r="L11" s="740" t="s">
        <v>1500</v>
      </c>
      <c r="M11" s="1877" t="s">
        <v>696</v>
      </c>
      <c r="N11" s="740" t="s">
        <v>1502</v>
      </c>
      <c r="O11" s="1878" t="s">
        <v>1503</v>
      </c>
      <c r="P11" s="740">
        <f t="shared" si="1"/>
        <v>12.244472520530637</v>
      </c>
      <c r="Q11" s="740" t="s">
        <v>670</v>
      </c>
      <c r="R11" s="712">
        <f t="shared" ref="R11:R29" si="3">IF(Q11="O",1,0)</f>
        <v>1</v>
      </c>
      <c r="S11" s="712">
        <f>S10+R11</f>
        <v>2</v>
      </c>
      <c r="W11" s="718"/>
    </row>
    <row r="12" spans="1:23" ht="12.75" thickBot="1">
      <c r="A12" s="732"/>
      <c r="B12" s="1879" t="s">
        <v>1504</v>
      </c>
      <c r="C12" s="1880">
        <v>3</v>
      </c>
      <c r="D12" s="1881" t="s">
        <v>283</v>
      </c>
      <c r="E12" s="1881" t="s">
        <v>285</v>
      </c>
      <c r="F12" s="1882">
        <v>42635</v>
      </c>
      <c r="G12" s="1883">
        <v>0.7863232</v>
      </c>
      <c r="H12" s="1884">
        <v>1.0306339551170889</v>
      </c>
      <c r="I12" s="1885">
        <v>0.20900000000000002</v>
      </c>
      <c r="J12" s="1886">
        <f t="shared" si="2"/>
        <v>0.43318068135002641</v>
      </c>
      <c r="K12" s="1886">
        <f t="shared" ca="1" si="0"/>
        <v>0.86015817198849187</v>
      </c>
      <c r="L12" s="1887" t="s">
        <v>1500</v>
      </c>
      <c r="M12" s="1888" t="s">
        <v>696</v>
      </c>
      <c r="N12" s="1887" t="s">
        <v>700</v>
      </c>
      <c r="O12" s="1889" t="s">
        <v>1505</v>
      </c>
      <c r="P12" s="1887">
        <f t="shared" si="1"/>
        <v>7.601277372262774</v>
      </c>
      <c r="Q12" s="740" t="s">
        <v>670</v>
      </c>
      <c r="R12" s="712">
        <f t="shared" si="3"/>
        <v>1</v>
      </c>
      <c r="S12" s="712">
        <f t="shared" ref="S12:S29" si="4">S11+R12</f>
        <v>3</v>
      </c>
      <c r="T12" s="1890" t="s">
        <v>1506</v>
      </c>
      <c r="W12" s="741"/>
    </row>
    <row r="13" spans="1:23" ht="12.75" thickBot="1">
      <c r="A13" s="732"/>
      <c r="B13" s="732"/>
      <c r="C13" s="1875">
        <v>4</v>
      </c>
      <c r="D13" s="734" t="s">
        <v>287</v>
      </c>
      <c r="E13" s="734" t="s">
        <v>289</v>
      </c>
      <c r="F13" s="735">
        <v>43278</v>
      </c>
      <c r="G13" s="736">
        <v>0.58807390000000004</v>
      </c>
      <c r="H13" s="1876">
        <v>1.0745946660622936</v>
      </c>
      <c r="I13" s="738">
        <v>0.20900000000000002</v>
      </c>
      <c r="J13" s="739">
        <f t="shared" si="2"/>
        <v>0.3178770310414768</v>
      </c>
      <c r="K13" s="739">
        <f t="shared" ca="1" si="0"/>
        <v>0.63120203118390772</v>
      </c>
      <c r="L13" s="740" t="s">
        <v>702</v>
      </c>
      <c r="M13" s="1877" t="s">
        <v>1507</v>
      </c>
      <c r="N13" s="740" t="s">
        <v>704</v>
      </c>
      <c r="O13" s="1878" t="s">
        <v>1508</v>
      </c>
      <c r="P13" s="740">
        <f t="shared" si="1"/>
        <v>5.8420023464998048</v>
      </c>
      <c r="Q13" s="740" t="s">
        <v>670</v>
      </c>
      <c r="R13" s="712">
        <f t="shared" si="3"/>
        <v>1</v>
      </c>
      <c r="S13" s="712">
        <f t="shared" si="4"/>
        <v>4</v>
      </c>
      <c r="W13" s="741"/>
    </row>
    <row r="14" spans="1:23" ht="36.75" thickBot="1">
      <c r="A14" s="732"/>
      <c r="B14" s="732"/>
      <c r="C14" s="1875">
        <v>5</v>
      </c>
      <c r="D14" s="734" t="s">
        <v>292</v>
      </c>
      <c r="E14" s="734" t="s">
        <v>294</v>
      </c>
      <c r="F14" s="735">
        <v>43320</v>
      </c>
      <c r="G14" s="736">
        <v>0.52265720000000004</v>
      </c>
      <c r="H14" s="1876">
        <v>1.7196696102989415</v>
      </c>
      <c r="I14" s="738">
        <v>0.20900000000000002</v>
      </c>
      <c r="J14" s="739">
        <f t="shared" si="2"/>
        <v>0.22144064482036988</v>
      </c>
      <c r="K14" s="739">
        <f t="shared" ca="1" si="0"/>
        <v>0.43971023744415799</v>
      </c>
      <c r="L14" s="740" t="s">
        <v>706</v>
      </c>
      <c r="M14" s="1877" t="s">
        <v>1507</v>
      </c>
      <c r="N14" s="740" t="s">
        <v>708</v>
      </c>
      <c r="O14" s="1878" t="s">
        <v>1509</v>
      </c>
      <c r="P14" s="740">
        <f t="shared" si="1"/>
        <v>5.7270238560813453</v>
      </c>
      <c r="Q14" s="740" t="s">
        <v>670</v>
      </c>
      <c r="R14" s="712">
        <f t="shared" si="3"/>
        <v>1</v>
      </c>
      <c r="S14" s="712">
        <f t="shared" si="4"/>
        <v>5</v>
      </c>
      <c r="W14" s="741"/>
    </row>
    <row r="15" spans="1:23" ht="12.75" thickBot="1">
      <c r="A15" s="732"/>
      <c r="B15" s="732"/>
      <c r="C15" s="1875">
        <v>6</v>
      </c>
      <c r="D15" s="734" t="s">
        <v>296</v>
      </c>
      <c r="E15" s="734" t="s">
        <v>298</v>
      </c>
      <c r="F15" s="735">
        <v>43768</v>
      </c>
      <c r="G15" s="736">
        <v>0.63634049999999998</v>
      </c>
      <c r="H15" s="1876">
        <v>0.86386291418688987</v>
      </c>
      <c r="I15" s="738">
        <v>0.23100000000000001</v>
      </c>
      <c r="J15" s="739">
        <f t="shared" si="2"/>
        <v>0.38234480226277201</v>
      </c>
      <c r="K15" s="739">
        <f t="shared" ca="1" si="0"/>
        <v>0.75921438869039104</v>
      </c>
      <c r="L15" s="740" t="s">
        <v>706</v>
      </c>
      <c r="M15" s="1877" t="s">
        <v>696</v>
      </c>
      <c r="N15" s="740" t="s">
        <v>704</v>
      </c>
      <c r="O15" s="1878" t="s">
        <v>710</v>
      </c>
      <c r="P15" s="740">
        <f t="shared" si="1"/>
        <v>4.5</v>
      </c>
      <c r="Q15" s="740" t="s">
        <v>670</v>
      </c>
      <c r="R15" s="712">
        <f t="shared" si="3"/>
        <v>1</v>
      </c>
      <c r="S15" s="712">
        <f t="shared" si="4"/>
        <v>6</v>
      </c>
      <c r="W15" s="741"/>
    </row>
    <row r="16" spans="1:23" ht="36.75" thickBot="1">
      <c r="A16" s="732"/>
      <c r="B16" s="732"/>
      <c r="C16" s="1875">
        <v>7</v>
      </c>
      <c r="D16" s="734" t="s">
        <v>300</v>
      </c>
      <c r="E16" s="734" t="s">
        <v>302</v>
      </c>
      <c r="F16" s="735">
        <v>43804</v>
      </c>
      <c r="G16" s="736">
        <v>0.53547900000000004</v>
      </c>
      <c r="H16" s="1876">
        <v>0</v>
      </c>
      <c r="I16" s="738">
        <v>0.20900000000000002</v>
      </c>
      <c r="J16" s="739">
        <f t="shared" si="2"/>
        <v>0.53547900000000004</v>
      </c>
      <c r="K16" s="739">
        <f t="shared" ca="1" si="0"/>
        <v>1.0632898871269056</v>
      </c>
      <c r="L16" s="740" t="s">
        <v>706</v>
      </c>
      <c r="M16" s="1877" t="s">
        <v>711</v>
      </c>
      <c r="N16" s="740" t="s">
        <v>708</v>
      </c>
      <c r="O16" s="1878" t="s">
        <v>1510</v>
      </c>
      <c r="P16" s="740">
        <f t="shared" si="1"/>
        <v>4.4014598540145986</v>
      </c>
      <c r="Q16" s="740" t="s">
        <v>670</v>
      </c>
      <c r="R16" s="712">
        <f t="shared" si="3"/>
        <v>1</v>
      </c>
      <c r="S16" s="712">
        <f t="shared" si="4"/>
        <v>7</v>
      </c>
      <c r="W16" s="741"/>
    </row>
    <row r="17" spans="1:23" ht="24.75" thickBot="1">
      <c r="A17" s="732"/>
      <c r="B17" s="732"/>
      <c r="C17" s="1875">
        <v>8</v>
      </c>
      <c r="D17" s="733" t="s">
        <v>1511</v>
      </c>
      <c r="E17" s="733" t="s">
        <v>1241</v>
      </c>
      <c r="F17" s="742">
        <v>44028</v>
      </c>
      <c r="G17" s="736">
        <v>0.66227689999999995</v>
      </c>
      <c r="H17" s="1876">
        <v>0.59751256885574655</v>
      </c>
      <c r="I17" s="738">
        <v>0.20899999999999999</v>
      </c>
      <c r="J17" s="739">
        <f t="shared" si="2"/>
        <v>0.44972314959756077</v>
      </c>
      <c r="K17" s="739">
        <f t="shared" ca="1" si="0"/>
        <v>0.89300621868261287</v>
      </c>
      <c r="L17" s="740" t="s">
        <v>706</v>
      </c>
      <c r="M17" s="1877" t="s">
        <v>715</v>
      </c>
      <c r="N17" s="740" t="s">
        <v>1512</v>
      </c>
      <c r="O17" s="1878" t="s">
        <v>1513</v>
      </c>
      <c r="P17" s="740">
        <f t="shared" si="1"/>
        <v>3.7876299945265464</v>
      </c>
      <c r="Q17" s="740" t="s">
        <v>671</v>
      </c>
      <c r="R17" s="712">
        <f t="shared" si="3"/>
        <v>0</v>
      </c>
      <c r="S17" s="712">
        <f t="shared" si="4"/>
        <v>7</v>
      </c>
      <c r="W17" s="711"/>
    </row>
    <row r="18" spans="1:23" ht="24.75" thickBot="1">
      <c r="A18" s="732"/>
      <c r="B18" s="732"/>
      <c r="C18" s="1875">
        <v>9</v>
      </c>
      <c r="D18" s="733" t="s">
        <v>307</v>
      </c>
      <c r="E18" s="733" t="s">
        <v>1514</v>
      </c>
      <c r="F18" s="742">
        <v>44048</v>
      </c>
      <c r="G18" s="736">
        <v>0.6922528</v>
      </c>
      <c r="H18" s="1876">
        <v>1.87856951731149</v>
      </c>
      <c r="I18" s="738">
        <v>0.20900000000000002</v>
      </c>
      <c r="J18" s="739">
        <f t="shared" si="2"/>
        <v>0.27846626882565872</v>
      </c>
      <c r="K18" s="739">
        <f t="shared" ca="1" si="0"/>
        <v>0.55294487281160454</v>
      </c>
      <c r="L18" s="740" t="s">
        <v>706</v>
      </c>
      <c r="M18" s="1877" t="s">
        <v>696</v>
      </c>
      <c r="N18" s="740" t="s">
        <v>704</v>
      </c>
      <c r="O18" s="1878" t="s">
        <v>1515</v>
      </c>
      <c r="P18" s="740">
        <f t="shared" si="1"/>
        <v>3.7328954570333881</v>
      </c>
      <c r="Q18" s="740" t="s">
        <v>671</v>
      </c>
      <c r="R18" s="712">
        <f t="shared" si="3"/>
        <v>0</v>
      </c>
      <c r="S18" s="712">
        <f t="shared" si="4"/>
        <v>7</v>
      </c>
      <c r="T18" s="717"/>
    </row>
    <row r="19" spans="1:23" ht="36.75" thickBot="1">
      <c r="A19" s="732"/>
      <c r="B19" s="732"/>
      <c r="C19" s="1875">
        <v>10</v>
      </c>
      <c r="D19" s="733" t="s">
        <v>310</v>
      </c>
      <c r="E19" s="733" t="s">
        <v>1516</v>
      </c>
      <c r="F19" s="742">
        <v>44048</v>
      </c>
      <c r="G19" s="736">
        <v>0.62859750000000003</v>
      </c>
      <c r="H19" s="1876">
        <v>0.51390763767494974</v>
      </c>
      <c r="I19" s="738">
        <v>0.20900000000000002</v>
      </c>
      <c r="J19" s="739">
        <f t="shared" si="2"/>
        <v>0.44692291451572891</v>
      </c>
      <c r="K19" s="739">
        <f t="shared" ca="1" si="0"/>
        <v>0.88744584816558081</v>
      </c>
      <c r="L19" s="740" t="s">
        <v>706</v>
      </c>
      <c r="M19" s="1877" t="s">
        <v>715</v>
      </c>
      <c r="N19" s="740" t="s">
        <v>1517</v>
      </c>
      <c r="O19" s="1878" t="s">
        <v>1518</v>
      </c>
      <c r="P19" s="740">
        <f t="shared" si="1"/>
        <v>3.7328954570333881</v>
      </c>
      <c r="Q19" s="740" t="s">
        <v>671</v>
      </c>
      <c r="R19" s="712">
        <f t="shared" si="3"/>
        <v>0</v>
      </c>
      <c r="S19" s="712">
        <f t="shared" si="4"/>
        <v>7</v>
      </c>
    </row>
    <row r="20" spans="1:23" ht="48.75" thickBot="1">
      <c r="A20" s="732"/>
      <c r="B20" s="732"/>
      <c r="C20" s="1875">
        <v>11</v>
      </c>
      <c r="D20" s="733" t="s">
        <v>313</v>
      </c>
      <c r="E20" s="733" t="s">
        <v>1519</v>
      </c>
      <c r="F20" s="742">
        <v>44050</v>
      </c>
      <c r="G20" s="736">
        <v>0.71397449999999996</v>
      </c>
      <c r="H20" s="1876">
        <v>1.3236508111245848</v>
      </c>
      <c r="I20" s="738">
        <v>0.23100000000000001</v>
      </c>
      <c r="J20" s="739">
        <f t="shared" si="2"/>
        <v>0.35382275240128436</v>
      </c>
      <c r="K20" s="739">
        <f t="shared" ca="1" si="0"/>
        <v>0.70257872757604445</v>
      </c>
      <c r="L20" s="740" t="s">
        <v>706</v>
      </c>
      <c r="M20" s="1877" t="s">
        <v>1520</v>
      </c>
      <c r="N20" s="740" t="s">
        <v>1521</v>
      </c>
      <c r="O20" s="1878" t="s">
        <v>1522</v>
      </c>
      <c r="P20" s="740">
        <f t="shared" si="1"/>
        <v>3.7274220032840724</v>
      </c>
      <c r="Q20" s="740" t="s">
        <v>671</v>
      </c>
      <c r="R20" s="712">
        <f t="shared" si="3"/>
        <v>0</v>
      </c>
      <c r="S20" s="712">
        <f t="shared" si="4"/>
        <v>7</v>
      </c>
    </row>
    <row r="21" spans="1:23" ht="24.75" thickBot="1">
      <c r="A21" s="732"/>
      <c r="B21" s="732"/>
      <c r="C21" s="1875">
        <v>12</v>
      </c>
      <c r="D21" s="733" t="s">
        <v>316</v>
      </c>
      <c r="E21" s="733" t="s">
        <v>1523</v>
      </c>
      <c r="F21" s="742">
        <v>44074</v>
      </c>
      <c r="G21" s="736">
        <v>0.61650329999999998</v>
      </c>
      <c r="H21" s="1876">
        <v>1.675919739761891</v>
      </c>
      <c r="I21" s="738">
        <v>0.23100000000000001</v>
      </c>
      <c r="J21" s="739">
        <f t="shared" si="2"/>
        <v>0.26935864779290386</v>
      </c>
      <c r="K21" s="739">
        <f t="shared" ca="1" si="0"/>
        <v>0.53486005279081472</v>
      </c>
      <c r="L21" s="740" t="s">
        <v>706</v>
      </c>
      <c r="M21" s="1877" t="s">
        <v>696</v>
      </c>
      <c r="N21" s="740" t="s">
        <v>725</v>
      </c>
      <c r="O21" s="1878" t="s">
        <v>1340</v>
      </c>
      <c r="P21" s="740">
        <f t="shared" si="1"/>
        <v>3.6617405582922826</v>
      </c>
      <c r="Q21" s="740" t="s">
        <v>671</v>
      </c>
      <c r="R21" s="712">
        <f t="shared" si="3"/>
        <v>0</v>
      </c>
      <c r="S21" s="712">
        <f t="shared" si="4"/>
        <v>7</v>
      </c>
    </row>
    <row r="22" spans="1:23" ht="12.75" thickBot="1">
      <c r="A22" s="732"/>
      <c r="B22" s="732"/>
      <c r="C22" s="1875">
        <v>13</v>
      </c>
      <c r="D22" s="733" t="s">
        <v>1341</v>
      </c>
      <c r="E22" s="733" t="s">
        <v>1524</v>
      </c>
      <c r="F22" s="742">
        <v>44188</v>
      </c>
      <c r="G22" s="736">
        <v>0.83504619999999996</v>
      </c>
      <c r="H22" s="1876">
        <v>0.93856077598623311</v>
      </c>
      <c r="I22" s="738">
        <v>0.23100000000000001</v>
      </c>
      <c r="J22" s="739">
        <f t="shared" si="2"/>
        <v>0.48499760719735113</v>
      </c>
      <c r="K22" s="739">
        <f t="shared" ca="1" si="0"/>
        <v>0.96305000011894171</v>
      </c>
      <c r="L22" s="740" t="s">
        <v>706</v>
      </c>
      <c r="M22" s="1877" t="s">
        <v>711</v>
      </c>
      <c r="N22" s="740" t="s">
        <v>729</v>
      </c>
      <c r="O22" s="1878" t="s">
        <v>730</v>
      </c>
      <c r="P22" s="740">
        <f t="shared" si="1"/>
        <v>3.3497536945812811</v>
      </c>
      <c r="Q22" s="740" t="s">
        <v>671</v>
      </c>
      <c r="R22" s="712">
        <f t="shared" si="3"/>
        <v>0</v>
      </c>
      <c r="S22" s="712">
        <f t="shared" si="4"/>
        <v>7</v>
      </c>
    </row>
    <row r="23" spans="1:23" ht="63.75" customHeight="1" thickBot="1">
      <c r="A23" s="732"/>
      <c r="B23" s="732"/>
      <c r="C23" s="1875">
        <v>14</v>
      </c>
      <c r="D23" s="733" t="s">
        <v>1525</v>
      </c>
      <c r="E23" s="733" t="s">
        <v>1526</v>
      </c>
      <c r="F23" s="744">
        <v>44435</v>
      </c>
      <c r="G23" s="736">
        <v>0.69880120000000001</v>
      </c>
      <c r="H23" s="1876">
        <v>2.3706080914108254</v>
      </c>
      <c r="I23" s="738">
        <v>9.9000000000000019E-2</v>
      </c>
      <c r="J23" s="739">
        <f t="shared" si="2"/>
        <v>0.22283784985184077</v>
      </c>
      <c r="K23" s="739">
        <f t="shared" ca="1" si="0"/>
        <v>0.44248463939121069</v>
      </c>
      <c r="L23" s="740" t="s">
        <v>1527</v>
      </c>
      <c r="M23" s="1877" t="s">
        <v>1528</v>
      </c>
      <c r="N23" s="740" t="s">
        <v>1529</v>
      </c>
      <c r="O23" s="1891" t="s">
        <v>1530</v>
      </c>
      <c r="P23" s="740">
        <f t="shared" si="1"/>
        <v>2.6748802190280632</v>
      </c>
      <c r="Q23" s="740" t="s">
        <v>671</v>
      </c>
      <c r="R23" s="712">
        <f t="shared" si="3"/>
        <v>0</v>
      </c>
      <c r="S23" s="712">
        <f t="shared" si="4"/>
        <v>7</v>
      </c>
    </row>
    <row r="24" spans="1:23" ht="76.5" customHeight="1" thickBot="1">
      <c r="A24" s="732"/>
      <c r="B24" s="732"/>
      <c r="C24" s="1875">
        <v>15</v>
      </c>
      <c r="D24" s="733" t="s">
        <v>1531</v>
      </c>
      <c r="E24" s="733" t="s">
        <v>1532</v>
      </c>
      <c r="F24" s="744">
        <v>44453</v>
      </c>
      <c r="G24" s="736">
        <v>0.68986899999999995</v>
      </c>
      <c r="H24" s="1876">
        <v>1.4257996041474341</v>
      </c>
      <c r="I24" s="738">
        <v>0.20899999999999999</v>
      </c>
      <c r="J24" s="739">
        <f t="shared" si="2"/>
        <v>0.32421589088933622</v>
      </c>
      <c r="K24" s="739">
        <f t="shared" ca="1" si="0"/>
        <v>0.64378897777218425</v>
      </c>
      <c r="L24" s="740" t="s">
        <v>1533</v>
      </c>
      <c r="M24" s="1877" t="s">
        <v>1534</v>
      </c>
      <c r="N24" s="740" t="s">
        <v>1535</v>
      </c>
      <c r="O24" s="1878" t="s">
        <v>1536</v>
      </c>
      <c r="P24" s="740">
        <f t="shared" si="1"/>
        <v>2.6255989048596851</v>
      </c>
      <c r="Q24" s="740" t="s">
        <v>671</v>
      </c>
      <c r="R24" s="712">
        <f t="shared" si="3"/>
        <v>0</v>
      </c>
      <c r="S24" s="712">
        <f t="shared" si="4"/>
        <v>7</v>
      </c>
    </row>
    <row r="25" spans="1:23" ht="60.75" thickBot="1">
      <c r="A25" s="732"/>
      <c r="B25" s="732"/>
      <c r="C25" s="1875">
        <v>16</v>
      </c>
      <c r="D25" s="733" t="s">
        <v>1537</v>
      </c>
      <c r="E25" s="733" t="s">
        <v>1538</v>
      </c>
      <c r="F25" s="744">
        <v>44518</v>
      </c>
      <c r="G25" s="736">
        <v>0.65673789999999999</v>
      </c>
      <c r="H25" s="1876">
        <v>3.1311827445714902</v>
      </c>
      <c r="I25" s="738">
        <v>0.20900000000000002</v>
      </c>
      <c r="J25" s="739">
        <f t="shared" si="2"/>
        <v>0.18889335227663215</v>
      </c>
      <c r="K25" s="739">
        <f t="shared" ca="1" si="0"/>
        <v>0.37508173284338509</v>
      </c>
      <c r="L25" s="740" t="s">
        <v>1533</v>
      </c>
      <c r="M25" s="1877" t="s">
        <v>1539</v>
      </c>
      <c r="N25" s="740" t="s">
        <v>1540</v>
      </c>
      <c r="O25" s="1878" t="s">
        <v>1440</v>
      </c>
      <c r="P25" s="740">
        <f t="shared" si="1"/>
        <v>2.4476386036960984</v>
      </c>
      <c r="Q25" s="740" t="s">
        <v>671</v>
      </c>
      <c r="R25" s="712">
        <f t="shared" si="3"/>
        <v>0</v>
      </c>
      <c r="S25" s="712">
        <f t="shared" si="4"/>
        <v>7</v>
      </c>
    </row>
    <row r="26" spans="1:23" ht="15.75" customHeight="1" thickBot="1">
      <c r="A26" s="732"/>
      <c r="B26" s="732"/>
      <c r="C26" s="1875">
        <v>17</v>
      </c>
      <c r="D26" s="733" t="s">
        <v>1541</v>
      </c>
      <c r="E26" s="733" t="s">
        <v>1542</v>
      </c>
      <c r="F26" s="744">
        <v>44533</v>
      </c>
      <c r="G26" s="736">
        <v>0.80587010000000003</v>
      </c>
      <c r="H26" s="1876">
        <v>1.5012383973050936</v>
      </c>
      <c r="I26" s="738">
        <v>9.9000000000000019E-2</v>
      </c>
      <c r="J26" s="739">
        <f t="shared" si="2"/>
        <v>0.34254216152922112</v>
      </c>
      <c r="K26" s="739">
        <f t="shared" ca="1" si="0"/>
        <v>0.68017908502221713</v>
      </c>
      <c r="L26" s="740" t="s">
        <v>1527</v>
      </c>
      <c r="M26" s="740" t="s">
        <v>1444</v>
      </c>
      <c r="N26" s="740" t="s">
        <v>1543</v>
      </c>
      <c r="O26" s="1878" t="s">
        <v>1544</v>
      </c>
      <c r="P26" s="740">
        <f t="shared" si="1"/>
        <v>2.406570841889117</v>
      </c>
      <c r="Q26" s="740" t="s">
        <v>671</v>
      </c>
      <c r="R26" s="712">
        <f t="shared" si="3"/>
        <v>0</v>
      </c>
      <c r="S26" s="712">
        <f t="shared" si="4"/>
        <v>7</v>
      </c>
    </row>
    <row r="27" spans="1:23" ht="54.75" customHeight="1" thickBot="1">
      <c r="A27" s="732"/>
      <c r="B27" s="732"/>
      <c r="C27" s="1875">
        <v>18</v>
      </c>
      <c r="D27" s="733" t="s">
        <v>1545</v>
      </c>
      <c r="E27" s="733" t="s">
        <v>1546</v>
      </c>
      <c r="F27" s="744">
        <v>44540</v>
      </c>
      <c r="G27" s="736">
        <v>0.76416309999999998</v>
      </c>
      <c r="H27" s="1876">
        <v>1.3118021390074008</v>
      </c>
      <c r="I27" s="738">
        <v>9.9000000000000019E-2</v>
      </c>
      <c r="J27" s="739">
        <f t="shared" si="2"/>
        <v>0.35022287361799481</v>
      </c>
      <c r="K27" s="739">
        <f t="shared" ca="1" si="0"/>
        <v>0.69543052063393374</v>
      </c>
      <c r="L27" s="740" t="s">
        <v>1527</v>
      </c>
      <c r="M27" s="740" t="s">
        <v>1547</v>
      </c>
      <c r="N27" s="740" t="s">
        <v>1548</v>
      </c>
      <c r="O27" s="1878" t="s">
        <v>1549</v>
      </c>
      <c r="P27" s="740">
        <f t="shared" si="1"/>
        <v>2.3874058863791925</v>
      </c>
      <c r="Q27" s="740" t="s">
        <v>671</v>
      </c>
      <c r="R27" s="712">
        <f t="shared" si="3"/>
        <v>0</v>
      </c>
      <c r="S27" s="712">
        <f t="shared" si="4"/>
        <v>7</v>
      </c>
    </row>
    <row r="28" spans="1:23" ht="35.25" customHeight="1" thickBot="1">
      <c r="A28" s="732"/>
      <c r="B28" s="732"/>
      <c r="C28" s="1875">
        <v>19</v>
      </c>
      <c r="D28" s="733" t="s">
        <v>1550</v>
      </c>
      <c r="E28" s="733" t="s">
        <v>1551</v>
      </c>
      <c r="F28" s="744">
        <v>44648</v>
      </c>
      <c r="G28" s="736">
        <v>0.79363070000000002</v>
      </c>
      <c r="H28" s="1876">
        <v>1.463101775764621</v>
      </c>
      <c r="I28" s="738">
        <v>9.9000000000000019E-2</v>
      </c>
      <c r="J28" s="739">
        <f t="shared" si="2"/>
        <v>0.34233973515177185</v>
      </c>
      <c r="K28" s="739">
        <f t="shared" ca="1" si="0"/>
        <v>0.67977713103330339</v>
      </c>
      <c r="L28" s="740" t="s">
        <v>1533</v>
      </c>
      <c r="M28" s="740" t="s">
        <v>1552</v>
      </c>
      <c r="N28" s="740" t="s">
        <v>1553</v>
      </c>
      <c r="O28" s="1878" t="s">
        <v>1554</v>
      </c>
      <c r="P28" s="740">
        <f t="shared" si="1"/>
        <v>2.0912408759124088</v>
      </c>
      <c r="Q28" s="740" t="s">
        <v>671</v>
      </c>
      <c r="R28" s="712">
        <f t="shared" si="3"/>
        <v>0</v>
      </c>
      <c r="S28" s="712">
        <f t="shared" si="4"/>
        <v>7</v>
      </c>
    </row>
    <row r="29" spans="1:23" ht="48.75" thickBot="1">
      <c r="A29" s="732"/>
      <c r="B29" s="732"/>
      <c r="C29" s="1875">
        <v>20</v>
      </c>
      <c r="D29" s="733" t="s">
        <v>1555</v>
      </c>
      <c r="E29" s="733" t="s">
        <v>1556</v>
      </c>
      <c r="F29" s="744">
        <v>44712</v>
      </c>
      <c r="G29" s="736">
        <v>0.67191140000000005</v>
      </c>
      <c r="H29" s="1876" t="e">
        <v>#VALUE!</v>
      </c>
      <c r="I29" s="738">
        <v>9.9000000000000019E-2</v>
      </c>
      <c r="J29" s="738" t="e">
        <f t="shared" si="2"/>
        <v>#VALUE!</v>
      </c>
      <c r="K29" s="738" t="e">
        <f t="shared" ca="1" si="0"/>
        <v>#VALUE!</v>
      </c>
      <c r="L29" s="740" t="s">
        <v>1557</v>
      </c>
      <c r="M29" s="740" t="s">
        <v>1558</v>
      </c>
      <c r="N29" s="740" t="s">
        <v>1559</v>
      </c>
      <c r="O29" s="1878" t="s">
        <v>1560</v>
      </c>
      <c r="P29" s="740">
        <f t="shared" si="1"/>
        <v>1.916058394160584</v>
      </c>
      <c r="Q29" s="740" t="s">
        <v>671</v>
      </c>
      <c r="R29" s="712">
        <f t="shared" si="3"/>
        <v>0</v>
      </c>
      <c r="S29" s="712">
        <f t="shared" si="4"/>
        <v>7</v>
      </c>
    </row>
    <row r="30" spans="1:23" ht="36.75" thickBot="1">
      <c r="A30" s="732"/>
      <c r="B30" s="732"/>
      <c r="C30" s="1875">
        <v>21</v>
      </c>
      <c r="D30" s="733" t="s">
        <v>1182</v>
      </c>
      <c r="E30" s="733" t="s">
        <v>1561</v>
      </c>
      <c r="F30" s="744">
        <v>44840</v>
      </c>
      <c r="G30" s="736">
        <v>0.57813720000000002</v>
      </c>
      <c r="H30" s="1876" t="e">
        <v>#VALUE!</v>
      </c>
      <c r="I30" s="738" t="e">
        <v>#N/A</v>
      </c>
      <c r="J30" s="738" t="e">
        <f t="shared" si="2"/>
        <v>#VALUE!</v>
      </c>
      <c r="K30" s="738" t="e">
        <f t="shared" ca="1" si="0"/>
        <v>#VALUE!</v>
      </c>
      <c r="L30" s="740" t="s">
        <v>1562</v>
      </c>
      <c r="M30" s="740" t="s">
        <v>1444</v>
      </c>
      <c r="N30" s="740" t="s">
        <v>1521</v>
      </c>
      <c r="O30" s="1878" t="s">
        <v>1563</v>
      </c>
      <c r="P30" s="740">
        <f t="shared" si="1"/>
        <v>1.5656934306569343</v>
      </c>
      <c r="Q30" s="740" t="s">
        <v>671</v>
      </c>
    </row>
    <row r="31" spans="1:23" ht="15.75" customHeight="1" thickBot="1">
      <c r="A31" s="732"/>
      <c r="B31" s="732"/>
      <c r="C31" s="1875">
        <v>22</v>
      </c>
      <c r="D31" s="733" t="s">
        <v>1564</v>
      </c>
      <c r="E31" s="733"/>
      <c r="F31" s="744">
        <v>45012</v>
      </c>
      <c r="G31" s="736" t="e">
        <v>#N/A</v>
      </c>
      <c r="H31" s="1876" t="e">
        <v>#N/A</v>
      </c>
      <c r="I31" s="733"/>
      <c r="J31" s="738" t="e">
        <f t="shared" si="2"/>
        <v>#N/A</v>
      </c>
      <c r="K31" s="738" t="e">
        <f t="shared" ca="1" si="0"/>
        <v>#N/A</v>
      </c>
      <c r="L31" s="740" t="s">
        <v>1533</v>
      </c>
      <c r="M31" s="733"/>
      <c r="N31" s="744"/>
      <c r="O31" s="733"/>
      <c r="P31" s="740">
        <f t="shared" si="1"/>
        <v>1.094391244870041</v>
      </c>
      <c r="Q31" s="740" t="s">
        <v>671</v>
      </c>
    </row>
    <row r="32" spans="1:23" ht="15.75" customHeight="1" thickBot="1">
      <c r="A32" s="732"/>
      <c r="B32" s="732"/>
      <c r="C32" s="1875">
        <v>23</v>
      </c>
      <c r="D32" s="733" t="s">
        <v>1565</v>
      </c>
      <c r="E32" s="733"/>
      <c r="F32" s="744">
        <v>45026</v>
      </c>
      <c r="G32" s="736" t="e">
        <v>#N/A</v>
      </c>
      <c r="H32" s="1876" t="e">
        <v>#N/A</v>
      </c>
      <c r="I32" s="733"/>
      <c r="J32" s="738" t="e">
        <f t="shared" si="2"/>
        <v>#N/A</v>
      </c>
      <c r="K32" s="738" t="e">
        <f t="shared" ca="1" si="0"/>
        <v>#N/A</v>
      </c>
      <c r="L32" s="740" t="s">
        <v>1527</v>
      </c>
      <c r="M32" s="740"/>
      <c r="N32" s="740"/>
      <c r="O32" s="740"/>
      <c r="P32" s="740">
        <f t="shared" si="1"/>
        <v>1.0560875512995895</v>
      </c>
      <c r="Q32" s="740" t="s">
        <v>671</v>
      </c>
    </row>
    <row r="33" spans="1:17" ht="15.75" customHeight="1" thickBot="1">
      <c r="A33" s="748"/>
      <c r="B33" s="748"/>
      <c r="D33" s="750"/>
      <c r="E33" s="750"/>
      <c r="F33" s="751"/>
      <c r="G33" s="752">
        <f ca="1">AVERAGEIF($Q$10:$S$32,"O",G10:G32)</f>
        <v>0.64813605714285727</v>
      </c>
      <c r="H33" s="1910">
        <f ca="1">AVERAGEIF($Q$10:$S$32,"O",H10:H32)</f>
        <v>1.2461187103863465</v>
      </c>
      <c r="I33" s="754"/>
      <c r="J33" s="752">
        <f ca="1">AVERAGEIF($Q$10:$S$32,"O",J10:J32)</f>
        <v>0.3535164191263756</v>
      </c>
      <c r="K33" s="752">
        <f ca="1">AVERAGEIF($Q$10:$Q$32,"O",K10:K32)</f>
        <v>0.70197044774938278</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1566</v>
      </c>
      <c r="D35" s="750"/>
      <c r="E35" s="750"/>
      <c r="F35" s="751"/>
      <c r="G35" s="759"/>
      <c r="H35" s="760"/>
      <c r="I35" s="760"/>
      <c r="J35" s="761"/>
      <c r="K35" s="761"/>
      <c r="L35" s="756"/>
      <c r="O35" s="757"/>
      <c r="P35" s="757"/>
      <c r="Q35" s="757"/>
    </row>
    <row r="36" spans="1:17" ht="15.75" customHeight="1">
      <c r="A36" s="748"/>
      <c r="B36" s="748"/>
      <c r="C36" s="1894" t="s">
        <v>1567</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1568</v>
      </c>
    </row>
    <row r="41" spans="1:17" s="766" customFormat="1" ht="12.75" thickBot="1">
      <c r="C41" s="768" t="s">
        <v>266</v>
      </c>
      <c r="D41" s="768" t="s">
        <v>267</v>
      </c>
      <c r="E41" s="768" t="s">
        <v>1569</v>
      </c>
      <c r="F41" s="768" t="s">
        <v>1570</v>
      </c>
      <c r="G41" s="768" t="s">
        <v>1571</v>
      </c>
      <c r="H41" s="769" t="s">
        <v>1497</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0.64424459999999995</v>
      </c>
      <c r="F42" s="773">
        <f>IFERROR(INDEX($H$10:$H$32,MATCH(C42,$D$10:$D$32,0)),"")</f>
        <v>2.4405186791809941</v>
      </c>
      <c r="G42" s="772">
        <f>IFERROR(INDEX($J$10:$J$32,MATCH(C42,$D$10:$D$32,0)),"")</f>
        <v>0.21984491784251803</v>
      </c>
      <c r="H42" s="772">
        <f ca="1">IFERROR(INDEX($K$10:$K$32,MATCH(C42,$D$10:$D$32,0)),"")</f>
        <v>0.43654163445848448</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0.82383399999999996</v>
      </c>
      <c r="F43" s="773">
        <f t="shared" ref="F43:F53" si="8">IFERROR(INDEX($H$10:$H$32,MATCH(C43,$D$10:$D$32,0)),"")</f>
        <v>1.5935511478582172</v>
      </c>
      <c r="G43" s="772">
        <f t="shared" ref="G43:G53" si="9">IFERROR(INDEX($J$10:$J$32,MATCH(C43,$D$10:$D$32,0)),"")</f>
        <v>0.36444785656746603</v>
      </c>
      <c r="H43" s="772">
        <f t="shared" ref="H43:H53" ca="1" si="10">IFERROR(INDEX($K$10:$K$32,MATCH(C43,$D$10:$D$32,0)),"")</f>
        <v>0.72367678335334085</v>
      </c>
    </row>
    <row r="44" spans="1:17" s="766" customFormat="1" ht="12.75" thickBot="1">
      <c r="A44" s="770">
        <v>3</v>
      </c>
      <c r="B44" s="770"/>
      <c r="C44" s="771" t="str">
        <f t="shared" si="5"/>
        <v>모두투어리츠</v>
      </c>
      <c r="D44" s="771" t="str">
        <f t="shared" si="6"/>
        <v>자기관리</v>
      </c>
      <c r="E44" s="772">
        <f t="shared" si="7"/>
        <v>0.7863232</v>
      </c>
      <c r="F44" s="773">
        <f t="shared" si="8"/>
        <v>1.0306339551170889</v>
      </c>
      <c r="G44" s="772">
        <f t="shared" si="9"/>
        <v>0.43318068135002641</v>
      </c>
      <c r="H44" s="772">
        <f t="shared" ca="1" si="10"/>
        <v>0.86015817198849187</v>
      </c>
    </row>
    <row r="45" spans="1:17" s="766" customFormat="1" ht="12.75" thickBot="1">
      <c r="A45" s="770">
        <v>4</v>
      </c>
      <c r="B45" s="770"/>
      <c r="C45" s="771" t="str">
        <f t="shared" si="5"/>
        <v>이리츠코크렙</v>
      </c>
      <c r="D45" s="771" t="str">
        <f t="shared" si="6"/>
        <v>기업구조조정</v>
      </c>
      <c r="E45" s="772">
        <f t="shared" si="7"/>
        <v>0.58807390000000004</v>
      </c>
      <c r="F45" s="773">
        <f t="shared" si="8"/>
        <v>1.0745946660622936</v>
      </c>
      <c r="G45" s="772">
        <f t="shared" si="9"/>
        <v>0.3178770310414768</v>
      </c>
      <c r="H45" s="772">
        <f t="shared" ca="1" si="10"/>
        <v>0.63120203118390772</v>
      </c>
    </row>
    <row r="46" spans="1:17" s="766" customFormat="1" ht="12.75" thickBot="1">
      <c r="A46" s="770">
        <v>5</v>
      </c>
      <c r="B46" s="770"/>
      <c r="C46" s="771" t="str">
        <f t="shared" si="5"/>
        <v>신한알파리츠</v>
      </c>
      <c r="D46" s="771" t="str">
        <f t="shared" si="6"/>
        <v>위탁관리</v>
      </c>
      <c r="E46" s="772">
        <f t="shared" si="7"/>
        <v>0.52265720000000004</v>
      </c>
      <c r="F46" s="773">
        <f t="shared" si="8"/>
        <v>1.7196696102989415</v>
      </c>
      <c r="G46" s="772">
        <f t="shared" si="9"/>
        <v>0.22144064482036988</v>
      </c>
      <c r="H46" s="772">
        <f t="shared" ca="1" si="10"/>
        <v>0.43971023744415799</v>
      </c>
    </row>
    <row r="47" spans="1:17" s="766" customFormat="1" ht="12.75" thickBot="1">
      <c r="A47" s="770">
        <v>6</v>
      </c>
      <c r="B47" s="770"/>
      <c r="C47" s="771" t="str">
        <f t="shared" si="5"/>
        <v>롯데리츠</v>
      </c>
      <c r="D47" s="771" t="str">
        <f t="shared" si="6"/>
        <v>위탁관리</v>
      </c>
      <c r="E47" s="772">
        <f t="shared" si="7"/>
        <v>0.63634049999999998</v>
      </c>
      <c r="F47" s="773">
        <f t="shared" si="8"/>
        <v>0.86386291418688987</v>
      </c>
      <c r="G47" s="772">
        <f t="shared" si="9"/>
        <v>0.38234480226277201</v>
      </c>
      <c r="H47" s="772">
        <f t="shared" ca="1" si="10"/>
        <v>0.75921438869039104</v>
      </c>
    </row>
    <row r="48" spans="1:17" s="766" customFormat="1" ht="12.75" thickBot="1">
      <c r="A48" s="770">
        <v>7</v>
      </c>
      <c r="B48" s="770"/>
      <c r="C48" s="771" t="str">
        <f t="shared" si="5"/>
        <v>NH프라임리츠</v>
      </c>
      <c r="D48" s="771" t="str">
        <f t="shared" si="6"/>
        <v>위탁관리</v>
      </c>
      <c r="E48" s="772">
        <f t="shared" si="7"/>
        <v>0.53547900000000004</v>
      </c>
      <c r="F48" s="773">
        <f t="shared" si="8"/>
        <v>0</v>
      </c>
      <c r="G48" s="772">
        <f t="shared" si="9"/>
        <v>0.53547900000000004</v>
      </c>
      <c r="H48" s="772">
        <f t="shared" ca="1" si="10"/>
        <v>1.0632898871269056</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0.64813605714285727</v>
      </c>
      <c r="F54" s="1789">
        <f t="shared" ref="F54:H54" si="12">AVERAGE(F42:F53)</f>
        <v>1.2461187103863465</v>
      </c>
      <c r="G54" s="776">
        <f t="shared" si="12"/>
        <v>0.3535164191263756</v>
      </c>
      <c r="H54" s="776">
        <f t="shared" ca="1" si="12"/>
        <v>0.70197044774938278</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1572</v>
      </c>
      <c r="D57" s="778"/>
      <c r="E57" s="778"/>
      <c r="F57" s="779"/>
    </row>
    <row r="58" spans="1:18" s="766" customFormat="1" ht="17.25" thickBot="1">
      <c r="C58" s="780" t="s">
        <v>345</v>
      </c>
      <c r="D58" s="781" t="s">
        <v>346</v>
      </c>
      <c r="E58" s="1790">
        <f>N6</f>
        <v>45473</v>
      </c>
      <c r="F58" s="778"/>
      <c r="G58" s="1791">
        <v>45382</v>
      </c>
      <c r="K58" s="782"/>
      <c r="L58" s="782"/>
      <c r="M58" s="782"/>
      <c r="N58" s="782"/>
      <c r="O58" s="782"/>
      <c r="P58" s="782"/>
      <c r="Q58" s="782"/>
      <c r="R58" s="782"/>
    </row>
    <row r="59" spans="1:18" s="766" customFormat="1" ht="12.75" thickBot="1">
      <c r="C59" s="783" t="s">
        <v>1573</v>
      </c>
      <c r="D59" s="1895" t="s">
        <v>358</v>
      </c>
      <c r="E59" s="784">
        <f ca="1">G33</f>
        <v>0.64813605714285727</v>
      </c>
      <c r="G59" s="1792">
        <v>0.65596442999999993</v>
      </c>
      <c r="K59" s="786"/>
      <c r="L59" s="786"/>
      <c r="M59" s="786"/>
      <c r="N59" s="786"/>
      <c r="O59" s="786"/>
      <c r="P59" s="786"/>
      <c r="Q59" s="786"/>
      <c r="R59" s="786"/>
    </row>
    <row r="60" spans="1:18" s="766" customFormat="1" ht="12.75" thickBot="1">
      <c r="C60" s="783" t="s">
        <v>360</v>
      </c>
      <c r="D60" s="1895" t="s">
        <v>358</v>
      </c>
      <c r="E60" s="787">
        <f ca="1">H33</f>
        <v>1.2461187103863465</v>
      </c>
      <c r="G60" s="1793">
        <v>2.0304065873053907</v>
      </c>
      <c r="K60" s="789"/>
      <c r="L60" s="789"/>
      <c r="M60" s="789"/>
      <c r="N60" s="789"/>
      <c r="O60" s="789"/>
      <c r="P60" s="789"/>
      <c r="Q60" s="789"/>
      <c r="R60" s="789"/>
    </row>
    <row r="61" spans="1:18" s="766" customFormat="1" ht="24.75" thickBot="1">
      <c r="C61" s="790" t="s">
        <v>1574</v>
      </c>
      <c r="D61" s="1896" t="s">
        <v>757</v>
      </c>
      <c r="E61" s="784">
        <f ca="1">J33</f>
        <v>0.3535164191263756</v>
      </c>
      <c r="G61" s="1792">
        <v>0.25596007466350862</v>
      </c>
      <c r="K61" s="786"/>
      <c r="L61" s="786"/>
      <c r="M61" s="786"/>
      <c r="N61" s="786"/>
      <c r="O61" s="786"/>
      <c r="P61" s="786"/>
      <c r="Q61" s="786"/>
      <c r="R61" s="792"/>
    </row>
    <row r="62" spans="1:18" s="766" customFormat="1" ht="24.75" thickBot="1">
      <c r="C62" s="793" t="s">
        <v>1283</v>
      </c>
      <c r="D62" s="1896" t="s">
        <v>1575</v>
      </c>
      <c r="E62" s="1911">
        <f ca="1">E61*(1+$E$60*(1-$E$67))</f>
        <v>0.70197044774938278</v>
      </c>
      <c r="G62" s="1792">
        <v>0.66704516481552689</v>
      </c>
      <c r="K62" s="786"/>
      <c r="L62" s="786"/>
      <c r="M62" s="786"/>
      <c r="N62" s="786"/>
      <c r="O62" s="786"/>
      <c r="P62" s="786"/>
      <c r="Q62" s="786"/>
      <c r="R62" s="786"/>
    </row>
    <row r="63" spans="1:18" s="766" customFormat="1" ht="24.75" thickBot="1">
      <c r="C63" s="793" t="s">
        <v>367</v>
      </c>
      <c r="D63" s="1896" t="s">
        <v>1576</v>
      </c>
      <c r="E63" s="795">
        <f>E68</f>
        <v>3.6499999999999998E-2</v>
      </c>
      <c r="G63" s="1794">
        <v>3.6400000000000002E-2</v>
      </c>
      <c r="K63" s="789"/>
      <c r="L63" s="789"/>
      <c r="M63" s="789"/>
      <c r="N63" s="789"/>
      <c r="O63" s="789"/>
      <c r="P63" s="789"/>
      <c r="Q63" s="789"/>
      <c r="R63" s="789"/>
    </row>
    <row r="64" spans="1:18" s="766" customFormat="1" ht="24.75" thickBot="1">
      <c r="C64" s="793" t="s">
        <v>1577</v>
      </c>
      <c r="D64" s="1896" t="s">
        <v>1578</v>
      </c>
      <c r="E64" s="797">
        <f>E69</f>
        <v>0.114</v>
      </c>
      <c r="G64" s="1794">
        <v>0.1115</v>
      </c>
      <c r="K64" s="789"/>
      <c r="L64" s="789"/>
      <c r="M64" s="789"/>
      <c r="N64" s="789"/>
      <c r="O64" s="789"/>
      <c r="P64" s="789"/>
      <c r="Q64" s="789"/>
      <c r="R64" s="789"/>
    </row>
    <row r="65" spans="3:18" s="766" customFormat="1" ht="12.75" thickBot="1">
      <c r="C65" s="798" t="s">
        <v>1579</v>
      </c>
      <c r="D65" s="799" t="s">
        <v>373</v>
      </c>
      <c r="E65" s="800">
        <f ca="1">E63+E62*E64</f>
        <v>0.11652463104342964</v>
      </c>
      <c r="F65" s="801"/>
      <c r="G65" s="1795">
        <v>0.11077553587693126</v>
      </c>
      <c r="H65" s="801">
        <f ca="1">E65-G65</f>
        <v>5.7490951664983803E-3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1580</v>
      </c>
      <c r="E67" s="788">
        <v>0.20899999999999999</v>
      </c>
    </row>
    <row r="68" spans="3:18" ht="15.75" customHeight="1">
      <c r="C68" s="1897">
        <v>45412</v>
      </c>
      <c r="D68" s="785" t="s">
        <v>1581</v>
      </c>
      <c r="E68" s="1862">
        <v>3.6499999999999998E-2</v>
      </c>
    </row>
    <row r="69" spans="3:18" ht="15.75" customHeight="1">
      <c r="C69" s="1897">
        <v>45412</v>
      </c>
      <c r="D69" s="785" t="s">
        <v>1582</v>
      </c>
      <c r="E69" s="794">
        <v>0.114</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71" priority="15">
      <formula>$L33="O"</formula>
    </cfRule>
  </conditionalFormatting>
  <conditionalFormatting sqref="P31:P32 C11:F30 C10:P10 I11:P30 G11:H32">
    <cfRule type="expression" dxfId="70" priority="16">
      <formula>$Q10="O"</formula>
    </cfRule>
  </conditionalFormatting>
  <conditionalFormatting sqref="J22:K30">
    <cfRule type="expression" dxfId="69" priority="14">
      <formula>$Q22="O"</formula>
    </cfRule>
  </conditionalFormatting>
  <conditionalFormatting sqref="I22:I30">
    <cfRule type="expression" dxfId="68" priority="13">
      <formula>$P22="O"</formula>
    </cfRule>
  </conditionalFormatting>
  <conditionalFormatting sqref="C31:F32 M31:O31 I31:I32">
    <cfRule type="expression" dxfId="67" priority="12">
      <formula>$Q31="O"</formula>
    </cfRule>
  </conditionalFormatting>
  <conditionalFormatting sqref="J29:K30">
    <cfRule type="expression" dxfId="66" priority="11">
      <formula>$P29="O"</formula>
    </cfRule>
  </conditionalFormatting>
  <conditionalFormatting sqref="J33">
    <cfRule type="expression" dxfId="65" priority="6">
      <formula>$L33="O"</formula>
    </cfRule>
  </conditionalFormatting>
  <conditionalFormatting sqref="K33">
    <cfRule type="expression" dxfId="64" priority="10">
      <formula>$L33="O"</formula>
    </cfRule>
  </conditionalFormatting>
  <conditionalFormatting sqref="L33:Q33">
    <cfRule type="expression" dxfId="63" priority="9">
      <formula>$Q33="O"</formula>
    </cfRule>
  </conditionalFormatting>
  <conditionalFormatting sqref="L31">
    <cfRule type="expression" dxfId="62" priority="8">
      <formula>$Q31="O"</formula>
    </cfRule>
  </conditionalFormatting>
  <conditionalFormatting sqref="L32:O32">
    <cfRule type="expression" dxfId="61" priority="7">
      <formula>$Q32="O"</formula>
    </cfRule>
  </conditionalFormatting>
  <conditionalFormatting sqref="J31:K32">
    <cfRule type="expression" dxfId="60" priority="5">
      <formula>$Q31="O"</formula>
    </cfRule>
  </conditionalFormatting>
  <conditionalFormatting sqref="J31:K32">
    <cfRule type="expression" dxfId="59" priority="4">
      <formula>$Q31="O"</formula>
    </cfRule>
  </conditionalFormatting>
  <conditionalFormatting sqref="J31:K32">
    <cfRule type="expression" dxfId="58" priority="3">
      <formula>$P31="O"</formula>
    </cfRule>
  </conditionalFormatting>
  <conditionalFormatting sqref="Q10:Q32">
    <cfRule type="expression" dxfId="57" priority="1">
      <formula>$Q10="O"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5"/>
  <sheetViews>
    <sheetView showGridLines="0" topLeftCell="A25" zoomScale="80" zoomScaleNormal="80" workbookViewId="0">
      <pane xSplit="4" topLeftCell="E1" activePane="topRight" state="frozen"/>
      <selection activeCell="K27" sqref="K27"/>
      <selection pane="topRight" activeCell="E42" sqref="E42:H48"/>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674</v>
      </c>
      <c r="D1" s="711"/>
      <c r="E1" s="711"/>
      <c r="F1" s="711"/>
      <c r="G1" s="711"/>
      <c r="H1" s="711"/>
      <c r="I1" s="711"/>
      <c r="J1" s="711"/>
      <c r="K1" s="711"/>
      <c r="R1" s="713" t="s">
        <v>2205</v>
      </c>
    </row>
    <row r="2" spans="1:23" ht="15.75" customHeight="1" thickBot="1">
      <c r="A2" s="709"/>
      <c r="B2" s="709"/>
      <c r="C2" s="710"/>
      <c r="D2" s="711"/>
      <c r="E2" s="711"/>
      <c r="F2" s="711"/>
      <c r="G2" s="711"/>
      <c r="H2" s="711"/>
      <c r="I2" s="711"/>
      <c r="J2" s="711"/>
      <c r="K2" s="711"/>
      <c r="R2" s="713" t="s">
        <v>2206</v>
      </c>
    </row>
    <row r="3" spans="1:23" ht="15.75" customHeight="1" thickBot="1">
      <c r="C3" s="714" t="s">
        <v>677</v>
      </c>
      <c r="E3" s="715"/>
      <c r="L3" s="716"/>
      <c r="N3" s="717"/>
      <c r="O3" s="718"/>
      <c r="P3" s="719"/>
      <c r="Q3" s="719"/>
      <c r="R3" s="719"/>
      <c r="S3" s="719"/>
      <c r="T3" s="719"/>
      <c r="U3" s="718"/>
    </row>
    <row r="4" spans="1:23" ht="15.75" customHeight="1" thickTop="1">
      <c r="C4" s="1866" t="s">
        <v>2207</v>
      </c>
      <c r="N4" s="717"/>
      <c r="O4" s="718"/>
      <c r="P4" s="718"/>
      <c r="Q4" s="718"/>
      <c r="R4" s="718"/>
      <c r="S4" s="718"/>
      <c r="T4" s="718"/>
      <c r="U4" s="718"/>
      <c r="V4" s="717"/>
    </row>
    <row r="5" spans="1:23" ht="15.75" customHeight="1" thickBot="1">
      <c r="C5" s="1867" t="s">
        <v>2208</v>
      </c>
      <c r="N5" s="717"/>
      <c r="O5" s="718"/>
      <c r="P5" s="718"/>
      <c r="Q5" s="718"/>
      <c r="R5" s="718"/>
      <c r="S5" s="718"/>
      <c r="T5" s="718"/>
      <c r="U5" s="718"/>
      <c r="V5" s="717"/>
    </row>
    <row r="6" spans="1:23" ht="15.75" customHeight="1" thickBot="1">
      <c r="M6" s="2377" t="s">
        <v>821</v>
      </c>
      <c r="N6" s="1869">
        <v>45565</v>
      </c>
      <c r="Q6" s="718"/>
      <c r="R6" s="718"/>
      <c r="S6" s="718"/>
      <c r="T6" s="718"/>
      <c r="U6" s="718"/>
    </row>
    <row r="7" spans="1:23" ht="15.75" customHeight="1" thickBot="1">
      <c r="J7" s="724" t="s">
        <v>2209</v>
      </c>
      <c r="K7" s="725">
        <v>0.20899999999999999</v>
      </c>
      <c r="M7" s="2378" t="s">
        <v>2210</v>
      </c>
      <c r="N7" s="1871">
        <v>45537</v>
      </c>
      <c r="Q7" s="728"/>
      <c r="R7" s="728"/>
      <c r="S7" s="718"/>
      <c r="T7" s="718"/>
      <c r="U7" s="718"/>
    </row>
    <row r="8" spans="1:23" ht="15.75" customHeight="1" thickBot="1">
      <c r="G8" s="729"/>
      <c r="H8" s="729"/>
      <c r="I8" s="729"/>
      <c r="J8" s="729"/>
      <c r="K8" s="729"/>
      <c r="N8" s="718"/>
      <c r="O8" s="718"/>
      <c r="P8" s="728"/>
      <c r="Q8" s="730" t="s">
        <v>2211</v>
      </c>
      <c r="R8" s="728"/>
      <c r="W8" s="718"/>
    </row>
    <row r="9" spans="1:23" ht="15.75" customHeight="1" thickTop="1" thickBot="1">
      <c r="C9" s="1872" t="s">
        <v>1150</v>
      </c>
      <c r="D9" s="1873" t="s">
        <v>255</v>
      </c>
      <c r="E9" s="1873" t="s">
        <v>257</v>
      </c>
      <c r="F9" s="1873" t="s">
        <v>258</v>
      </c>
      <c r="G9" s="1873" t="s">
        <v>2212</v>
      </c>
      <c r="H9" s="1873" t="s">
        <v>2213</v>
      </c>
      <c r="I9" s="1874" t="s">
        <v>2214</v>
      </c>
      <c r="J9" s="1873" t="s">
        <v>2215</v>
      </c>
      <c r="K9" s="1873" t="s">
        <v>2216</v>
      </c>
      <c r="L9" s="1873" t="s">
        <v>687</v>
      </c>
      <c r="M9" s="1873" t="s">
        <v>688</v>
      </c>
      <c r="N9" s="1873" t="s">
        <v>689</v>
      </c>
      <c r="O9" s="1873" t="s">
        <v>690</v>
      </c>
      <c r="P9" s="1873" t="s">
        <v>2217</v>
      </c>
      <c r="Q9" s="1873" t="s">
        <v>2218</v>
      </c>
      <c r="W9" s="718"/>
    </row>
    <row r="10" spans="1:23" ht="25.5" thickTop="1" thickBot="1">
      <c r="A10" s="732"/>
      <c r="B10" s="732"/>
      <c r="C10" s="1875">
        <v>1</v>
      </c>
      <c r="D10" s="734" t="s">
        <v>273</v>
      </c>
      <c r="E10" s="734" t="s">
        <v>275</v>
      </c>
      <c r="F10" s="735">
        <v>40738</v>
      </c>
      <c r="G10" s="736">
        <v>0.54339190000000004</v>
      </c>
      <c r="H10" s="1876">
        <v>2.4397162575232354</v>
      </c>
      <c r="I10" s="738">
        <v>0.20900000000000002</v>
      </c>
      <c r="J10" s="739">
        <f>G10/(1+H10*(1-I10))</f>
        <v>0.18546966146069546</v>
      </c>
      <c r="K10" s="739">
        <f t="shared" ref="K10:K32" ca="1" si="0">J10*(1+$H$33*(1-$K$7))</f>
        <v>0.36651805803414317</v>
      </c>
      <c r="L10" s="740" t="s">
        <v>272</v>
      </c>
      <c r="M10" s="1877" t="s">
        <v>2219</v>
      </c>
      <c r="N10" s="740" t="s">
        <v>694</v>
      </c>
      <c r="O10" s="1878" t="s">
        <v>2220</v>
      </c>
      <c r="P10" s="740">
        <f t="shared" ref="P10:P32" si="1">YEARFRAC(F10,EOMONTH($N$6,-2),1)</f>
        <v>13.04732107938991</v>
      </c>
      <c r="Q10" s="740" t="s">
        <v>670</v>
      </c>
      <c r="R10" s="712">
        <f>IF(Q10="O",1,0)</f>
        <v>1</v>
      </c>
      <c r="S10" s="712">
        <f>R10</f>
        <v>1</v>
      </c>
      <c r="W10" s="718"/>
    </row>
    <row r="11" spans="1:23" ht="24.75" thickBot="1">
      <c r="A11" s="732"/>
      <c r="B11" s="732"/>
      <c r="C11" s="1875">
        <v>2</v>
      </c>
      <c r="D11" s="734" t="s">
        <v>278</v>
      </c>
      <c r="E11" s="734" t="s">
        <v>280</v>
      </c>
      <c r="F11" s="735">
        <v>40939</v>
      </c>
      <c r="G11" s="736">
        <v>0.7206226</v>
      </c>
      <c r="H11" s="1876">
        <v>1.5371287638907458</v>
      </c>
      <c r="I11" s="738">
        <v>0.20900000000000002</v>
      </c>
      <c r="J11" s="739">
        <f t="shared" ref="J11:J32" si="2">G11/(1+H11*(1-I11))</f>
        <v>0.3252099506125179</v>
      </c>
      <c r="K11" s="739">
        <f t="shared" ca="1" si="0"/>
        <v>0.64266747786747547</v>
      </c>
      <c r="L11" s="740" t="s">
        <v>2221</v>
      </c>
      <c r="M11" s="1877" t="s">
        <v>696</v>
      </c>
      <c r="N11" s="740" t="s">
        <v>2222</v>
      </c>
      <c r="O11" s="1878" t="s">
        <v>2223</v>
      </c>
      <c r="P11" s="740">
        <f t="shared" si="1"/>
        <v>12.496315013687092</v>
      </c>
      <c r="Q11" s="740" t="s">
        <v>670</v>
      </c>
      <c r="R11" s="712">
        <f t="shared" ref="R11:R29" si="3">IF(Q11="O",1,0)</f>
        <v>1</v>
      </c>
      <c r="S11" s="712">
        <f>S10+R11</f>
        <v>2</v>
      </c>
      <c r="W11" s="718"/>
    </row>
    <row r="12" spans="1:23" ht="12.75" thickBot="1">
      <c r="A12" s="732"/>
      <c r="B12" s="1879" t="s">
        <v>2224</v>
      </c>
      <c r="C12" s="1880">
        <v>3</v>
      </c>
      <c r="D12" s="1881" t="s">
        <v>283</v>
      </c>
      <c r="E12" s="1881" t="s">
        <v>285</v>
      </c>
      <c r="F12" s="1882">
        <v>42635</v>
      </c>
      <c r="G12" s="1883">
        <v>0.74270009999999997</v>
      </c>
      <c r="H12" s="1884">
        <v>1.2970854769358444</v>
      </c>
      <c r="I12" s="1885">
        <v>0.20900000000000002</v>
      </c>
      <c r="J12" s="1886">
        <f t="shared" si="2"/>
        <v>0.36658542698338703</v>
      </c>
      <c r="K12" s="1886">
        <f t="shared" ca="1" si="0"/>
        <v>0.72443211328145807</v>
      </c>
      <c r="L12" s="1887" t="s">
        <v>2225</v>
      </c>
      <c r="M12" s="1888" t="s">
        <v>696</v>
      </c>
      <c r="N12" s="1887" t="s">
        <v>700</v>
      </c>
      <c r="O12" s="1889" t="s">
        <v>2226</v>
      </c>
      <c r="P12" s="1887">
        <f t="shared" si="1"/>
        <v>7.8531021897810227</v>
      </c>
      <c r="Q12" s="740" t="s">
        <v>670</v>
      </c>
      <c r="R12" s="712">
        <f t="shared" si="3"/>
        <v>1</v>
      </c>
      <c r="S12" s="712">
        <f t="shared" ref="S12:S29" si="4">S11+R12</f>
        <v>3</v>
      </c>
      <c r="T12" s="1890" t="s">
        <v>2227</v>
      </c>
      <c r="W12" s="741"/>
    </row>
    <row r="13" spans="1:23" ht="12.75" thickBot="1">
      <c r="A13" s="732"/>
      <c r="B13" s="732"/>
      <c r="C13" s="1875">
        <v>4</v>
      </c>
      <c r="D13" s="734" t="s">
        <v>287</v>
      </c>
      <c r="E13" s="734" t="s">
        <v>289</v>
      </c>
      <c r="F13" s="735">
        <v>43278</v>
      </c>
      <c r="G13" s="736">
        <v>0.50185959999999996</v>
      </c>
      <c r="H13" s="1876">
        <v>1.2638810986788664</v>
      </c>
      <c r="I13" s="738">
        <v>0.20900000000000002</v>
      </c>
      <c r="J13" s="739">
        <f t="shared" si="2"/>
        <v>0.25096368649035078</v>
      </c>
      <c r="K13" s="739">
        <f t="shared" ca="1" si="0"/>
        <v>0.49594484771853531</v>
      </c>
      <c r="L13" s="740" t="s">
        <v>702</v>
      </c>
      <c r="M13" s="1877" t="s">
        <v>2228</v>
      </c>
      <c r="N13" s="740" t="s">
        <v>704</v>
      </c>
      <c r="O13" s="1878" t="s">
        <v>2229</v>
      </c>
      <c r="P13" s="740">
        <f t="shared" si="1"/>
        <v>6.0938599921783343</v>
      </c>
      <c r="Q13" s="740" t="s">
        <v>670</v>
      </c>
      <c r="R13" s="712">
        <f t="shared" si="3"/>
        <v>1</v>
      </c>
      <c r="S13" s="712">
        <f t="shared" si="4"/>
        <v>4</v>
      </c>
      <c r="W13" s="741"/>
    </row>
    <row r="14" spans="1:23" ht="36.75" thickBot="1">
      <c r="A14" s="732"/>
      <c r="B14" s="732"/>
      <c r="C14" s="1875">
        <v>5</v>
      </c>
      <c r="D14" s="734" t="s">
        <v>292</v>
      </c>
      <c r="E14" s="734" t="s">
        <v>294</v>
      </c>
      <c r="F14" s="735">
        <v>43320</v>
      </c>
      <c r="G14" s="736">
        <v>0.4735354</v>
      </c>
      <c r="H14" s="1876">
        <v>1.4864070728890635</v>
      </c>
      <c r="I14" s="738">
        <v>0.23100000000000001</v>
      </c>
      <c r="J14" s="739">
        <f t="shared" si="2"/>
        <v>0.22096360526437253</v>
      </c>
      <c r="K14" s="739">
        <f t="shared" ca="1" si="0"/>
        <v>0.43665983352691629</v>
      </c>
      <c r="L14" s="740" t="s">
        <v>706</v>
      </c>
      <c r="M14" s="1877" t="s">
        <v>2228</v>
      </c>
      <c r="N14" s="740" t="s">
        <v>708</v>
      </c>
      <c r="O14" s="1878" t="s">
        <v>2230</v>
      </c>
      <c r="P14" s="740">
        <f t="shared" si="1"/>
        <v>5.9788815017598749</v>
      </c>
      <c r="Q14" s="740" t="s">
        <v>670</v>
      </c>
      <c r="R14" s="712">
        <f t="shared" si="3"/>
        <v>1</v>
      </c>
      <c r="S14" s="712">
        <f t="shared" si="4"/>
        <v>5</v>
      </c>
      <c r="W14" s="741"/>
    </row>
    <row r="15" spans="1:23" ht="12.75" thickBot="1">
      <c r="A15" s="732"/>
      <c r="B15" s="732"/>
      <c r="C15" s="1875">
        <v>6</v>
      </c>
      <c r="D15" s="734" t="s">
        <v>296</v>
      </c>
      <c r="E15" s="734" t="s">
        <v>298</v>
      </c>
      <c r="F15" s="735">
        <v>43768</v>
      </c>
      <c r="G15" s="736">
        <v>0.59369229999999995</v>
      </c>
      <c r="H15" s="1876">
        <v>0.61438123449065529</v>
      </c>
      <c r="I15" s="738">
        <v>0.20899999999999999</v>
      </c>
      <c r="J15" s="739">
        <f t="shared" si="2"/>
        <v>0.39953032700316032</v>
      </c>
      <c r="K15" s="739">
        <f t="shared" ca="1" si="0"/>
        <v>0.78953656584948739</v>
      </c>
      <c r="L15" s="740" t="s">
        <v>706</v>
      </c>
      <c r="M15" s="1877" t="s">
        <v>696</v>
      </c>
      <c r="N15" s="740" t="s">
        <v>704</v>
      </c>
      <c r="O15" s="1878" t="s">
        <v>710</v>
      </c>
      <c r="P15" s="740">
        <f t="shared" si="1"/>
        <v>4.7518248175182487</v>
      </c>
      <c r="Q15" s="740" t="s">
        <v>670</v>
      </c>
      <c r="R15" s="712">
        <f t="shared" si="3"/>
        <v>1</v>
      </c>
      <c r="S15" s="712">
        <f t="shared" si="4"/>
        <v>6</v>
      </c>
      <c r="W15" s="741"/>
    </row>
    <row r="16" spans="1:23" ht="36.75" thickBot="1">
      <c r="A16" s="732"/>
      <c r="B16" s="732"/>
      <c r="C16" s="1875">
        <v>7</v>
      </c>
      <c r="D16" s="734" t="s">
        <v>300</v>
      </c>
      <c r="E16" s="734" t="s">
        <v>302</v>
      </c>
      <c r="F16" s="735">
        <v>43804</v>
      </c>
      <c r="G16" s="736">
        <v>0.49195359999999999</v>
      </c>
      <c r="H16" s="1876">
        <v>0</v>
      </c>
      <c r="I16" s="738">
        <v>0.20900000000000002</v>
      </c>
      <c r="J16" s="739">
        <f t="shared" si="2"/>
        <v>0.49195359999999999</v>
      </c>
      <c r="K16" s="739">
        <f t="shared" ca="1" si="0"/>
        <v>0.97217990637847118</v>
      </c>
      <c r="L16" s="740" t="s">
        <v>706</v>
      </c>
      <c r="M16" s="1877" t="s">
        <v>711</v>
      </c>
      <c r="N16" s="740" t="s">
        <v>708</v>
      </c>
      <c r="O16" s="1878" t="s">
        <v>2231</v>
      </c>
      <c r="P16" s="740">
        <f t="shared" si="1"/>
        <v>4.6532846715328473</v>
      </c>
      <c r="Q16" s="740" t="s">
        <v>670</v>
      </c>
      <c r="R16" s="712">
        <f t="shared" si="3"/>
        <v>1</v>
      </c>
      <c r="S16" s="712">
        <f t="shared" si="4"/>
        <v>7</v>
      </c>
      <c r="W16" s="741"/>
    </row>
    <row r="17" spans="1:23" ht="24.75" thickBot="1">
      <c r="A17" s="732"/>
      <c r="B17" s="732"/>
      <c r="C17" s="1875">
        <v>8</v>
      </c>
      <c r="D17" s="733" t="s">
        <v>2232</v>
      </c>
      <c r="E17" s="733" t="s">
        <v>2233</v>
      </c>
      <c r="F17" s="742">
        <v>44028</v>
      </c>
      <c r="G17" s="736">
        <v>0.53146260000000001</v>
      </c>
      <c r="H17" s="1876">
        <v>0.20347169273760607</v>
      </c>
      <c r="I17" s="738">
        <v>0.20899999999999999</v>
      </c>
      <c r="J17" s="739">
        <f t="shared" si="2"/>
        <v>0.4577840400173096</v>
      </c>
      <c r="K17" s="739">
        <f t="shared" ca="1" si="0"/>
        <v>0.90465532758696421</v>
      </c>
      <c r="L17" s="740" t="s">
        <v>706</v>
      </c>
      <c r="M17" s="1877" t="s">
        <v>2234</v>
      </c>
      <c r="N17" s="740" t="s">
        <v>2235</v>
      </c>
      <c r="O17" s="1878" t="s">
        <v>2236</v>
      </c>
      <c r="P17" s="740">
        <f t="shared" si="1"/>
        <v>4.0394088669950738</v>
      </c>
      <c r="Q17" s="740" t="s">
        <v>671</v>
      </c>
      <c r="R17" s="712">
        <f t="shared" si="3"/>
        <v>0</v>
      </c>
      <c r="S17" s="712">
        <f t="shared" si="4"/>
        <v>7</v>
      </c>
      <c r="W17" s="711"/>
    </row>
    <row r="18" spans="1:23" ht="24.75" thickBot="1">
      <c r="A18" s="732"/>
      <c r="B18" s="732"/>
      <c r="C18" s="1875">
        <v>9</v>
      </c>
      <c r="D18" s="733" t="s">
        <v>307</v>
      </c>
      <c r="E18" s="733" t="s">
        <v>2237</v>
      </c>
      <c r="F18" s="742">
        <v>44048</v>
      </c>
      <c r="G18" s="736">
        <v>0.63523890000000005</v>
      </c>
      <c r="H18" s="1876">
        <v>1.8803186177478552</v>
      </c>
      <c r="I18" s="738">
        <v>0.20900000000000002</v>
      </c>
      <c r="J18" s="739">
        <f t="shared" si="2"/>
        <v>0.25538966780340894</v>
      </c>
      <c r="K18" s="739">
        <f t="shared" ca="1" si="0"/>
        <v>0.50469130286910591</v>
      </c>
      <c r="L18" s="740" t="s">
        <v>706</v>
      </c>
      <c r="M18" s="1877" t="s">
        <v>696</v>
      </c>
      <c r="N18" s="740" t="s">
        <v>704</v>
      </c>
      <c r="O18" s="1878" t="s">
        <v>2238</v>
      </c>
      <c r="P18" s="740">
        <f t="shared" si="1"/>
        <v>3.984674329501916</v>
      </c>
      <c r="Q18" s="740" t="s">
        <v>671</v>
      </c>
      <c r="R18" s="712">
        <f t="shared" si="3"/>
        <v>0</v>
      </c>
      <c r="S18" s="712">
        <f t="shared" si="4"/>
        <v>7</v>
      </c>
      <c r="T18" s="717"/>
    </row>
    <row r="19" spans="1:23" ht="36.75" thickBot="1">
      <c r="A19" s="732"/>
      <c r="B19" s="732"/>
      <c r="C19" s="1875">
        <v>10</v>
      </c>
      <c r="D19" s="733" t="s">
        <v>310</v>
      </c>
      <c r="E19" s="733" t="s">
        <v>2239</v>
      </c>
      <c r="F19" s="742">
        <v>44048</v>
      </c>
      <c r="G19" s="736">
        <v>0.55687609999999999</v>
      </c>
      <c r="H19" s="1876">
        <v>0.95683297035007275</v>
      </c>
      <c r="I19" s="738">
        <v>0.20900000000000002</v>
      </c>
      <c r="J19" s="739">
        <f t="shared" si="2"/>
        <v>0.31697330638010252</v>
      </c>
      <c r="K19" s="739">
        <f t="shared" ca="1" si="0"/>
        <v>0.62639053626415686</v>
      </c>
      <c r="L19" s="740" t="s">
        <v>706</v>
      </c>
      <c r="M19" s="1877" t="s">
        <v>2234</v>
      </c>
      <c r="N19" s="740" t="s">
        <v>2240</v>
      </c>
      <c r="O19" s="1878" t="s">
        <v>2241</v>
      </c>
      <c r="P19" s="740">
        <f t="shared" si="1"/>
        <v>3.984674329501916</v>
      </c>
      <c r="Q19" s="740" t="s">
        <v>671</v>
      </c>
      <c r="R19" s="712">
        <f t="shared" si="3"/>
        <v>0</v>
      </c>
      <c r="S19" s="712">
        <f t="shared" si="4"/>
        <v>7</v>
      </c>
    </row>
    <row r="20" spans="1:23" ht="48.75" thickBot="1">
      <c r="A20" s="732"/>
      <c r="B20" s="732"/>
      <c r="C20" s="1875">
        <v>11</v>
      </c>
      <c r="D20" s="733" t="s">
        <v>313</v>
      </c>
      <c r="E20" s="733" t="s">
        <v>2242</v>
      </c>
      <c r="F20" s="742">
        <v>44050</v>
      </c>
      <c r="G20" s="736">
        <v>0.63963230000000004</v>
      </c>
      <c r="H20" s="1876">
        <v>1.3088036536057477</v>
      </c>
      <c r="I20" s="738">
        <v>0.23100000000000001</v>
      </c>
      <c r="J20" s="739">
        <f t="shared" si="2"/>
        <v>0.31878487938139644</v>
      </c>
      <c r="K20" s="739">
        <f t="shared" ca="1" si="0"/>
        <v>0.629970497607657</v>
      </c>
      <c r="L20" s="740" t="s">
        <v>706</v>
      </c>
      <c r="M20" s="1877" t="s">
        <v>2243</v>
      </c>
      <c r="N20" s="740" t="s">
        <v>2244</v>
      </c>
      <c r="O20" s="1878" t="s">
        <v>2245</v>
      </c>
      <c r="P20" s="740">
        <f t="shared" si="1"/>
        <v>3.9792008757526003</v>
      </c>
      <c r="Q20" s="740" t="s">
        <v>671</v>
      </c>
      <c r="R20" s="712">
        <f t="shared" si="3"/>
        <v>0</v>
      </c>
      <c r="S20" s="712">
        <f t="shared" si="4"/>
        <v>7</v>
      </c>
    </row>
    <row r="21" spans="1:23" ht="24.75" thickBot="1">
      <c r="A21" s="732"/>
      <c r="B21" s="732"/>
      <c r="C21" s="1875">
        <v>12</v>
      </c>
      <c r="D21" s="733" t="s">
        <v>316</v>
      </c>
      <c r="E21" s="733" t="s">
        <v>2246</v>
      </c>
      <c r="F21" s="742">
        <v>44074</v>
      </c>
      <c r="G21" s="736">
        <v>0.54092439999999997</v>
      </c>
      <c r="H21" s="1876">
        <v>1.5853304269094801</v>
      </c>
      <c r="I21" s="738">
        <v>0.23100000000000001</v>
      </c>
      <c r="J21" s="739">
        <f t="shared" si="2"/>
        <v>0.24375636279098176</v>
      </c>
      <c r="K21" s="739">
        <f t="shared" ca="1" si="0"/>
        <v>0.48170201002145996</v>
      </c>
      <c r="L21" s="740" t="s">
        <v>706</v>
      </c>
      <c r="M21" s="1877" t="s">
        <v>696</v>
      </c>
      <c r="N21" s="740" t="s">
        <v>725</v>
      </c>
      <c r="O21" s="1878" t="s">
        <v>2247</v>
      </c>
      <c r="P21" s="740">
        <f t="shared" si="1"/>
        <v>3.9135194307608101</v>
      </c>
      <c r="Q21" s="740" t="s">
        <v>671</v>
      </c>
      <c r="R21" s="712">
        <f t="shared" si="3"/>
        <v>0</v>
      </c>
      <c r="S21" s="712">
        <f t="shared" si="4"/>
        <v>7</v>
      </c>
    </row>
    <row r="22" spans="1:23" ht="12.75" thickBot="1">
      <c r="A22" s="732"/>
      <c r="B22" s="732"/>
      <c r="C22" s="1875">
        <v>13</v>
      </c>
      <c r="D22" s="733" t="s">
        <v>2248</v>
      </c>
      <c r="E22" s="733" t="s">
        <v>2249</v>
      </c>
      <c r="F22" s="742">
        <v>44188</v>
      </c>
      <c r="G22" s="736">
        <v>0.75234160000000005</v>
      </c>
      <c r="H22" s="1876">
        <v>1.0991486613256045</v>
      </c>
      <c r="I22" s="738">
        <v>0.23100000000000001</v>
      </c>
      <c r="J22" s="739">
        <f t="shared" si="2"/>
        <v>0.40771901254404813</v>
      </c>
      <c r="K22" s="739">
        <f t="shared" ca="1" si="0"/>
        <v>0.80571873331914934</v>
      </c>
      <c r="L22" s="740" t="s">
        <v>706</v>
      </c>
      <c r="M22" s="1877" t="s">
        <v>711</v>
      </c>
      <c r="N22" s="740" t="s">
        <v>729</v>
      </c>
      <c r="O22" s="1878" t="s">
        <v>730</v>
      </c>
      <c r="P22" s="740">
        <f t="shared" si="1"/>
        <v>3.6015325670498086</v>
      </c>
      <c r="Q22" s="740" t="s">
        <v>671</v>
      </c>
      <c r="R22" s="712">
        <f t="shared" si="3"/>
        <v>0</v>
      </c>
      <c r="S22" s="712">
        <f t="shared" si="4"/>
        <v>7</v>
      </c>
    </row>
    <row r="23" spans="1:23" ht="63.75" customHeight="1" thickBot="1">
      <c r="A23" s="732"/>
      <c r="B23" s="732"/>
      <c r="C23" s="1875">
        <v>14</v>
      </c>
      <c r="D23" s="733" t="s">
        <v>2250</v>
      </c>
      <c r="E23" s="733" t="s">
        <v>2251</v>
      </c>
      <c r="F23" s="744">
        <v>44435</v>
      </c>
      <c r="G23" s="736">
        <v>0.62727569999999999</v>
      </c>
      <c r="H23" s="1876">
        <v>2.0180617702247288</v>
      </c>
      <c r="I23" s="738">
        <v>9.9000000000000019E-2</v>
      </c>
      <c r="J23" s="739">
        <f t="shared" si="2"/>
        <v>0.22257444691123335</v>
      </c>
      <c r="K23" s="739">
        <f t="shared" ca="1" si="0"/>
        <v>0.43984311723789166</v>
      </c>
      <c r="L23" s="740" t="s">
        <v>2252</v>
      </c>
      <c r="M23" s="1877" t="s">
        <v>2253</v>
      </c>
      <c r="N23" s="740" t="s">
        <v>2254</v>
      </c>
      <c r="O23" s="1891" t="s">
        <v>2255</v>
      </c>
      <c r="P23" s="740">
        <f t="shared" si="1"/>
        <v>2.9267624914442161</v>
      </c>
      <c r="Q23" s="740" t="s">
        <v>671</v>
      </c>
      <c r="R23" s="712">
        <f t="shared" si="3"/>
        <v>0</v>
      </c>
      <c r="S23" s="712">
        <f t="shared" si="4"/>
        <v>7</v>
      </c>
    </row>
    <row r="24" spans="1:23" ht="76.5" customHeight="1" thickBot="1">
      <c r="A24" s="732"/>
      <c r="B24" s="732"/>
      <c r="C24" s="1875">
        <v>15</v>
      </c>
      <c r="D24" s="733" t="s">
        <v>2256</v>
      </c>
      <c r="E24" s="733" t="s">
        <v>2257</v>
      </c>
      <c r="F24" s="744">
        <v>44453</v>
      </c>
      <c r="G24" s="736">
        <v>0.64068689999999995</v>
      </c>
      <c r="H24" s="1876">
        <v>1.1322689316633499</v>
      </c>
      <c r="I24" s="738">
        <v>0.20899999999999999</v>
      </c>
      <c r="J24" s="739">
        <f t="shared" si="2"/>
        <v>0.3379819283684164</v>
      </c>
      <c r="K24" s="739">
        <f t="shared" ca="1" si="0"/>
        <v>0.66790697228117091</v>
      </c>
      <c r="L24" s="740" t="s">
        <v>2258</v>
      </c>
      <c r="M24" s="1877" t="s">
        <v>2259</v>
      </c>
      <c r="N24" s="740" t="s">
        <v>2260</v>
      </c>
      <c r="O24" s="1878" t="s">
        <v>2261</v>
      </c>
      <c r="P24" s="740">
        <f t="shared" si="1"/>
        <v>2.8774811772758384</v>
      </c>
      <c r="Q24" s="740" t="s">
        <v>671</v>
      </c>
      <c r="R24" s="712">
        <f t="shared" si="3"/>
        <v>0</v>
      </c>
      <c r="S24" s="712">
        <f t="shared" si="4"/>
        <v>7</v>
      </c>
    </row>
    <row r="25" spans="1:23" ht="60.75" thickBot="1">
      <c r="A25" s="732"/>
      <c r="B25" s="732"/>
      <c r="C25" s="1875">
        <v>16</v>
      </c>
      <c r="D25" s="733" t="s">
        <v>2262</v>
      </c>
      <c r="E25" s="733" t="s">
        <v>2263</v>
      </c>
      <c r="F25" s="744">
        <v>44518</v>
      </c>
      <c r="G25" s="736">
        <v>0.63808240000000005</v>
      </c>
      <c r="H25" s="1876">
        <v>2.8621378539838886</v>
      </c>
      <c r="I25" s="738">
        <v>0.20900000000000002</v>
      </c>
      <c r="J25" s="739">
        <f t="shared" si="2"/>
        <v>0.1954938636306934</v>
      </c>
      <c r="K25" s="739">
        <f t="shared" ca="1" si="0"/>
        <v>0.38632750332969029</v>
      </c>
      <c r="L25" s="740" t="s">
        <v>2258</v>
      </c>
      <c r="M25" s="1877" t="s">
        <v>2259</v>
      </c>
      <c r="N25" s="740" t="s">
        <v>2264</v>
      </c>
      <c r="O25" s="1878" t="s">
        <v>2265</v>
      </c>
      <c r="P25" s="740">
        <f t="shared" si="1"/>
        <v>2.6995208761122518</v>
      </c>
      <c r="Q25" s="740" t="s">
        <v>671</v>
      </c>
      <c r="R25" s="712">
        <f t="shared" si="3"/>
        <v>0</v>
      </c>
      <c r="S25" s="712">
        <f t="shared" si="4"/>
        <v>7</v>
      </c>
    </row>
    <row r="26" spans="1:23" ht="15.75" customHeight="1" thickBot="1">
      <c r="A26" s="732"/>
      <c r="B26" s="732"/>
      <c r="C26" s="1875">
        <v>17</v>
      </c>
      <c r="D26" s="733" t="s">
        <v>2266</v>
      </c>
      <c r="E26" s="733" t="s">
        <v>1542</v>
      </c>
      <c r="F26" s="744">
        <v>44533</v>
      </c>
      <c r="G26" s="736">
        <v>0.70659850000000002</v>
      </c>
      <c r="H26" s="1876">
        <v>1.4910485083884535</v>
      </c>
      <c r="I26" s="738">
        <v>9.9000000000000019E-2</v>
      </c>
      <c r="J26" s="739">
        <f t="shared" si="2"/>
        <v>0.30152258911817653</v>
      </c>
      <c r="K26" s="739">
        <f t="shared" ca="1" si="0"/>
        <v>0.59585741919543456</v>
      </c>
      <c r="L26" s="740" t="s">
        <v>2252</v>
      </c>
      <c r="M26" s="740" t="s">
        <v>2267</v>
      </c>
      <c r="N26" s="740" t="s">
        <v>2268</v>
      </c>
      <c r="O26" s="1878" t="s">
        <v>2269</v>
      </c>
      <c r="P26" s="740">
        <f t="shared" si="1"/>
        <v>2.6584531143052703</v>
      </c>
      <c r="Q26" s="740" t="s">
        <v>671</v>
      </c>
      <c r="R26" s="712">
        <f t="shared" si="3"/>
        <v>0</v>
      </c>
      <c r="S26" s="712">
        <f t="shared" si="4"/>
        <v>7</v>
      </c>
    </row>
    <row r="27" spans="1:23" ht="54.75" customHeight="1" thickBot="1">
      <c r="A27" s="732"/>
      <c r="B27" s="732"/>
      <c r="C27" s="1875">
        <v>18</v>
      </c>
      <c r="D27" s="733" t="s">
        <v>2270</v>
      </c>
      <c r="E27" s="733" t="s">
        <v>2271</v>
      </c>
      <c r="F27" s="744">
        <v>44540</v>
      </c>
      <c r="G27" s="736">
        <v>0.71369249999999995</v>
      </c>
      <c r="H27" s="1876">
        <v>1.1974113439805274</v>
      </c>
      <c r="I27" s="738">
        <v>0.20899999999999999</v>
      </c>
      <c r="J27" s="739">
        <f t="shared" si="2"/>
        <v>0.36653140753845165</v>
      </c>
      <c r="K27" s="739">
        <f t="shared" ca="1" si="0"/>
        <v>0.72432536211850307</v>
      </c>
      <c r="L27" s="740" t="s">
        <v>2252</v>
      </c>
      <c r="M27" s="740" t="s">
        <v>2272</v>
      </c>
      <c r="N27" s="740" t="s">
        <v>2273</v>
      </c>
      <c r="O27" s="1878" t="s">
        <v>2274</v>
      </c>
      <c r="P27" s="740">
        <f t="shared" si="1"/>
        <v>2.6392881587953458</v>
      </c>
      <c r="Q27" s="740" t="s">
        <v>671</v>
      </c>
      <c r="R27" s="712">
        <f t="shared" si="3"/>
        <v>0</v>
      </c>
      <c r="S27" s="712">
        <f t="shared" si="4"/>
        <v>7</v>
      </c>
    </row>
    <row r="28" spans="1:23" ht="35.25" customHeight="1" thickBot="1">
      <c r="A28" s="732"/>
      <c r="B28" s="732"/>
      <c r="C28" s="1875">
        <v>19</v>
      </c>
      <c r="D28" s="733" t="s">
        <v>2275</v>
      </c>
      <c r="E28" s="733" t="s">
        <v>2276</v>
      </c>
      <c r="F28" s="744">
        <v>44648</v>
      </c>
      <c r="G28" s="736">
        <v>0.75168780000000002</v>
      </c>
      <c r="H28" s="1876">
        <v>1.3980121416396958</v>
      </c>
      <c r="I28" s="738">
        <v>9.9000000000000019E-2</v>
      </c>
      <c r="J28" s="739">
        <f t="shared" si="2"/>
        <v>0.33266278373251967</v>
      </c>
      <c r="K28" s="739">
        <f t="shared" ca="1" si="0"/>
        <v>0.65739548190049346</v>
      </c>
      <c r="L28" s="740" t="s">
        <v>2258</v>
      </c>
      <c r="M28" s="740" t="s">
        <v>2272</v>
      </c>
      <c r="N28" s="740" t="s">
        <v>2277</v>
      </c>
      <c r="O28" s="1878" t="s">
        <v>2278</v>
      </c>
      <c r="P28" s="740">
        <f t="shared" si="1"/>
        <v>2.3430656934306571</v>
      </c>
      <c r="Q28" s="740" t="s">
        <v>671</v>
      </c>
      <c r="R28" s="712">
        <f t="shared" si="3"/>
        <v>0</v>
      </c>
      <c r="S28" s="712">
        <f t="shared" si="4"/>
        <v>7</v>
      </c>
    </row>
    <row r="29" spans="1:23" ht="48.75" thickBot="1">
      <c r="A29" s="732"/>
      <c r="B29" s="732"/>
      <c r="C29" s="1875">
        <v>20</v>
      </c>
      <c r="D29" s="733" t="s">
        <v>2279</v>
      </c>
      <c r="E29" s="733" t="s">
        <v>2280</v>
      </c>
      <c r="F29" s="744">
        <v>44712</v>
      </c>
      <c r="G29" s="736">
        <v>0.58483609999999997</v>
      </c>
      <c r="H29" s="1876">
        <v>0.6277199142828227</v>
      </c>
      <c r="I29" s="738">
        <v>0.20899999999999999</v>
      </c>
      <c r="J29" s="738">
        <f t="shared" si="2"/>
        <v>0.39079569835945316</v>
      </c>
      <c r="K29" s="738">
        <f t="shared" ca="1" si="0"/>
        <v>0.77227552648095765</v>
      </c>
      <c r="L29" s="740" t="s">
        <v>2252</v>
      </c>
      <c r="M29" s="740" t="s">
        <v>2267</v>
      </c>
      <c r="N29" s="740" t="s">
        <v>2281</v>
      </c>
      <c r="O29" s="1878" t="s">
        <v>2282</v>
      </c>
      <c r="P29" s="740">
        <f t="shared" si="1"/>
        <v>2.167883211678832</v>
      </c>
      <c r="Q29" s="740" t="s">
        <v>671</v>
      </c>
      <c r="R29" s="712">
        <f t="shared" si="3"/>
        <v>0</v>
      </c>
      <c r="S29" s="712">
        <f t="shared" si="4"/>
        <v>7</v>
      </c>
    </row>
    <row r="30" spans="1:23" ht="36.75" thickBot="1">
      <c r="A30" s="732"/>
      <c r="B30" s="732"/>
      <c r="C30" s="1875">
        <v>21</v>
      </c>
      <c r="D30" s="733" t="s">
        <v>2283</v>
      </c>
      <c r="E30" s="733" t="s">
        <v>2284</v>
      </c>
      <c r="F30" s="744">
        <v>44840</v>
      </c>
      <c r="G30" s="736">
        <v>0.56659020000000004</v>
      </c>
      <c r="H30" s="1876">
        <v>1.1755657358999527</v>
      </c>
      <c r="I30" s="738">
        <v>0.23100000000000001</v>
      </c>
      <c r="J30" s="738">
        <f t="shared" si="2"/>
        <v>0.29757731569225621</v>
      </c>
      <c r="K30" s="738">
        <f t="shared" ca="1" si="0"/>
        <v>0.58806092060319193</v>
      </c>
      <c r="L30" s="740" t="s">
        <v>2252</v>
      </c>
      <c r="M30" s="740" t="s">
        <v>2285</v>
      </c>
      <c r="N30" s="740" t="s">
        <v>2286</v>
      </c>
      <c r="O30" s="1878" t="s">
        <v>2287</v>
      </c>
      <c r="P30" s="740">
        <f t="shared" si="1"/>
        <v>1.8175182481751826</v>
      </c>
      <c r="Q30" s="740" t="s">
        <v>671</v>
      </c>
    </row>
    <row r="31" spans="1:23" ht="15.75" customHeight="1" thickBot="1">
      <c r="A31" s="732"/>
      <c r="B31" s="732"/>
      <c r="C31" s="1875">
        <v>22</v>
      </c>
      <c r="D31" s="733" t="s">
        <v>2288</v>
      </c>
      <c r="E31" s="733" t="s">
        <v>2289</v>
      </c>
      <c r="F31" s="744">
        <v>45012</v>
      </c>
      <c r="G31" s="736">
        <v>0.31678020000000001</v>
      </c>
      <c r="H31" s="1876">
        <v>0.90834687423762717</v>
      </c>
      <c r="I31" s="733"/>
      <c r="J31" s="738">
        <f t="shared" si="2"/>
        <v>0.16599718021732909</v>
      </c>
      <c r="K31" s="738">
        <f t="shared" ca="1" si="0"/>
        <v>0.32803728466012488</v>
      </c>
      <c r="L31" s="740" t="s">
        <v>2252</v>
      </c>
      <c r="M31" s="733"/>
      <c r="N31" s="744"/>
      <c r="O31" s="733"/>
      <c r="P31" s="740">
        <f t="shared" si="1"/>
        <v>1.3461012311901506</v>
      </c>
      <c r="Q31" s="740" t="s">
        <v>671</v>
      </c>
    </row>
    <row r="32" spans="1:23" ht="15.75" customHeight="1" thickBot="1">
      <c r="A32" s="732"/>
      <c r="B32" s="732"/>
      <c r="C32" s="1875">
        <v>23</v>
      </c>
      <c r="D32" s="733" t="s">
        <v>2290</v>
      </c>
      <c r="E32" s="733" t="s">
        <v>2291</v>
      </c>
      <c r="F32" s="744">
        <v>45026</v>
      </c>
      <c r="G32" s="736">
        <v>0.388461</v>
      </c>
      <c r="H32" s="1876">
        <v>0.87137195834411385</v>
      </c>
      <c r="I32" s="733"/>
      <c r="J32" s="738">
        <f t="shared" si="2"/>
        <v>0.2075808597365808</v>
      </c>
      <c r="K32" s="738">
        <f t="shared" ca="1" si="0"/>
        <v>0.4102133631803318</v>
      </c>
      <c r="L32" s="740" t="s">
        <v>2258</v>
      </c>
      <c r="M32" s="740"/>
      <c r="N32" s="740"/>
      <c r="O32" s="740"/>
      <c r="P32" s="740">
        <f t="shared" si="1"/>
        <v>1.3077975376196991</v>
      </c>
      <c r="Q32" s="740" t="s">
        <v>671</v>
      </c>
    </row>
    <row r="33" spans="1:17" ht="15.75" customHeight="1" thickBot="1">
      <c r="A33" s="748"/>
      <c r="B33" s="748"/>
      <c r="D33" s="750"/>
      <c r="E33" s="750"/>
      <c r="F33" s="751"/>
      <c r="G33" s="752">
        <f ca="1">AVERAGEIF($Q$10:$S$32,"O",G10:G32)</f>
        <v>0.58110792857142857</v>
      </c>
      <c r="H33" s="1910">
        <f ca="1">AVERAGEIF($Q$10:$S$32,"O",H10:H32)</f>
        <v>1.234085700629773</v>
      </c>
      <c r="I33" s="754"/>
      <c r="J33" s="752">
        <f ca="1">AVERAGEIF($Q$10:$S$32,"O",J10:J32)</f>
        <v>0.32009660825921199</v>
      </c>
      <c r="K33" s="752">
        <f ca="1">AVERAGEIF($Q$10:$Q$32,"O",K10:K32)</f>
        <v>0.63256268609378385</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2292</v>
      </c>
      <c r="D35" s="750"/>
      <c r="E35" s="750"/>
      <c r="F35" s="751"/>
      <c r="G35" s="759"/>
      <c r="H35" s="760"/>
      <c r="I35" s="760"/>
      <c r="J35" s="761"/>
      <c r="K35" s="761"/>
      <c r="L35" s="756"/>
      <c r="O35" s="757"/>
      <c r="P35" s="757"/>
      <c r="Q35" s="757"/>
    </row>
    <row r="36" spans="1:17" ht="15.75" customHeight="1">
      <c r="A36" s="748"/>
      <c r="B36" s="748"/>
      <c r="C36" s="1894" t="s">
        <v>2293</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2294</v>
      </c>
    </row>
    <row r="41" spans="1:17" s="766" customFormat="1" ht="12.75" thickBot="1">
      <c r="C41" s="768" t="s">
        <v>266</v>
      </c>
      <c r="D41" s="768" t="s">
        <v>267</v>
      </c>
      <c r="E41" s="768" t="s">
        <v>2295</v>
      </c>
      <c r="F41" s="768" t="s">
        <v>2296</v>
      </c>
      <c r="G41" s="768" t="s">
        <v>2297</v>
      </c>
      <c r="H41" s="769" t="s">
        <v>2216</v>
      </c>
    </row>
    <row r="42" spans="1:17" s="766" customFormat="1" ht="12.75" thickBot="1">
      <c r="A42" s="770">
        <v>1</v>
      </c>
      <c r="B42" s="770"/>
      <c r="C42" s="771" t="str">
        <f t="shared" ref="C42:C55" si="5">IFERROR(INDEX($D$10:$D$32,MATCH(A42,$S$10:$S$29,0)),"")</f>
        <v>에이리츠</v>
      </c>
      <c r="D42" s="771" t="str">
        <f>IFERROR(INDEX($L$10:$L$33,MATCH(C42,$D$10:$D$32,0)),"")</f>
        <v>자기관리</v>
      </c>
      <c r="E42" s="772">
        <f>IFERROR(INDEX($G$10:$G$32,MATCH(C42,$D$10:$D$32,0)),"")</f>
        <v>0.54339190000000004</v>
      </c>
      <c r="F42" s="773">
        <f>IFERROR(INDEX($H$10:$H$32,MATCH(C42,$D$10:$D$32,0)),"")</f>
        <v>2.4397162575232354</v>
      </c>
      <c r="G42" s="772">
        <f>IFERROR(INDEX($J$10:$J$32,MATCH(C42,$D$10:$D$32,0)),"")</f>
        <v>0.18546966146069546</v>
      </c>
      <c r="H42" s="772">
        <f ca="1">IFERROR(INDEX($K$10:$K$32,MATCH(C42,$D$10:$D$32,0)),"")</f>
        <v>0.36651805803414317</v>
      </c>
    </row>
    <row r="43" spans="1:17" s="766" customFormat="1" ht="12.75" thickBot="1">
      <c r="A43" s="770">
        <v>2</v>
      </c>
      <c r="B43" s="770"/>
      <c r="C43" s="771" t="str">
        <f t="shared" si="5"/>
        <v>케이탑리츠</v>
      </c>
      <c r="D43" s="771" t="str">
        <f t="shared" ref="D43:D55" si="6">IFERROR(INDEX($L$10:$L$33,MATCH(C43,$D$10:$D$32,0)),"")</f>
        <v>자기관리</v>
      </c>
      <c r="E43" s="772">
        <f t="shared" ref="E43:E53" si="7">IFERROR(INDEX($G$10:$G$32,MATCH(C43,$D$10:$D$32,0)),"")</f>
        <v>0.7206226</v>
      </c>
      <c r="F43" s="773">
        <f t="shared" ref="F43:F53" si="8">IFERROR(INDEX($H$10:$H$32,MATCH(C43,$D$10:$D$32,0)),"")</f>
        <v>1.5371287638907458</v>
      </c>
      <c r="G43" s="772">
        <f t="shared" ref="G43:G53" si="9">IFERROR(INDEX($J$10:$J$32,MATCH(C43,$D$10:$D$32,0)),"")</f>
        <v>0.3252099506125179</v>
      </c>
      <c r="H43" s="772">
        <f t="shared" ref="H43:H53" ca="1" si="10">IFERROR(INDEX($K$10:$K$32,MATCH(C43,$D$10:$D$32,0)),"")</f>
        <v>0.64266747786747547</v>
      </c>
    </row>
    <row r="44" spans="1:17" s="766" customFormat="1" ht="12.75" thickBot="1">
      <c r="A44" s="770">
        <v>3</v>
      </c>
      <c r="B44" s="770"/>
      <c r="C44" s="771" t="str">
        <f t="shared" si="5"/>
        <v>모두투어리츠</v>
      </c>
      <c r="D44" s="771" t="str">
        <f t="shared" si="6"/>
        <v>자기관리</v>
      </c>
      <c r="E44" s="772">
        <f t="shared" si="7"/>
        <v>0.74270009999999997</v>
      </c>
      <c r="F44" s="773">
        <f t="shared" si="8"/>
        <v>1.2970854769358444</v>
      </c>
      <c r="G44" s="772">
        <f t="shared" si="9"/>
        <v>0.36658542698338703</v>
      </c>
      <c r="H44" s="772">
        <f t="shared" ca="1" si="10"/>
        <v>0.72443211328145807</v>
      </c>
    </row>
    <row r="45" spans="1:17" s="766" customFormat="1" ht="12.75" thickBot="1">
      <c r="A45" s="770">
        <v>4</v>
      </c>
      <c r="B45" s="770"/>
      <c r="C45" s="771" t="str">
        <f t="shared" si="5"/>
        <v>이리츠코크렙</v>
      </c>
      <c r="D45" s="771" t="str">
        <f t="shared" si="6"/>
        <v>기업구조조정</v>
      </c>
      <c r="E45" s="772">
        <f t="shared" si="7"/>
        <v>0.50185959999999996</v>
      </c>
      <c r="F45" s="773">
        <f t="shared" si="8"/>
        <v>1.2638810986788664</v>
      </c>
      <c r="G45" s="772">
        <f t="shared" si="9"/>
        <v>0.25096368649035078</v>
      </c>
      <c r="H45" s="772">
        <f t="shared" ca="1" si="10"/>
        <v>0.49594484771853531</v>
      </c>
    </row>
    <row r="46" spans="1:17" s="766" customFormat="1" ht="12.75" thickBot="1">
      <c r="A46" s="770">
        <v>5</v>
      </c>
      <c r="B46" s="770"/>
      <c r="C46" s="771" t="str">
        <f t="shared" si="5"/>
        <v>신한알파리츠</v>
      </c>
      <c r="D46" s="771" t="str">
        <f t="shared" si="6"/>
        <v>위탁관리</v>
      </c>
      <c r="E46" s="772">
        <f t="shared" si="7"/>
        <v>0.4735354</v>
      </c>
      <c r="F46" s="773">
        <f t="shared" si="8"/>
        <v>1.4864070728890635</v>
      </c>
      <c r="G46" s="772">
        <f t="shared" si="9"/>
        <v>0.22096360526437253</v>
      </c>
      <c r="H46" s="772">
        <f t="shared" ca="1" si="10"/>
        <v>0.43665983352691629</v>
      </c>
    </row>
    <row r="47" spans="1:17" s="766" customFormat="1" ht="12.75" thickBot="1">
      <c r="A47" s="770">
        <v>6</v>
      </c>
      <c r="B47" s="770"/>
      <c r="C47" s="771" t="str">
        <f t="shared" si="5"/>
        <v>롯데리츠</v>
      </c>
      <c r="D47" s="771" t="str">
        <f t="shared" si="6"/>
        <v>위탁관리</v>
      </c>
      <c r="E47" s="772">
        <f t="shared" si="7"/>
        <v>0.59369229999999995</v>
      </c>
      <c r="F47" s="773">
        <f t="shared" si="8"/>
        <v>0.61438123449065529</v>
      </c>
      <c r="G47" s="772">
        <f t="shared" si="9"/>
        <v>0.39953032700316032</v>
      </c>
      <c r="H47" s="772">
        <f t="shared" ca="1" si="10"/>
        <v>0.78953656584948739</v>
      </c>
    </row>
    <row r="48" spans="1:17" s="766" customFormat="1" ht="12.75" thickBot="1">
      <c r="A48" s="770">
        <v>7</v>
      </c>
      <c r="B48" s="770"/>
      <c r="C48" s="771" t="str">
        <f t="shared" si="5"/>
        <v>NH프라임리츠</v>
      </c>
      <c r="D48" s="771" t="str">
        <f t="shared" si="6"/>
        <v>위탁관리</v>
      </c>
      <c r="E48" s="772">
        <f t="shared" si="7"/>
        <v>0.49195359999999999</v>
      </c>
      <c r="F48" s="773">
        <f t="shared" si="8"/>
        <v>0</v>
      </c>
      <c r="G48" s="772">
        <f t="shared" si="9"/>
        <v>0.49195359999999999</v>
      </c>
      <c r="H48" s="772">
        <f t="shared" ca="1" si="10"/>
        <v>0.97217990637847118</v>
      </c>
    </row>
    <row r="49" spans="1:18" s="766" customFormat="1" ht="12.75" thickBot="1">
      <c r="A49" s="770">
        <v>8</v>
      </c>
      <c r="B49" s="770"/>
      <c r="C49" s="771" t="str">
        <f t="shared" si="5"/>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5"/>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5"/>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5"/>
        <v/>
      </c>
      <c r="D53" s="771" t="str">
        <f t="shared" si="6"/>
        <v/>
      </c>
      <c r="E53" s="772" t="str">
        <f t="shared" si="7"/>
        <v/>
      </c>
      <c r="F53" s="773" t="str">
        <f t="shared" si="8"/>
        <v/>
      </c>
      <c r="G53" s="772" t="str">
        <f t="shared" si="9"/>
        <v/>
      </c>
      <c r="H53" s="772" t="str">
        <f t="shared" si="10"/>
        <v/>
      </c>
    </row>
    <row r="54" spans="1:18" s="766" customFormat="1" ht="12.75" thickBot="1">
      <c r="A54" s="770"/>
      <c r="B54" s="770"/>
      <c r="C54" s="771" t="str">
        <f t="shared" si="5"/>
        <v/>
      </c>
      <c r="D54" s="771" t="str">
        <f t="shared" si="6"/>
        <v/>
      </c>
      <c r="E54" s="772"/>
      <c r="F54" s="773"/>
      <c r="G54" s="772"/>
      <c r="H54" s="772"/>
    </row>
    <row r="55" spans="1:18" s="766" customFormat="1" ht="12.75" thickBot="1">
      <c r="A55" s="770"/>
      <c r="B55" s="770"/>
      <c r="C55" s="771" t="str">
        <f t="shared" si="5"/>
        <v/>
      </c>
      <c r="D55" s="771" t="str">
        <f t="shared" si="6"/>
        <v/>
      </c>
      <c r="E55" s="772"/>
      <c r="F55" s="773"/>
      <c r="G55" s="772"/>
      <c r="H55" s="772"/>
    </row>
    <row r="56" spans="1:18" s="766" customFormat="1" ht="12.75" thickBot="1">
      <c r="C56" s="774" t="s">
        <v>306</v>
      </c>
      <c r="D56" s="775" t="s">
        <v>236</v>
      </c>
      <c r="E56" s="776">
        <f>AVERAGE(E42:E55)</f>
        <v>0.58110792857142857</v>
      </c>
      <c r="F56" s="776">
        <f t="shared" ref="F56:H56" si="11">AVERAGE(F42:F55)</f>
        <v>1.234085700629773</v>
      </c>
      <c r="G56" s="776">
        <f t="shared" si="11"/>
        <v>0.32009660825921199</v>
      </c>
      <c r="H56" s="776">
        <f t="shared" ca="1" si="11"/>
        <v>0.63256268609378385</v>
      </c>
    </row>
    <row r="57" spans="1:18" s="766" customFormat="1" ht="12">
      <c r="E57" s="766" t="b">
        <f ca="1">G33=E56</f>
        <v>1</v>
      </c>
      <c r="F57" s="766" t="b">
        <f ca="1">H33=F56</f>
        <v>1</v>
      </c>
      <c r="G57" s="766" t="b">
        <f ca="1">G56=J33</f>
        <v>1</v>
      </c>
      <c r="H57" s="766" t="b">
        <f ca="1">H56=K33</f>
        <v>1</v>
      </c>
    </row>
    <row r="58" spans="1:18" s="766" customFormat="1" ht="12"/>
    <row r="59" spans="1:18" s="766" customFormat="1" ht="17.25" thickBot="1">
      <c r="C59" s="777" t="s">
        <v>2298</v>
      </c>
      <c r="D59" s="778"/>
      <c r="E59" s="778"/>
      <c r="F59" s="779"/>
    </row>
    <row r="60" spans="1:18" s="766" customFormat="1" ht="17.25" thickBot="1">
      <c r="C60" s="780" t="s">
        <v>345</v>
      </c>
      <c r="D60" s="781" t="s">
        <v>346</v>
      </c>
      <c r="E60" s="1790">
        <f>N6</f>
        <v>45565</v>
      </c>
      <c r="F60" s="778"/>
      <c r="G60" s="1790">
        <v>45473</v>
      </c>
      <c r="K60" s="782"/>
      <c r="L60" s="782"/>
      <c r="M60" s="782"/>
      <c r="N60" s="782"/>
      <c r="O60" s="782"/>
      <c r="P60" s="782"/>
      <c r="Q60" s="782"/>
      <c r="R60" s="782"/>
    </row>
    <row r="61" spans="1:18" s="766" customFormat="1" ht="12.75" thickBot="1">
      <c r="C61" s="783" t="s">
        <v>2299</v>
      </c>
      <c r="D61" s="1895" t="s">
        <v>358</v>
      </c>
      <c r="E61" s="784">
        <f ca="1">G33</f>
        <v>0.58110792857142857</v>
      </c>
      <c r="G61" s="784">
        <v>0.64813605714285727</v>
      </c>
      <c r="K61" s="786"/>
      <c r="L61" s="786"/>
      <c r="M61" s="786"/>
      <c r="N61" s="786"/>
      <c r="O61" s="786"/>
      <c r="P61" s="786"/>
      <c r="Q61" s="786"/>
      <c r="R61" s="786"/>
    </row>
    <row r="62" spans="1:18" s="766" customFormat="1" ht="12.75" thickBot="1">
      <c r="C62" s="783" t="s">
        <v>360</v>
      </c>
      <c r="D62" s="1895" t="s">
        <v>358</v>
      </c>
      <c r="E62" s="787">
        <f ca="1">H33</f>
        <v>1.234085700629773</v>
      </c>
      <c r="G62" s="787">
        <v>1.2461187103863465</v>
      </c>
      <c r="K62" s="789"/>
      <c r="L62" s="789"/>
      <c r="M62" s="789"/>
      <c r="N62" s="789"/>
      <c r="O62" s="789"/>
      <c r="P62" s="789"/>
      <c r="Q62" s="789"/>
      <c r="R62" s="789"/>
    </row>
    <row r="63" spans="1:18" s="766" customFormat="1" ht="24.75" thickBot="1">
      <c r="C63" s="790" t="s">
        <v>2300</v>
      </c>
      <c r="D63" s="1896" t="s">
        <v>757</v>
      </c>
      <c r="E63" s="784">
        <f ca="1">J33</f>
        <v>0.32009660825921199</v>
      </c>
      <c r="G63" s="784">
        <v>0.3535164191263756</v>
      </c>
      <c r="K63" s="786"/>
      <c r="L63" s="786"/>
      <c r="M63" s="786"/>
      <c r="N63" s="786"/>
      <c r="O63" s="786"/>
      <c r="P63" s="786"/>
      <c r="Q63" s="786"/>
      <c r="R63" s="792"/>
    </row>
    <row r="64" spans="1:18" s="766" customFormat="1" ht="24.75" thickBot="1">
      <c r="C64" s="793" t="s">
        <v>2301</v>
      </c>
      <c r="D64" s="1896" t="s">
        <v>2302</v>
      </c>
      <c r="E64" s="1898">
        <f ca="1">E63*(1+$E$62*(1-$E$69))</f>
        <v>0.63256268609378385</v>
      </c>
      <c r="G64" s="1911">
        <v>0.70197044774938278</v>
      </c>
      <c r="K64" s="786"/>
      <c r="L64" s="786"/>
      <c r="M64" s="786"/>
      <c r="N64" s="786"/>
      <c r="O64" s="786"/>
      <c r="P64" s="786"/>
      <c r="Q64" s="786"/>
      <c r="R64" s="786"/>
    </row>
    <row r="65" spans="3:18" s="766" customFormat="1" ht="24.75" thickBot="1">
      <c r="C65" s="793" t="s">
        <v>2303</v>
      </c>
      <c r="D65" s="1896" t="s">
        <v>2304</v>
      </c>
      <c r="E65" s="795">
        <f>E70</f>
        <v>3.5900000000000001E-2</v>
      </c>
      <c r="G65" s="795">
        <v>3.6499999999999998E-2</v>
      </c>
      <c r="K65" s="789"/>
      <c r="L65" s="789"/>
      <c r="M65" s="789"/>
      <c r="N65" s="789"/>
      <c r="O65" s="789"/>
      <c r="P65" s="789"/>
      <c r="Q65" s="789"/>
      <c r="R65" s="789"/>
    </row>
    <row r="66" spans="3:18" s="766" customFormat="1" ht="24.75" thickBot="1">
      <c r="C66" s="793" t="s">
        <v>2305</v>
      </c>
      <c r="D66" s="1896" t="s">
        <v>2306</v>
      </c>
      <c r="E66" s="797">
        <f>E71</f>
        <v>0.1169</v>
      </c>
      <c r="G66" s="797">
        <v>0.114</v>
      </c>
      <c r="K66" s="789"/>
      <c r="L66" s="789"/>
      <c r="M66" s="789"/>
      <c r="N66" s="789"/>
      <c r="O66" s="789"/>
      <c r="P66" s="789"/>
      <c r="Q66" s="789"/>
      <c r="R66" s="789"/>
    </row>
    <row r="67" spans="3:18" s="766" customFormat="1" ht="12.75" thickBot="1">
      <c r="C67" s="798" t="s">
        <v>2307</v>
      </c>
      <c r="D67" s="799" t="s">
        <v>373</v>
      </c>
      <c r="E67" s="800">
        <f ca="1">E65+E64*E66</f>
        <v>0.10984657800436334</v>
      </c>
      <c r="F67" s="801"/>
      <c r="G67" s="800">
        <v>0.11652463104342964</v>
      </c>
      <c r="H67" s="801">
        <f ca="1">E67-G67</f>
        <v>-6.6780530390662951E-3</v>
      </c>
      <c r="K67" s="789"/>
      <c r="L67" s="789"/>
      <c r="M67" s="789"/>
      <c r="N67" s="789"/>
      <c r="O67" s="789"/>
      <c r="P67" s="789"/>
      <c r="Q67" s="789"/>
      <c r="R67" s="789"/>
    </row>
    <row r="68" spans="3:18" ht="15.75" customHeight="1">
      <c r="J68" s="711"/>
      <c r="K68" s="789"/>
      <c r="L68" s="789"/>
      <c r="M68" s="711"/>
      <c r="N68" s="711"/>
      <c r="O68" s="711"/>
      <c r="P68" s="711"/>
      <c r="Q68" s="711"/>
      <c r="R68" s="711"/>
    </row>
    <row r="69" spans="3:18" ht="15.75" customHeight="1" thickBot="1">
      <c r="D69" s="785" t="s">
        <v>2308</v>
      </c>
      <c r="E69" s="788">
        <f>K7</f>
        <v>0.20899999999999999</v>
      </c>
      <c r="G69" s="788">
        <v>0.20899999999999999</v>
      </c>
    </row>
    <row r="70" spans="3:18" ht="15.75" customHeight="1">
      <c r="C70" s="1897">
        <v>45504</v>
      </c>
      <c r="D70" s="785" t="s">
        <v>2309</v>
      </c>
      <c r="E70" s="1862">
        <v>3.5900000000000001E-2</v>
      </c>
      <c r="G70" s="1862">
        <v>3.6499999999999998E-2</v>
      </c>
    </row>
    <row r="71" spans="3:18" ht="15.75" customHeight="1">
      <c r="C71" s="1897">
        <v>45504</v>
      </c>
      <c r="D71" s="785" t="s">
        <v>2310</v>
      </c>
      <c r="E71" s="794">
        <v>0.1169</v>
      </c>
      <c r="G71" s="794">
        <v>0.114</v>
      </c>
    </row>
    <row r="77" spans="3:18" ht="15.75" customHeight="1">
      <c r="C77" s="712" t="s">
        <v>1478</v>
      </c>
    </row>
    <row r="503" spans="3:11" ht="15.75" customHeight="1">
      <c r="C503" s="716"/>
      <c r="D503" s="716"/>
      <c r="E503" s="716"/>
      <c r="F503" s="716"/>
      <c r="G503" s="716"/>
      <c r="H503" s="716"/>
      <c r="I503" s="716"/>
      <c r="J503" s="716"/>
      <c r="K503" s="716"/>
    </row>
    <row r="504" spans="3:11" s="716" customFormat="1" ht="15.75" customHeight="1">
      <c r="C504" s="712"/>
      <c r="D504" s="712"/>
      <c r="E504" s="712"/>
      <c r="F504" s="712"/>
      <c r="G504" s="712"/>
      <c r="H504" s="712"/>
      <c r="I504" s="712"/>
      <c r="J504" s="712"/>
      <c r="K504" s="712"/>
    </row>
    <row r="746" spans="3:11" ht="15.75" customHeight="1">
      <c r="C746" s="807"/>
      <c r="D746" s="807"/>
      <c r="E746" s="807"/>
      <c r="F746" s="807"/>
      <c r="G746" s="807"/>
      <c r="H746" s="807"/>
      <c r="I746" s="807"/>
      <c r="J746" s="807"/>
      <c r="K746" s="807"/>
    </row>
    <row r="747" spans="3:11" s="807" customFormat="1" ht="15.75" customHeight="1"/>
    <row r="748" spans="3:11" s="807" customFormat="1" ht="15.75" customHeight="1">
      <c r="C748" s="712"/>
      <c r="D748" s="712"/>
      <c r="E748" s="712"/>
      <c r="F748" s="712"/>
      <c r="G748" s="712"/>
      <c r="H748" s="712"/>
      <c r="I748" s="712"/>
      <c r="J748" s="712"/>
      <c r="K748" s="712"/>
    </row>
    <row r="749" spans="3:11" ht="15.75" customHeight="1">
      <c r="C749" s="716"/>
      <c r="D749" s="716"/>
      <c r="E749" s="716"/>
      <c r="F749" s="716"/>
      <c r="G749" s="716"/>
      <c r="H749" s="716"/>
      <c r="I749" s="716"/>
      <c r="J749" s="716"/>
      <c r="K749" s="716"/>
    </row>
    <row r="750" spans="3:11" s="716" customFormat="1" ht="15.75" customHeight="1"/>
    <row r="751" spans="3:11" s="716" customFormat="1" ht="15.75" customHeight="1"/>
    <row r="752" spans="3:11" s="716" customFormat="1" ht="15.75" customHeight="1">
      <c r="C752" s="712"/>
      <c r="D752" s="712"/>
      <c r="E752" s="712"/>
      <c r="F752" s="712"/>
      <c r="G752" s="712"/>
      <c r="H752" s="712"/>
      <c r="I752" s="712"/>
      <c r="J752" s="712"/>
      <c r="K752" s="712"/>
    </row>
    <row r="753" spans="3:11" ht="15.75" customHeight="1">
      <c r="C753" s="716"/>
      <c r="D753" s="716"/>
      <c r="E753" s="716"/>
      <c r="F753" s="716"/>
      <c r="G753" s="716"/>
      <c r="H753" s="716"/>
      <c r="I753" s="716"/>
      <c r="J753" s="716"/>
      <c r="K753" s="716"/>
    </row>
    <row r="754" spans="3:11" s="716" customFormat="1" ht="15.75" customHeight="1"/>
    <row r="755" spans="3:11" s="716" customFormat="1" ht="15.75" customHeight="1">
      <c r="C755" s="712"/>
      <c r="D755" s="712"/>
      <c r="E755" s="712"/>
      <c r="F755" s="712"/>
      <c r="G755" s="712"/>
      <c r="H755" s="712"/>
      <c r="I755" s="712"/>
      <c r="J755" s="712"/>
      <c r="K755" s="712"/>
    </row>
  </sheetData>
  <autoFilter ref="C9:L9">
    <sortState ref="C13:M28">
      <sortCondition ref="C12"/>
    </sortState>
  </autoFilter>
  <phoneticPr fontId="3" type="noConversion"/>
  <conditionalFormatting sqref="G33:I33">
    <cfRule type="expression" dxfId="56" priority="14">
      <formula>$L33="O"</formula>
    </cfRule>
  </conditionalFormatting>
  <conditionalFormatting sqref="P31:P32 C11:F30 C10:Q10 G11:H32 I11:Q30">
    <cfRule type="expression" dxfId="55" priority="15">
      <formula>$Q10="O"</formula>
    </cfRule>
  </conditionalFormatting>
  <conditionalFormatting sqref="J22:K30">
    <cfRule type="expression" dxfId="54" priority="13">
      <formula>$Q22="O"</formula>
    </cfRule>
  </conditionalFormatting>
  <conditionalFormatting sqref="I22:I30">
    <cfRule type="expression" dxfId="53" priority="12">
      <formula>$P22="O"</formula>
    </cfRule>
  </conditionalFormatting>
  <conditionalFormatting sqref="C31:F32 M31:O31 I31:I32">
    <cfRule type="expression" dxfId="52" priority="11">
      <formula>$Q31="O"</formula>
    </cfRule>
  </conditionalFormatting>
  <conditionalFormatting sqref="J29:K30">
    <cfRule type="expression" dxfId="51" priority="10">
      <formula>$P29="O"</formula>
    </cfRule>
  </conditionalFormatting>
  <conditionalFormatting sqref="J33">
    <cfRule type="expression" dxfId="50" priority="5">
      <formula>$L33="O"</formula>
    </cfRule>
  </conditionalFormatting>
  <conditionalFormatting sqref="K33">
    <cfRule type="expression" dxfId="49" priority="9">
      <formula>$L33="O"</formula>
    </cfRule>
  </conditionalFormatting>
  <conditionalFormatting sqref="L33:Q33">
    <cfRule type="expression" dxfId="48" priority="8">
      <formula>$Q33="O"</formula>
    </cfRule>
  </conditionalFormatting>
  <conditionalFormatting sqref="L31">
    <cfRule type="expression" dxfId="47" priority="7">
      <formula>$Q31="O"</formula>
    </cfRule>
  </conditionalFormatting>
  <conditionalFormatting sqref="L32:O32">
    <cfRule type="expression" dxfId="46" priority="6">
      <formula>$Q32="O"</formula>
    </cfRule>
  </conditionalFormatting>
  <conditionalFormatting sqref="J31:K32">
    <cfRule type="expression" dxfId="45" priority="4">
      <formula>$Q31="O"</formula>
    </cfRule>
  </conditionalFormatting>
  <conditionalFormatting sqref="J31:K32">
    <cfRule type="expression" dxfId="44" priority="3">
      <formula>$Q31="O"</formula>
    </cfRule>
  </conditionalFormatting>
  <conditionalFormatting sqref="J31:K32">
    <cfRule type="expression" dxfId="43" priority="2">
      <formula>$P31="O"</formula>
    </cfRule>
  </conditionalFormatting>
  <conditionalFormatting sqref="Q31:Q32">
    <cfRule type="expression" dxfId="42" priority="1">
      <formula>$Q31="O"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1374</v>
      </c>
      <c r="D1" s="711"/>
      <c r="E1" s="711"/>
      <c r="F1" s="711"/>
      <c r="G1" s="711"/>
      <c r="H1" s="711"/>
      <c r="I1" s="711"/>
      <c r="J1" s="711"/>
      <c r="K1" s="711"/>
      <c r="R1" s="713" t="s">
        <v>1375</v>
      </c>
    </row>
    <row r="2" spans="1:23" ht="15.75" customHeight="1" thickBot="1">
      <c r="A2" s="709"/>
      <c r="B2" s="709"/>
      <c r="C2" s="710"/>
      <c r="D2" s="711"/>
      <c r="E2" s="711"/>
      <c r="F2" s="711"/>
      <c r="G2" s="711"/>
      <c r="H2" s="711"/>
      <c r="I2" s="711"/>
      <c r="J2" s="711"/>
      <c r="K2" s="711"/>
      <c r="R2" s="713" t="s">
        <v>1376</v>
      </c>
    </row>
    <row r="3" spans="1:23" ht="15.75" customHeight="1" thickBot="1">
      <c r="C3" s="714" t="s">
        <v>1377</v>
      </c>
      <c r="E3" s="715"/>
      <c r="L3" s="716"/>
      <c r="N3" s="717"/>
      <c r="O3" s="718"/>
      <c r="P3" s="719"/>
      <c r="Q3" s="719"/>
      <c r="R3" s="719"/>
      <c r="S3" s="719"/>
      <c r="T3" s="719"/>
      <c r="U3" s="718"/>
    </row>
    <row r="4" spans="1:23" ht="15.75" customHeight="1" thickTop="1">
      <c r="C4" s="1866" t="s">
        <v>1214</v>
      </c>
      <c r="N4" s="717"/>
      <c r="O4" s="718"/>
      <c r="P4" s="718"/>
      <c r="Q4" s="718"/>
      <c r="R4" s="718"/>
      <c r="S4" s="718"/>
      <c r="T4" s="718"/>
      <c r="U4" s="718"/>
      <c r="V4" s="717"/>
    </row>
    <row r="5" spans="1:23" ht="15.75" customHeight="1" thickBot="1">
      <c r="C5" s="1867" t="s">
        <v>1378</v>
      </c>
      <c r="N5" s="717"/>
      <c r="O5" s="718"/>
      <c r="P5" s="718"/>
      <c r="Q5" s="718"/>
      <c r="R5" s="718"/>
      <c r="S5" s="718"/>
      <c r="T5" s="718"/>
      <c r="U5" s="718"/>
      <c r="V5" s="717"/>
    </row>
    <row r="6" spans="1:23" ht="15.75" customHeight="1" thickBot="1">
      <c r="M6" s="1868" t="s">
        <v>1379</v>
      </c>
      <c r="N6" s="1869">
        <v>45382</v>
      </c>
      <c r="Q6" s="718"/>
      <c r="R6" s="718"/>
      <c r="S6" s="718"/>
      <c r="T6" s="718"/>
      <c r="U6" s="718"/>
    </row>
    <row r="7" spans="1:23" ht="15.75" customHeight="1" thickBot="1">
      <c r="J7" s="724" t="s">
        <v>1380</v>
      </c>
      <c r="K7" s="725">
        <f>E67</f>
        <v>0.20899999999999999</v>
      </c>
      <c r="M7" s="1870" t="s">
        <v>1381</v>
      </c>
      <c r="N7" s="1871">
        <v>45363</v>
      </c>
      <c r="Q7" s="728"/>
      <c r="R7" s="728"/>
      <c r="S7" s="718"/>
      <c r="T7" s="718"/>
      <c r="U7" s="718"/>
    </row>
    <row r="8" spans="1:23" ht="15.75" customHeight="1" thickBot="1">
      <c r="G8" s="729"/>
      <c r="H8" s="729"/>
      <c r="I8" s="729"/>
      <c r="J8" s="729"/>
      <c r="K8" s="729"/>
      <c r="N8" s="718"/>
      <c r="O8" s="718"/>
      <c r="P8" s="728"/>
      <c r="Q8" s="730" t="s">
        <v>1382</v>
      </c>
      <c r="R8" s="728"/>
      <c r="W8" s="718"/>
    </row>
    <row r="9" spans="1:23" ht="15.75" customHeight="1" thickTop="1" thickBot="1">
      <c r="C9" s="1872" t="s">
        <v>1383</v>
      </c>
      <c r="D9" s="1873" t="s">
        <v>255</v>
      </c>
      <c r="E9" s="1873" t="s">
        <v>1384</v>
      </c>
      <c r="F9" s="1873" t="s">
        <v>258</v>
      </c>
      <c r="G9" s="1873" t="s">
        <v>1385</v>
      </c>
      <c r="H9" s="1873" t="s">
        <v>1386</v>
      </c>
      <c r="I9" s="1874" t="s">
        <v>1387</v>
      </c>
      <c r="J9" s="1873" t="s">
        <v>1388</v>
      </c>
      <c r="K9" s="1873" t="s">
        <v>1389</v>
      </c>
      <c r="L9" s="1873" t="s">
        <v>687</v>
      </c>
      <c r="M9" s="1873" t="s">
        <v>688</v>
      </c>
      <c r="N9" s="1873" t="s">
        <v>689</v>
      </c>
      <c r="O9" s="1873" t="s">
        <v>690</v>
      </c>
      <c r="P9" s="1873" t="s">
        <v>1390</v>
      </c>
      <c r="Q9" s="1873" t="s">
        <v>1391</v>
      </c>
      <c r="W9" s="718"/>
    </row>
    <row r="10" spans="1:23" ht="25.5" thickTop="1" thickBot="1">
      <c r="A10" s="732"/>
      <c r="B10" s="732"/>
      <c r="C10" s="1875">
        <v>1</v>
      </c>
      <c r="D10" s="734" t="s">
        <v>273</v>
      </c>
      <c r="E10" s="734" t="s">
        <v>275</v>
      </c>
      <c r="F10" s="735">
        <v>40738</v>
      </c>
      <c r="G10" s="736">
        <v>0.71219350000000003</v>
      </c>
      <c r="H10" s="1876">
        <v>2.3723692564652765</v>
      </c>
      <c r="I10" s="738">
        <v>0.20900000000000002</v>
      </c>
      <c r="J10" s="739">
        <f>G10/(1+H10*(1-I10))</f>
        <v>0.24758650649236372</v>
      </c>
      <c r="K10" s="739">
        <f t="shared" ref="K10:K32" ca="1" si="0">J10*(1+$H$33*(1-$K$7))</f>
        <v>0.52279508527917806</v>
      </c>
      <c r="L10" s="740" t="s">
        <v>1392</v>
      </c>
      <c r="M10" s="1877" t="s">
        <v>1393</v>
      </c>
      <c r="N10" s="740" t="s">
        <v>694</v>
      </c>
      <c r="O10" s="1878" t="s">
        <v>1394</v>
      </c>
      <c r="P10" s="740">
        <f t="shared" ref="P10:P32" si="1">YEARFRAC(F10,EOMONTH($N$6,-2),1)</f>
        <v>12.549080954243253</v>
      </c>
      <c r="Q10" s="740" t="s">
        <v>670</v>
      </c>
      <c r="R10" s="712">
        <f>IF(Q10="O",1,0)</f>
        <v>1</v>
      </c>
      <c r="S10" s="712">
        <f>R10</f>
        <v>1</v>
      </c>
      <c r="W10" s="718"/>
    </row>
    <row r="11" spans="1:23" ht="24.75" thickBot="1">
      <c r="A11" s="732"/>
      <c r="B11" s="732"/>
      <c r="C11" s="1875">
        <v>2</v>
      </c>
      <c r="D11" s="734" t="s">
        <v>278</v>
      </c>
      <c r="E11" s="734" t="s">
        <v>280</v>
      </c>
      <c r="F11" s="735">
        <v>40939</v>
      </c>
      <c r="G11" s="736">
        <v>0.80138909999999997</v>
      </c>
      <c r="H11" s="1876">
        <v>2.9047594940679815</v>
      </c>
      <c r="I11" s="738">
        <v>0.20900000000000002</v>
      </c>
      <c r="J11" s="739">
        <f t="shared" ref="J11:J32" si="2">G11/(1+H11*(1-I11))</f>
        <v>0.24301715255213338</v>
      </c>
      <c r="K11" s="739">
        <f t="shared" ca="1" si="0"/>
        <v>0.51314659588168687</v>
      </c>
      <c r="L11" s="740" t="s">
        <v>1392</v>
      </c>
      <c r="M11" s="1877" t="s">
        <v>696</v>
      </c>
      <c r="N11" s="740" t="s">
        <v>1395</v>
      </c>
      <c r="O11" s="1878" t="s">
        <v>1396</v>
      </c>
      <c r="P11" s="740">
        <f t="shared" si="1"/>
        <v>11.998104864181933</v>
      </c>
      <c r="Q11" s="740" t="s">
        <v>670</v>
      </c>
      <c r="R11" s="712">
        <f t="shared" ref="R11:R29" si="3">IF(Q11="O",1,0)</f>
        <v>1</v>
      </c>
      <c r="S11" s="712">
        <f>S10+R11</f>
        <v>2</v>
      </c>
      <c r="W11" s="718"/>
    </row>
    <row r="12" spans="1:23" ht="12.75" thickBot="1">
      <c r="A12" s="732"/>
      <c r="B12" s="1879" t="s">
        <v>1397</v>
      </c>
      <c r="C12" s="1880">
        <v>3</v>
      </c>
      <c r="D12" s="1881" t="s">
        <v>283</v>
      </c>
      <c r="E12" s="1881" t="s">
        <v>285</v>
      </c>
      <c r="F12" s="1882">
        <v>42635</v>
      </c>
      <c r="G12" s="1883">
        <v>0.72800790000000004</v>
      </c>
      <c r="H12" s="1884">
        <v>0.50683069597185804</v>
      </c>
      <c r="I12" s="1885">
        <v>0.20900000000000002</v>
      </c>
      <c r="J12" s="1886">
        <f t="shared" si="2"/>
        <v>0.51967042554651588</v>
      </c>
      <c r="K12" s="1886">
        <f t="shared" ca="1" si="0"/>
        <v>1.0973180577958395</v>
      </c>
      <c r="L12" s="1887" t="s">
        <v>1231</v>
      </c>
      <c r="M12" s="1888" t="s">
        <v>696</v>
      </c>
      <c r="N12" s="1887" t="s">
        <v>700</v>
      </c>
      <c r="O12" s="1889" t="s">
        <v>1398</v>
      </c>
      <c r="P12" s="1887">
        <f t="shared" si="1"/>
        <v>7.3549270072992705</v>
      </c>
      <c r="Q12" s="740" t="s">
        <v>670</v>
      </c>
      <c r="R12" s="712">
        <f t="shared" si="3"/>
        <v>1</v>
      </c>
      <c r="S12" s="712">
        <f t="shared" ref="S12:S29" si="4">S11+R12</f>
        <v>3</v>
      </c>
      <c r="T12" s="1890" t="s">
        <v>1399</v>
      </c>
      <c r="W12" s="741"/>
    </row>
    <row r="13" spans="1:23" ht="12.75" thickBot="1">
      <c r="A13" s="732"/>
      <c r="B13" s="732"/>
      <c r="C13" s="1875">
        <v>4</v>
      </c>
      <c r="D13" s="734" t="s">
        <v>287</v>
      </c>
      <c r="E13" s="734" t="s">
        <v>289</v>
      </c>
      <c r="F13" s="735">
        <v>43278</v>
      </c>
      <c r="G13" s="736">
        <v>0.59266980000000002</v>
      </c>
      <c r="H13" s="1876">
        <v>1.3875125128626471</v>
      </c>
      <c r="I13" s="738">
        <v>0.20900000000000002</v>
      </c>
      <c r="J13" s="739">
        <f t="shared" si="2"/>
        <v>0.28255707813043041</v>
      </c>
      <c r="K13" s="739">
        <f t="shared" ca="1" si="0"/>
        <v>0.59663773220205696</v>
      </c>
      <c r="L13" s="740" t="s">
        <v>702</v>
      </c>
      <c r="M13" s="1877" t="s">
        <v>1400</v>
      </c>
      <c r="N13" s="740" t="s">
        <v>704</v>
      </c>
      <c r="O13" s="1878" t="s">
        <v>1401</v>
      </c>
      <c r="P13" s="740">
        <f t="shared" si="1"/>
        <v>5.5956198670316777</v>
      </c>
      <c r="Q13" s="740" t="s">
        <v>670</v>
      </c>
      <c r="R13" s="712">
        <f t="shared" si="3"/>
        <v>1</v>
      </c>
      <c r="S13" s="712">
        <f t="shared" si="4"/>
        <v>4</v>
      </c>
      <c r="W13" s="741"/>
    </row>
    <row r="14" spans="1:23" ht="36.75" thickBot="1">
      <c r="A14" s="732"/>
      <c r="B14" s="732"/>
      <c r="C14" s="1875">
        <v>5</v>
      </c>
      <c r="D14" s="734" t="s">
        <v>292</v>
      </c>
      <c r="E14" s="734" t="s">
        <v>294</v>
      </c>
      <c r="F14" s="735">
        <v>43320</v>
      </c>
      <c r="G14" s="736">
        <v>0.50026939999999998</v>
      </c>
      <c r="H14" s="1876">
        <v>1.7772221467142124</v>
      </c>
      <c r="I14" s="738">
        <v>0.20900000000000002</v>
      </c>
      <c r="J14" s="739">
        <f t="shared" si="2"/>
        <v>0.20794454804517676</v>
      </c>
      <c r="K14" s="739">
        <f t="shared" ca="1" si="0"/>
        <v>0.43908849988951776</v>
      </c>
      <c r="L14" s="740" t="s">
        <v>706</v>
      </c>
      <c r="M14" s="1877" t="s">
        <v>1402</v>
      </c>
      <c r="N14" s="740" t="s">
        <v>708</v>
      </c>
      <c r="O14" s="1878" t="s">
        <v>1403</v>
      </c>
      <c r="P14" s="740">
        <f t="shared" si="1"/>
        <v>5.4806413766132192</v>
      </c>
      <c r="Q14" s="740" t="s">
        <v>670</v>
      </c>
      <c r="R14" s="712">
        <f t="shared" si="3"/>
        <v>1</v>
      </c>
      <c r="S14" s="712">
        <f t="shared" si="4"/>
        <v>5</v>
      </c>
      <c r="W14" s="741"/>
    </row>
    <row r="15" spans="1:23" ht="12.75" thickBot="1">
      <c r="A15" s="732"/>
      <c r="B15" s="732"/>
      <c r="C15" s="1875">
        <v>6</v>
      </c>
      <c r="D15" s="734" t="s">
        <v>296</v>
      </c>
      <c r="E15" s="734" t="s">
        <v>298</v>
      </c>
      <c r="F15" s="735">
        <v>43768</v>
      </c>
      <c r="G15" s="736">
        <v>0.60781370000000001</v>
      </c>
      <c r="H15" s="1876">
        <v>0.88816729262674743</v>
      </c>
      <c r="I15" s="738">
        <v>0.23100000000000001</v>
      </c>
      <c r="J15" s="739">
        <f t="shared" si="2"/>
        <v>0.36114882113175328</v>
      </c>
      <c r="K15" s="739">
        <f t="shared" ca="1" si="0"/>
        <v>0.76258933258090522</v>
      </c>
      <c r="L15" s="740" t="s">
        <v>706</v>
      </c>
      <c r="M15" s="1877" t="s">
        <v>696</v>
      </c>
      <c r="N15" s="740" t="s">
        <v>704</v>
      </c>
      <c r="O15" s="1878" t="s">
        <v>710</v>
      </c>
      <c r="P15" s="740">
        <f t="shared" si="1"/>
        <v>4.2536496350364965</v>
      </c>
      <c r="Q15" s="740" t="s">
        <v>670</v>
      </c>
      <c r="R15" s="712">
        <f t="shared" si="3"/>
        <v>1</v>
      </c>
      <c r="S15" s="712">
        <f t="shared" si="4"/>
        <v>6</v>
      </c>
      <c r="W15" s="741"/>
    </row>
    <row r="16" spans="1:23" ht="36.75" thickBot="1">
      <c r="A16" s="732"/>
      <c r="B16" s="732"/>
      <c r="C16" s="1875">
        <v>7</v>
      </c>
      <c r="D16" s="734" t="s">
        <v>300</v>
      </c>
      <c r="E16" s="734" t="s">
        <v>302</v>
      </c>
      <c r="F16" s="735">
        <v>43804</v>
      </c>
      <c r="G16" s="736">
        <v>0.54431660000000004</v>
      </c>
      <c r="H16" s="1876">
        <v>0</v>
      </c>
      <c r="I16" s="738">
        <v>0.20900000000000002</v>
      </c>
      <c r="J16" s="739">
        <f t="shared" si="2"/>
        <v>0.54431660000000004</v>
      </c>
      <c r="K16" s="739">
        <f t="shared" ca="1" si="0"/>
        <v>1.1493600654874507</v>
      </c>
      <c r="L16" s="740" t="s">
        <v>706</v>
      </c>
      <c r="M16" s="1877" t="s">
        <v>711</v>
      </c>
      <c r="N16" s="740" t="s">
        <v>708</v>
      </c>
      <c r="O16" s="1878" t="s">
        <v>1404</v>
      </c>
      <c r="P16" s="740">
        <f t="shared" si="1"/>
        <v>4.1551094890510951</v>
      </c>
      <c r="Q16" s="740" t="s">
        <v>670</v>
      </c>
      <c r="R16" s="712">
        <f t="shared" si="3"/>
        <v>1</v>
      </c>
      <c r="S16" s="712">
        <f t="shared" si="4"/>
        <v>7</v>
      </c>
      <c r="W16" s="741"/>
    </row>
    <row r="17" spans="1:23" ht="24.75" thickBot="1">
      <c r="A17" s="732"/>
      <c r="B17" s="732"/>
      <c r="C17" s="1875">
        <v>8</v>
      </c>
      <c r="D17" s="733" t="s">
        <v>1405</v>
      </c>
      <c r="E17" s="733" t="s">
        <v>1406</v>
      </c>
      <c r="F17" s="742">
        <v>44028</v>
      </c>
      <c r="G17" s="736">
        <v>0.68945970000000001</v>
      </c>
      <c r="H17" s="1876">
        <v>0.89296391417327214</v>
      </c>
      <c r="I17" s="738">
        <v>0.20899999999999999</v>
      </c>
      <c r="J17" s="739">
        <f t="shared" si="2"/>
        <v>0.40405894491010963</v>
      </c>
      <c r="K17" s="739">
        <f t="shared" ca="1" si="0"/>
        <v>0.85319686260289285</v>
      </c>
      <c r="L17" s="740" t="s">
        <v>706</v>
      </c>
      <c r="M17" s="1877" t="s">
        <v>1407</v>
      </c>
      <c r="N17" s="740" t="s">
        <v>1408</v>
      </c>
      <c r="O17" s="1878" t="s">
        <v>1409</v>
      </c>
      <c r="P17" s="740">
        <f t="shared" si="1"/>
        <v>3.5413245758073346</v>
      </c>
      <c r="Q17" s="740" t="s">
        <v>671</v>
      </c>
      <c r="R17" s="712">
        <f t="shared" si="3"/>
        <v>0</v>
      </c>
      <c r="S17" s="712">
        <f t="shared" si="4"/>
        <v>7</v>
      </c>
      <c r="W17" s="711"/>
    </row>
    <row r="18" spans="1:23" ht="24.75" thickBot="1">
      <c r="A18" s="732"/>
      <c r="B18" s="732"/>
      <c r="C18" s="1875">
        <v>9</v>
      </c>
      <c r="D18" s="733" t="s">
        <v>307</v>
      </c>
      <c r="E18" s="733" t="s">
        <v>1410</v>
      </c>
      <c r="F18" s="742">
        <v>44048</v>
      </c>
      <c r="G18" s="736">
        <v>0.69388570000000005</v>
      </c>
      <c r="H18" s="1876">
        <v>2.5590557748726828</v>
      </c>
      <c r="I18" s="738">
        <v>0.20900000000000002</v>
      </c>
      <c r="J18" s="739">
        <f t="shared" si="2"/>
        <v>0.22944338673997208</v>
      </c>
      <c r="K18" s="739">
        <f t="shared" ca="1" si="0"/>
        <v>0.48448470248586351</v>
      </c>
      <c r="L18" s="740" t="s">
        <v>706</v>
      </c>
      <c r="M18" s="1877" t="s">
        <v>696</v>
      </c>
      <c r="N18" s="740" t="s">
        <v>704</v>
      </c>
      <c r="O18" s="1878" t="s">
        <v>1331</v>
      </c>
      <c r="P18" s="740">
        <f t="shared" si="1"/>
        <v>3.4865900383141764</v>
      </c>
      <c r="Q18" s="740" t="s">
        <v>671</v>
      </c>
      <c r="R18" s="712">
        <f t="shared" si="3"/>
        <v>0</v>
      </c>
      <c r="S18" s="712">
        <f t="shared" si="4"/>
        <v>7</v>
      </c>
      <c r="T18" s="717"/>
    </row>
    <row r="19" spans="1:23" ht="36.75" thickBot="1">
      <c r="A19" s="732"/>
      <c r="B19" s="732"/>
      <c r="C19" s="1875">
        <v>10</v>
      </c>
      <c r="D19" s="733" t="s">
        <v>310</v>
      </c>
      <c r="E19" s="733" t="s">
        <v>1411</v>
      </c>
      <c r="F19" s="742">
        <v>44048</v>
      </c>
      <c r="G19" s="736">
        <v>0.62500650000000002</v>
      </c>
      <c r="H19" s="1876">
        <v>1.1172002586255971</v>
      </c>
      <c r="I19" s="738">
        <v>0.20900000000000002</v>
      </c>
      <c r="J19" s="739">
        <f t="shared" si="2"/>
        <v>0.33179630874485266</v>
      </c>
      <c r="K19" s="739">
        <f t="shared" ca="1" si="0"/>
        <v>0.70060958483992264</v>
      </c>
      <c r="L19" s="740" t="s">
        <v>706</v>
      </c>
      <c r="M19" s="1877" t="s">
        <v>1412</v>
      </c>
      <c r="N19" s="740" t="s">
        <v>1413</v>
      </c>
      <c r="O19" s="1878" t="s">
        <v>1414</v>
      </c>
      <c r="P19" s="740">
        <f t="shared" si="1"/>
        <v>3.4865900383141764</v>
      </c>
      <c r="Q19" s="740" t="s">
        <v>671</v>
      </c>
      <c r="R19" s="712">
        <f t="shared" si="3"/>
        <v>0</v>
      </c>
      <c r="S19" s="712">
        <f t="shared" si="4"/>
        <v>7</v>
      </c>
    </row>
    <row r="20" spans="1:23" ht="48.75" thickBot="1">
      <c r="A20" s="732"/>
      <c r="B20" s="732"/>
      <c r="C20" s="1875">
        <v>11</v>
      </c>
      <c r="D20" s="733" t="s">
        <v>313</v>
      </c>
      <c r="E20" s="733" t="s">
        <v>1415</v>
      </c>
      <c r="F20" s="742">
        <v>44050</v>
      </c>
      <c r="G20" s="736">
        <v>0.72692789999999996</v>
      </c>
      <c r="H20" s="1876">
        <v>1.3055530014216499</v>
      </c>
      <c r="I20" s="738">
        <v>0.23100000000000001</v>
      </c>
      <c r="J20" s="739">
        <f t="shared" si="2"/>
        <v>0.36274385663371184</v>
      </c>
      <c r="K20" s="739">
        <f t="shared" ca="1" si="0"/>
        <v>0.7659573542598066</v>
      </c>
      <c r="L20" s="740" t="s">
        <v>706</v>
      </c>
      <c r="M20" s="1877" t="s">
        <v>1416</v>
      </c>
      <c r="N20" s="740" t="s">
        <v>1417</v>
      </c>
      <c r="O20" s="1878" t="s">
        <v>1418</v>
      </c>
      <c r="P20" s="740">
        <f t="shared" si="1"/>
        <v>3.4811165845648606</v>
      </c>
      <c r="Q20" s="740" t="s">
        <v>671</v>
      </c>
      <c r="R20" s="712">
        <f t="shared" si="3"/>
        <v>0</v>
      </c>
      <c r="S20" s="712">
        <f t="shared" si="4"/>
        <v>7</v>
      </c>
    </row>
    <row r="21" spans="1:23" ht="24.75" thickBot="1">
      <c r="A21" s="732"/>
      <c r="B21" s="732"/>
      <c r="C21" s="1875">
        <v>12</v>
      </c>
      <c r="D21" s="733" t="s">
        <v>316</v>
      </c>
      <c r="E21" s="733" t="s">
        <v>1419</v>
      </c>
      <c r="F21" s="742">
        <v>44074</v>
      </c>
      <c r="G21" s="736">
        <v>0.6268861</v>
      </c>
      <c r="H21" s="1876">
        <v>1.587582681369635</v>
      </c>
      <c r="I21" s="738">
        <v>0.23100000000000001</v>
      </c>
      <c r="J21" s="739">
        <f t="shared" si="2"/>
        <v>0.28227291108731395</v>
      </c>
      <c r="K21" s="739">
        <f t="shared" ca="1" si="0"/>
        <v>0.59603769492359493</v>
      </c>
      <c r="L21" s="740" t="s">
        <v>706</v>
      </c>
      <c r="M21" s="1877" t="s">
        <v>696</v>
      </c>
      <c r="N21" s="740" t="s">
        <v>725</v>
      </c>
      <c r="O21" s="1878" t="s">
        <v>1420</v>
      </c>
      <c r="P21" s="740">
        <f t="shared" si="1"/>
        <v>3.4154351395730709</v>
      </c>
      <c r="Q21" s="740" t="s">
        <v>671</v>
      </c>
      <c r="R21" s="712">
        <f t="shared" si="3"/>
        <v>0</v>
      </c>
      <c r="S21" s="712">
        <f t="shared" si="4"/>
        <v>7</v>
      </c>
    </row>
    <row r="22" spans="1:23" ht="12.75" thickBot="1">
      <c r="A22" s="732"/>
      <c r="B22" s="732"/>
      <c r="C22" s="1875">
        <v>13</v>
      </c>
      <c r="D22" s="733" t="s">
        <v>1421</v>
      </c>
      <c r="E22" s="733" t="s">
        <v>1422</v>
      </c>
      <c r="F22" s="742">
        <v>44188</v>
      </c>
      <c r="G22" s="736">
        <v>0.76246170000000002</v>
      </c>
      <c r="H22" s="1876">
        <v>1.3270707540216689</v>
      </c>
      <c r="I22" s="738">
        <v>0.23100000000000001</v>
      </c>
      <c r="J22" s="739">
        <f t="shared" si="2"/>
        <v>0.37735962891771002</v>
      </c>
      <c r="K22" s="739">
        <f t="shared" ca="1" si="0"/>
        <v>0.79681951240358873</v>
      </c>
      <c r="L22" s="740" t="s">
        <v>706</v>
      </c>
      <c r="M22" s="1877" t="s">
        <v>711</v>
      </c>
      <c r="N22" s="740" t="s">
        <v>729</v>
      </c>
      <c r="O22" s="1878" t="s">
        <v>730</v>
      </c>
      <c r="P22" s="740">
        <f t="shared" si="1"/>
        <v>3.103448275862069</v>
      </c>
      <c r="Q22" s="740" t="s">
        <v>671</v>
      </c>
      <c r="R22" s="712">
        <f t="shared" si="3"/>
        <v>0</v>
      </c>
      <c r="S22" s="712">
        <f t="shared" si="4"/>
        <v>7</v>
      </c>
    </row>
    <row r="23" spans="1:23" ht="63.75" customHeight="1" thickBot="1">
      <c r="A23" s="732"/>
      <c r="B23" s="732"/>
      <c r="C23" s="1875">
        <v>14</v>
      </c>
      <c r="D23" s="733" t="s">
        <v>1423</v>
      </c>
      <c r="E23" s="733" t="s">
        <v>1424</v>
      </c>
      <c r="F23" s="744">
        <v>44435</v>
      </c>
      <c r="G23" s="736">
        <v>0.6630682</v>
      </c>
      <c r="H23" s="1876">
        <v>2.5600164920586992</v>
      </c>
      <c r="I23" s="738">
        <v>9.9000000000000019E-2</v>
      </c>
      <c r="J23" s="739">
        <f t="shared" si="2"/>
        <v>0.20053022484159627</v>
      </c>
      <c r="K23" s="739">
        <f t="shared" ca="1" si="0"/>
        <v>0.42343267200770707</v>
      </c>
      <c r="L23" s="740" t="s">
        <v>1425</v>
      </c>
      <c r="M23" s="1877" t="s">
        <v>1426</v>
      </c>
      <c r="N23" s="740" t="s">
        <v>1427</v>
      </c>
      <c r="O23" s="1891" t="s">
        <v>1428</v>
      </c>
      <c r="P23" s="740">
        <f t="shared" si="1"/>
        <v>2.4284736481861739</v>
      </c>
      <c r="Q23" s="740" t="s">
        <v>671</v>
      </c>
      <c r="R23" s="712">
        <f t="shared" si="3"/>
        <v>0</v>
      </c>
      <c r="S23" s="712">
        <f t="shared" si="4"/>
        <v>7</v>
      </c>
    </row>
    <row r="24" spans="1:23" ht="76.5" customHeight="1" thickBot="1">
      <c r="A24" s="732"/>
      <c r="B24" s="732"/>
      <c r="C24" s="1875">
        <v>15</v>
      </c>
      <c r="D24" s="733" t="s">
        <v>1429</v>
      </c>
      <c r="E24" s="733" t="s">
        <v>1430</v>
      </c>
      <c r="F24" s="744">
        <v>44453</v>
      </c>
      <c r="G24" s="736">
        <v>0.667381</v>
      </c>
      <c r="H24" s="1876">
        <v>1.6047088062852892</v>
      </c>
      <c r="I24" s="738">
        <v>0.20899999999999999</v>
      </c>
      <c r="J24" s="739">
        <f t="shared" si="2"/>
        <v>0.29408793288423674</v>
      </c>
      <c r="K24" s="739">
        <f t="shared" ca="1" si="0"/>
        <v>0.62098588541833066</v>
      </c>
      <c r="L24" s="740" t="s">
        <v>1431</v>
      </c>
      <c r="M24" s="1877" t="s">
        <v>1432</v>
      </c>
      <c r="N24" s="740" t="s">
        <v>1433</v>
      </c>
      <c r="O24" s="1878" t="s">
        <v>1434</v>
      </c>
      <c r="P24" s="740">
        <f t="shared" si="1"/>
        <v>2.3791923340177958</v>
      </c>
      <c r="Q24" s="740" t="s">
        <v>671</v>
      </c>
      <c r="R24" s="712">
        <f t="shared" si="3"/>
        <v>0</v>
      </c>
      <c r="S24" s="712">
        <f t="shared" si="4"/>
        <v>7</v>
      </c>
    </row>
    <row r="25" spans="1:23" ht="60.75" thickBot="1">
      <c r="A25" s="732"/>
      <c r="B25" s="732"/>
      <c r="C25" s="1875">
        <v>16</v>
      </c>
      <c r="D25" s="733" t="s">
        <v>1435</v>
      </c>
      <c r="E25" s="733" t="s">
        <v>1436</v>
      </c>
      <c r="F25" s="744">
        <v>44518</v>
      </c>
      <c r="G25" s="736">
        <v>0.61898430000000004</v>
      </c>
      <c r="H25" s="1876">
        <v>2.7476456285732667</v>
      </c>
      <c r="I25" s="738">
        <v>0.20900000000000002</v>
      </c>
      <c r="J25" s="739">
        <f t="shared" si="2"/>
        <v>0.1950547364638564</v>
      </c>
      <c r="K25" s="739">
        <f t="shared" ca="1" si="0"/>
        <v>0.41187082054035357</v>
      </c>
      <c r="L25" s="740" t="s">
        <v>1437</v>
      </c>
      <c r="M25" s="1877" t="s">
        <v>1438</v>
      </c>
      <c r="N25" s="740" t="s">
        <v>1439</v>
      </c>
      <c r="O25" s="1878" t="s">
        <v>1440</v>
      </c>
      <c r="P25" s="740">
        <f t="shared" si="1"/>
        <v>2.2012320328542097</v>
      </c>
      <c r="Q25" s="740" t="s">
        <v>671</v>
      </c>
      <c r="R25" s="712">
        <f t="shared" si="3"/>
        <v>0</v>
      </c>
      <c r="S25" s="712">
        <f t="shared" si="4"/>
        <v>7</v>
      </c>
    </row>
    <row r="26" spans="1:23" ht="15.75" customHeight="1" thickBot="1">
      <c r="A26" s="732"/>
      <c r="B26" s="732"/>
      <c r="C26" s="1875">
        <v>17</v>
      </c>
      <c r="D26" s="733" t="s">
        <v>1441</v>
      </c>
      <c r="E26" s="733" t="s">
        <v>1442</v>
      </c>
      <c r="F26" s="744">
        <v>44533</v>
      </c>
      <c r="G26" s="736">
        <v>0.71726900000000005</v>
      </c>
      <c r="H26" s="1876">
        <v>1.6495299213722507</v>
      </c>
      <c r="I26" s="738">
        <v>9.9000000000000019E-2</v>
      </c>
      <c r="J26" s="739">
        <f t="shared" si="2"/>
        <v>0.28849705036257106</v>
      </c>
      <c r="K26" s="739">
        <f t="shared" ca="1" si="0"/>
        <v>0.60918037167644901</v>
      </c>
      <c r="L26" s="740" t="s">
        <v>1443</v>
      </c>
      <c r="M26" s="740" t="s">
        <v>1444</v>
      </c>
      <c r="N26" s="740" t="s">
        <v>1445</v>
      </c>
      <c r="O26" s="1878" t="s">
        <v>1446</v>
      </c>
      <c r="P26" s="740">
        <f t="shared" si="1"/>
        <v>2.1601642710472277</v>
      </c>
      <c r="Q26" s="740" t="s">
        <v>671</v>
      </c>
      <c r="R26" s="712">
        <f t="shared" si="3"/>
        <v>0</v>
      </c>
      <c r="S26" s="712">
        <f t="shared" si="4"/>
        <v>7</v>
      </c>
    </row>
    <row r="27" spans="1:23" ht="54.75" customHeight="1" thickBot="1">
      <c r="A27" s="732"/>
      <c r="B27" s="732"/>
      <c r="C27" s="1875">
        <v>18</v>
      </c>
      <c r="D27" s="733" t="s">
        <v>1447</v>
      </c>
      <c r="E27" s="733" t="s">
        <v>1448</v>
      </c>
      <c r="F27" s="744">
        <v>44540</v>
      </c>
      <c r="G27" s="736">
        <v>0.70198959999999999</v>
      </c>
      <c r="H27" s="1876">
        <v>1.5026084685271057</v>
      </c>
      <c r="I27" s="738">
        <v>9.9000000000000019E-2</v>
      </c>
      <c r="J27" s="739">
        <f t="shared" si="2"/>
        <v>0.29823035935356701</v>
      </c>
      <c r="K27" s="739">
        <f t="shared" ca="1" si="0"/>
        <v>0.62973288956640616</v>
      </c>
      <c r="L27" s="740" t="s">
        <v>1425</v>
      </c>
      <c r="M27" s="740" t="s">
        <v>1449</v>
      </c>
      <c r="N27" s="740" t="s">
        <v>1450</v>
      </c>
      <c r="O27" s="1878" t="s">
        <v>1451</v>
      </c>
      <c r="P27" s="740">
        <f t="shared" si="1"/>
        <v>2.1409993155373033</v>
      </c>
      <c r="Q27" s="740" t="s">
        <v>671</v>
      </c>
      <c r="R27" s="712">
        <f t="shared" si="3"/>
        <v>0</v>
      </c>
      <c r="S27" s="712">
        <f t="shared" si="4"/>
        <v>7</v>
      </c>
    </row>
    <row r="28" spans="1:23" ht="15.75" customHeight="1" thickBot="1">
      <c r="A28" s="732"/>
      <c r="B28" s="732"/>
      <c r="C28" s="1875">
        <v>19</v>
      </c>
      <c r="D28" s="733" t="s">
        <v>1452</v>
      </c>
      <c r="E28" s="733" t="s">
        <v>1453</v>
      </c>
      <c r="F28" s="744">
        <v>44648</v>
      </c>
      <c r="G28" s="736">
        <v>0.79530259999999997</v>
      </c>
      <c r="H28" s="1876">
        <v>1.5443852077515443</v>
      </c>
      <c r="I28" s="738" t="e">
        <v>#VALUE!</v>
      </c>
      <c r="J28" s="739" t="e">
        <f t="shared" si="2"/>
        <v>#VALUE!</v>
      </c>
      <c r="K28" s="739" t="e">
        <f t="shared" ca="1" si="0"/>
        <v>#VALUE!</v>
      </c>
      <c r="L28" s="740" t="s">
        <v>1437</v>
      </c>
      <c r="M28" s="740"/>
      <c r="N28" s="740"/>
      <c r="O28" s="740"/>
      <c r="P28" s="740">
        <f t="shared" si="1"/>
        <v>1.8448905109489051</v>
      </c>
      <c r="Q28" s="740" t="s">
        <v>671</v>
      </c>
      <c r="R28" s="712">
        <f t="shared" si="3"/>
        <v>0</v>
      </c>
      <c r="S28" s="712">
        <f t="shared" si="4"/>
        <v>7</v>
      </c>
    </row>
    <row r="29" spans="1:23" ht="15.75" customHeight="1" thickBot="1">
      <c r="A29" s="732"/>
      <c r="B29" s="732"/>
      <c r="C29" s="1875">
        <v>20</v>
      </c>
      <c r="D29" s="733" t="s">
        <v>1355</v>
      </c>
      <c r="E29" s="733" t="s">
        <v>1454</v>
      </c>
      <c r="F29" s="744">
        <v>44712</v>
      </c>
      <c r="G29" s="736">
        <v>0.64717150000000001</v>
      </c>
      <c r="H29" s="1876">
        <v>0.55255667877122383</v>
      </c>
      <c r="I29" s="738">
        <v>9.9000000000000019E-2</v>
      </c>
      <c r="J29" s="738">
        <f t="shared" si="2"/>
        <v>0.43206593355362433</v>
      </c>
      <c r="K29" s="738">
        <f t="shared" ca="1" si="0"/>
        <v>0.91233544904581287</v>
      </c>
      <c r="L29" s="740" t="s">
        <v>1425</v>
      </c>
      <c r="M29" s="740"/>
      <c r="N29" s="740"/>
      <c r="O29" s="740"/>
      <c r="P29" s="740">
        <f t="shared" si="1"/>
        <v>1.6697080291970803</v>
      </c>
      <c r="Q29" s="740" t="s">
        <v>671</v>
      </c>
      <c r="R29" s="712">
        <f t="shared" si="3"/>
        <v>0</v>
      </c>
      <c r="S29" s="712">
        <f t="shared" si="4"/>
        <v>7</v>
      </c>
    </row>
    <row r="30" spans="1:23" ht="15.75" customHeight="1" thickBot="1">
      <c r="A30" s="732"/>
      <c r="B30" s="732"/>
      <c r="C30" s="1875">
        <v>21</v>
      </c>
      <c r="D30" s="733" t="s">
        <v>1455</v>
      </c>
      <c r="E30" s="733" t="s">
        <v>1456</v>
      </c>
      <c r="F30" s="744">
        <v>44840</v>
      </c>
      <c r="G30" s="736">
        <v>0.63968729999999996</v>
      </c>
      <c r="H30" s="1876" t="e">
        <v>#VALUE!</v>
      </c>
      <c r="I30" s="738" t="e">
        <v>#N/A</v>
      </c>
      <c r="J30" s="738" t="e">
        <f t="shared" si="2"/>
        <v>#VALUE!</v>
      </c>
      <c r="K30" s="738" t="e">
        <f t="shared" ca="1" si="0"/>
        <v>#VALUE!</v>
      </c>
      <c r="L30" s="740" t="s">
        <v>1425</v>
      </c>
      <c r="M30" s="740"/>
      <c r="N30" s="740"/>
      <c r="O30" s="740"/>
      <c r="P30" s="740">
        <f t="shared" si="1"/>
        <v>1.3193430656934306</v>
      </c>
      <c r="Q30" s="740" t="s">
        <v>671</v>
      </c>
    </row>
    <row r="31" spans="1:23" ht="15.75" customHeight="1" thickBot="1">
      <c r="A31" s="732"/>
      <c r="B31" s="732"/>
      <c r="C31" s="1875">
        <v>22</v>
      </c>
      <c r="D31" s="733" t="s">
        <v>1457</v>
      </c>
      <c r="E31" s="733"/>
      <c r="F31" s="744">
        <v>45012</v>
      </c>
      <c r="G31" s="736" t="e">
        <v>#N/A</v>
      </c>
      <c r="H31" s="1876" t="e">
        <v>#N/A</v>
      </c>
      <c r="I31" s="733"/>
      <c r="J31" s="738" t="e">
        <f t="shared" si="2"/>
        <v>#N/A</v>
      </c>
      <c r="K31" s="738" t="e">
        <f t="shared" ca="1" si="0"/>
        <v>#N/A</v>
      </c>
      <c r="L31" s="740" t="s">
        <v>1425</v>
      </c>
      <c r="M31" s="733"/>
      <c r="N31" s="744"/>
      <c r="O31" s="733"/>
      <c r="P31" s="740">
        <f t="shared" si="1"/>
        <v>0.84931506849315064</v>
      </c>
      <c r="Q31" s="740" t="s">
        <v>671</v>
      </c>
    </row>
    <row r="32" spans="1:23" ht="15.75" customHeight="1" thickBot="1">
      <c r="A32" s="732"/>
      <c r="B32" s="732"/>
      <c r="C32" s="1875">
        <v>23</v>
      </c>
      <c r="D32" s="733" t="s">
        <v>1458</v>
      </c>
      <c r="E32" s="733"/>
      <c r="F32" s="744">
        <v>45026</v>
      </c>
      <c r="G32" s="736" t="e">
        <v>#N/A</v>
      </c>
      <c r="H32" s="1876" t="e">
        <v>#N/A</v>
      </c>
      <c r="I32" s="733"/>
      <c r="J32" s="738" t="e">
        <f t="shared" si="2"/>
        <v>#N/A</v>
      </c>
      <c r="K32" s="738" t="e">
        <f t="shared" ca="1" si="0"/>
        <v>#N/A</v>
      </c>
      <c r="L32" s="740" t="s">
        <v>1431</v>
      </c>
      <c r="M32" s="740"/>
      <c r="N32" s="740"/>
      <c r="O32" s="740"/>
      <c r="P32" s="740">
        <f t="shared" si="1"/>
        <v>0.81095890410958904</v>
      </c>
      <c r="Q32" s="740" t="s">
        <v>671</v>
      </c>
    </row>
    <row r="33" spans="1:17" ht="15.75" customHeight="1" thickBot="1">
      <c r="A33" s="748"/>
      <c r="B33" s="748"/>
      <c r="D33" s="750"/>
      <c r="E33" s="750"/>
      <c r="F33" s="751"/>
      <c r="G33" s="752">
        <f ca="1">AVERAGEIF($Q$10:$S$32,"O",G10:G32)</f>
        <v>0.64095142857142851</v>
      </c>
      <c r="H33" s="752">
        <f ca="1">AVERAGEIF($Q$10:$S$32,"O",H10:H32)</f>
        <v>1.405265914101246</v>
      </c>
      <c r="I33" s="754"/>
      <c r="J33" s="752">
        <f ca="1">AVERAGEIF($Q$10:$S$32,"O",J10:J32)</f>
        <v>0.34374873312833909</v>
      </c>
      <c r="K33" s="752">
        <f ca="1">AVERAGEIF($Q$10:$Q$32,"O",K10:K32)</f>
        <v>0.72584790987380499</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1358</v>
      </c>
      <c r="D35" s="750"/>
      <c r="E35" s="750"/>
      <c r="F35" s="751"/>
      <c r="G35" s="759"/>
      <c r="H35" s="760"/>
      <c r="I35" s="760"/>
      <c r="J35" s="761"/>
      <c r="K35" s="761"/>
      <c r="L35" s="756"/>
      <c r="O35" s="757"/>
      <c r="P35" s="757"/>
      <c r="Q35" s="757"/>
    </row>
    <row r="36" spans="1:17" ht="15.75" customHeight="1">
      <c r="A36" s="748"/>
      <c r="B36" s="748"/>
      <c r="C36" s="1894" t="s">
        <v>1459</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1460</v>
      </c>
    </row>
    <row r="41" spans="1:17" s="766" customFormat="1" ht="12.75" thickBot="1">
      <c r="C41" s="768" t="s">
        <v>266</v>
      </c>
      <c r="D41" s="768" t="s">
        <v>267</v>
      </c>
      <c r="E41" s="768" t="s">
        <v>1461</v>
      </c>
      <c r="F41" s="768" t="s">
        <v>1462</v>
      </c>
      <c r="G41" s="768" t="s">
        <v>1463</v>
      </c>
      <c r="H41" s="769" t="s">
        <v>1464</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0.71219350000000003</v>
      </c>
      <c r="F42" s="773">
        <f>IFERROR(INDEX($H$10:$H$32,MATCH(C42,$D$10:$D$32,0)),"")</f>
        <v>2.3723692564652765</v>
      </c>
      <c r="G42" s="772">
        <f>IFERROR(INDEX($J$10:$J$32,MATCH(C42,$D$10:$D$32,0)),"")</f>
        <v>0.24758650649236372</v>
      </c>
      <c r="H42" s="772">
        <f ca="1">IFERROR(INDEX($K$10:$K$32,MATCH(C42,$D$10:$D$32,0)),"")</f>
        <v>0.52279508527917806</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0.80138909999999997</v>
      </c>
      <c r="F43" s="773">
        <f t="shared" ref="F43:F53" si="8">IFERROR(INDEX($H$10:$H$32,MATCH(C43,$D$10:$D$32,0)),"")</f>
        <v>2.9047594940679815</v>
      </c>
      <c r="G43" s="772">
        <f t="shared" ref="G43:G53" si="9">IFERROR(INDEX($J$10:$J$32,MATCH(C43,$D$10:$D$32,0)),"")</f>
        <v>0.24301715255213338</v>
      </c>
      <c r="H43" s="772">
        <f t="shared" ref="H43:H53" ca="1" si="10">IFERROR(INDEX($K$10:$K$32,MATCH(C43,$D$10:$D$32,0)),"")</f>
        <v>0.51314659588168687</v>
      </c>
    </row>
    <row r="44" spans="1:17" s="766" customFormat="1" ht="12.75" thickBot="1">
      <c r="A44" s="770">
        <v>3</v>
      </c>
      <c r="B44" s="770"/>
      <c r="C44" s="771" t="str">
        <f t="shared" si="5"/>
        <v>모두투어리츠</v>
      </c>
      <c r="D44" s="771" t="str">
        <f t="shared" si="6"/>
        <v>자기관리</v>
      </c>
      <c r="E44" s="772">
        <f t="shared" si="7"/>
        <v>0.72800790000000004</v>
      </c>
      <c r="F44" s="773">
        <f t="shared" si="8"/>
        <v>0.50683069597185804</v>
      </c>
      <c r="G44" s="772">
        <f t="shared" si="9"/>
        <v>0.51967042554651588</v>
      </c>
      <c r="H44" s="772">
        <f t="shared" ca="1" si="10"/>
        <v>1.0973180577958395</v>
      </c>
    </row>
    <row r="45" spans="1:17" s="766" customFormat="1" ht="12.75" thickBot="1">
      <c r="A45" s="770">
        <v>4</v>
      </c>
      <c r="B45" s="770"/>
      <c r="C45" s="771" t="str">
        <f t="shared" si="5"/>
        <v>이리츠코크렙</v>
      </c>
      <c r="D45" s="771" t="str">
        <f t="shared" si="6"/>
        <v>기업구조조정</v>
      </c>
      <c r="E45" s="772">
        <f t="shared" si="7"/>
        <v>0.59266980000000002</v>
      </c>
      <c r="F45" s="773">
        <f t="shared" si="8"/>
        <v>1.3875125128626471</v>
      </c>
      <c r="G45" s="772">
        <f t="shared" si="9"/>
        <v>0.28255707813043041</v>
      </c>
      <c r="H45" s="772">
        <f t="shared" ca="1" si="10"/>
        <v>0.59663773220205696</v>
      </c>
    </row>
    <row r="46" spans="1:17" s="766" customFormat="1" ht="12.75" thickBot="1">
      <c r="A46" s="770">
        <v>5</v>
      </c>
      <c r="B46" s="770"/>
      <c r="C46" s="771" t="str">
        <f t="shared" si="5"/>
        <v>신한알파리츠</v>
      </c>
      <c r="D46" s="771" t="str">
        <f t="shared" si="6"/>
        <v>위탁관리</v>
      </c>
      <c r="E46" s="772">
        <f t="shared" si="7"/>
        <v>0.50026939999999998</v>
      </c>
      <c r="F46" s="773">
        <f t="shared" si="8"/>
        <v>1.7772221467142124</v>
      </c>
      <c r="G46" s="772">
        <f t="shared" si="9"/>
        <v>0.20794454804517676</v>
      </c>
      <c r="H46" s="772">
        <f t="shared" ca="1" si="10"/>
        <v>0.43908849988951776</v>
      </c>
    </row>
    <row r="47" spans="1:17" s="766" customFormat="1" ht="12.75" thickBot="1">
      <c r="A47" s="770">
        <v>6</v>
      </c>
      <c r="B47" s="770"/>
      <c r="C47" s="771" t="str">
        <f t="shared" si="5"/>
        <v>롯데리츠</v>
      </c>
      <c r="D47" s="771" t="str">
        <f t="shared" si="6"/>
        <v>위탁관리</v>
      </c>
      <c r="E47" s="772">
        <f t="shared" si="7"/>
        <v>0.60781370000000001</v>
      </c>
      <c r="F47" s="773">
        <f t="shared" si="8"/>
        <v>0.88816729262674743</v>
      </c>
      <c r="G47" s="772">
        <f t="shared" si="9"/>
        <v>0.36114882113175328</v>
      </c>
      <c r="H47" s="772">
        <f t="shared" ca="1" si="10"/>
        <v>0.76258933258090522</v>
      </c>
    </row>
    <row r="48" spans="1:17" s="766" customFormat="1" ht="12.75" thickBot="1">
      <c r="A48" s="770">
        <v>7</v>
      </c>
      <c r="B48" s="770"/>
      <c r="C48" s="771" t="str">
        <f t="shared" si="5"/>
        <v>NH프라임리츠</v>
      </c>
      <c r="D48" s="771" t="str">
        <f t="shared" si="6"/>
        <v>위탁관리</v>
      </c>
      <c r="E48" s="772">
        <f t="shared" si="7"/>
        <v>0.54431660000000004</v>
      </c>
      <c r="F48" s="773">
        <f t="shared" si="8"/>
        <v>0</v>
      </c>
      <c r="G48" s="772">
        <f t="shared" si="9"/>
        <v>0.54431660000000004</v>
      </c>
      <c r="H48" s="772">
        <f t="shared" ca="1" si="10"/>
        <v>1.1493600654874507</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0.64095142857142851</v>
      </c>
      <c r="F54" s="1789">
        <f t="shared" ref="F54:H54" si="12">AVERAGE(F42:F53)</f>
        <v>1.405265914101246</v>
      </c>
      <c r="G54" s="776">
        <f t="shared" si="12"/>
        <v>0.34374873312833909</v>
      </c>
      <c r="H54" s="776">
        <f t="shared" ca="1" si="12"/>
        <v>0.72584790987380499</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1465</v>
      </c>
      <c r="D57" s="778"/>
      <c r="E57" s="778"/>
      <c r="F57" s="779"/>
    </row>
    <row r="58" spans="1:18" s="766" customFormat="1" ht="17.25" thickBot="1">
      <c r="C58" s="780" t="s">
        <v>345</v>
      </c>
      <c r="D58" s="781" t="s">
        <v>346</v>
      </c>
      <c r="E58" s="1790">
        <f>N6</f>
        <v>45382</v>
      </c>
      <c r="F58" s="778"/>
      <c r="G58" s="1791">
        <v>45291</v>
      </c>
      <c r="K58" s="782"/>
      <c r="L58" s="782"/>
      <c r="M58" s="782"/>
      <c r="N58" s="782"/>
      <c r="O58" s="782"/>
      <c r="P58" s="782"/>
      <c r="Q58" s="782"/>
      <c r="R58" s="782"/>
    </row>
    <row r="59" spans="1:18" s="766" customFormat="1" ht="12.75" thickBot="1">
      <c r="C59" s="783" t="s">
        <v>1466</v>
      </c>
      <c r="D59" s="1895" t="s">
        <v>358</v>
      </c>
      <c r="E59" s="784">
        <f ca="1">G33</f>
        <v>0.64095142857142851</v>
      </c>
      <c r="G59" s="1792">
        <v>0.63472008749999997</v>
      </c>
      <c r="K59" s="786"/>
      <c r="L59" s="786"/>
      <c r="M59" s="786"/>
      <c r="N59" s="786"/>
      <c r="O59" s="786"/>
      <c r="P59" s="786"/>
      <c r="Q59" s="786"/>
      <c r="R59" s="786"/>
    </row>
    <row r="60" spans="1:18" s="766" customFormat="1" ht="12.75" thickBot="1">
      <c r="C60" s="783" t="s">
        <v>360</v>
      </c>
      <c r="D60" s="1895" t="s">
        <v>358</v>
      </c>
      <c r="E60" s="787">
        <f ca="1">H33</f>
        <v>1.405265914101246</v>
      </c>
      <c r="G60" s="1793">
        <v>1.8653140128171524</v>
      </c>
      <c r="K60" s="789"/>
      <c r="L60" s="789"/>
      <c r="M60" s="789"/>
      <c r="N60" s="789"/>
      <c r="O60" s="789"/>
      <c r="P60" s="789"/>
      <c r="Q60" s="789"/>
      <c r="R60" s="789"/>
    </row>
    <row r="61" spans="1:18" s="766" customFormat="1" ht="24.75" thickBot="1">
      <c r="C61" s="790" t="s">
        <v>1467</v>
      </c>
      <c r="D61" s="1896" t="s">
        <v>757</v>
      </c>
      <c r="E61" s="784">
        <f ca="1">J33</f>
        <v>0.34374873312833909</v>
      </c>
      <c r="G61" s="1792">
        <v>0.26006786624682998</v>
      </c>
      <c r="K61" s="786"/>
      <c r="L61" s="786"/>
      <c r="M61" s="786"/>
      <c r="N61" s="786"/>
      <c r="O61" s="786"/>
      <c r="P61" s="786"/>
      <c r="Q61" s="786"/>
      <c r="R61" s="792"/>
    </row>
    <row r="62" spans="1:18" s="766" customFormat="1" ht="24.75" thickBot="1">
      <c r="C62" s="793" t="s">
        <v>1468</v>
      </c>
      <c r="D62" s="1896" t="s">
        <v>1469</v>
      </c>
      <c r="E62" s="1898">
        <f ca="1">E61*(1+$E$60*(1-$E$67))</f>
        <v>0.72584790987380499</v>
      </c>
      <c r="G62" s="1792">
        <v>0.64378848028502211</v>
      </c>
      <c r="K62" s="786"/>
      <c r="L62" s="786"/>
      <c r="M62" s="786"/>
      <c r="N62" s="786"/>
      <c r="O62" s="786"/>
      <c r="P62" s="786"/>
      <c r="Q62" s="786"/>
      <c r="R62" s="786"/>
    </row>
    <row r="63" spans="1:18" s="766" customFormat="1" ht="24.75" thickBot="1">
      <c r="C63" s="793" t="s">
        <v>1470</v>
      </c>
      <c r="D63" s="1896" t="s">
        <v>1471</v>
      </c>
      <c r="E63" s="795">
        <f>E68</f>
        <v>3.6400000000000002E-2</v>
      </c>
      <c r="G63" s="1794">
        <v>3.6499999999999998E-2</v>
      </c>
      <c r="K63" s="789"/>
      <c r="L63" s="789"/>
      <c r="M63" s="789"/>
      <c r="N63" s="789"/>
      <c r="O63" s="789"/>
      <c r="P63" s="789"/>
      <c r="Q63" s="789"/>
      <c r="R63" s="789"/>
    </row>
    <row r="64" spans="1:18" s="766" customFormat="1" ht="36.75" thickBot="1">
      <c r="C64" s="793" t="s">
        <v>1472</v>
      </c>
      <c r="D64" s="791" t="s">
        <v>1473</v>
      </c>
      <c r="E64" s="797">
        <f>E69</f>
        <v>0.1115</v>
      </c>
      <c r="G64" s="1794">
        <v>0.1101</v>
      </c>
      <c r="K64" s="789"/>
      <c r="L64" s="789"/>
      <c r="M64" s="789"/>
      <c r="N64" s="789"/>
      <c r="O64" s="789"/>
      <c r="P64" s="789"/>
      <c r="Q64" s="789"/>
      <c r="R64" s="789"/>
    </row>
    <row r="65" spans="3:18" s="766" customFormat="1" ht="12.75" thickBot="1">
      <c r="C65" s="798" t="s">
        <v>1474</v>
      </c>
      <c r="D65" s="799" t="s">
        <v>373</v>
      </c>
      <c r="E65" s="800">
        <f ca="1">E63+E62*E64</f>
        <v>0.11733204195092926</v>
      </c>
      <c r="F65" s="801"/>
      <c r="G65" s="1795">
        <v>0.10738111167938094</v>
      </c>
      <c r="H65" s="801">
        <f ca="1">E65-G65</f>
        <v>9.9509302715483222E-3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1475</v>
      </c>
      <c r="E67" s="788">
        <v>0.20899999999999999</v>
      </c>
    </row>
    <row r="68" spans="3:18" ht="15.75" customHeight="1">
      <c r="C68" s="1897">
        <v>45322</v>
      </c>
      <c r="D68" s="785" t="s">
        <v>1476</v>
      </c>
      <c r="E68" s="1862">
        <v>3.6400000000000002E-2</v>
      </c>
    </row>
    <row r="69" spans="3:18" ht="15.75" customHeight="1">
      <c r="C69" s="1897">
        <v>45322</v>
      </c>
      <c r="D69" s="785" t="s">
        <v>1477</v>
      </c>
      <c r="E69" s="794">
        <v>0.1115</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41" priority="14">
      <formula>$L33="O"</formula>
    </cfRule>
  </conditionalFormatting>
  <conditionalFormatting sqref="P31:P32 C11:F30 C10:Q10 G11:H32 I18:P30 Q18:Q32 I11:Q17">
    <cfRule type="expression" dxfId="40" priority="15">
      <formula>$Q10="O"</formula>
    </cfRule>
  </conditionalFormatting>
  <conditionalFormatting sqref="J22:K30">
    <cfRule type="expression" dxfId="39" priority="13">
      <formula>$Q22="O"</formula>
    </cfRule>
  </conditionalFormatting>
  <conditionalFormatting sqref="I22:I30">
    <cfRule type="expression" dxfId="38" priority="12">
      <formula>$P22="O"</formula>
    </cfRule>
  </conditionalFormatting>
  <conditionalFormatting sqref="C31:F32 M31:O31 I31:I32">
    <cfRule type="expression" dxfId="37" priority="11">
      <formula>$Q31="O"</formula>
    </cfRule>
  </conditionalFormatting>
  <conditionalFormatting sqref="J29:K30">
    <cfRule type="expression" dxfId="36" priority="10">
      <formula>$P29="O"</formula>
    </cfRule>
  </conditionalFormatting>
  <conditionalFormatting sqref="J33">
    <cfRule type="expression" dxfId="35" priority="5">
      <formula>$L33="O"</formula>
    </cfRule>
  </conditionalFormatting>
  <conditionalFormatting sqref="K33">
    <cfRule type="expression" dxfId="34" priority="9">
      <formula>$L33="O"</formula>
    </cfRule>
  </conditionalFormatting>
  <conditionalFormatting sqref="L33:Q33">
    <cfRule type="expression" dxfId="33" priority="8">
      <formula>$Q33="O"</formula>
    </cfRule>
  </conditionalFormatting>
  <conditionalFormatting sqref="L31">
    <cfRule type="expression" dxfId="32" priority="7">
      <formula>$Q31="O"</formula>
    </cfRule>
  </conditionalFormatting>
  <conditionalFormatting sqref="L32:O32">
    <cfRule type="expression" dxfId="31" priority="6">
      <formula>$Q32="O"</formula>
    </cfRule>
  </conditionalFormatting>
  <conditionalFormatting sqref="J31:K32">
    <cfRule type="expression" dxfId="30" priority="4">
      <formula>$Q31="O"</formula>
    </cfRule>
  </conditionalFormatting>
  <conditionalFormatting sqref="J31:K32">
    <cfRule type="expression" dxfId="29" priority="3">
      <formula>$Q31="O"</formula>
    </cfRule>
  </conditionalFormatting>
  <conditionalFormatting sqref="J31:K32">
    <cfRule type="expression" dxfId="28" priority="2">
      <formula>$P31="O"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zoomScale="85" zoomScaleNormal="85" workbookViewId="0">
      <pane xSplit="4" topLeftCell="E1" activePane="topRight" state="frozen"/>
      <selection activeCell="E65" sqref="E65"/>
      <selection pane="topRight" activeCell="J21" sqref="J21"/>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1298</v>
      </c>
      <c r="D1" s="711"/>
      <c r="E1" s="711"/>
      <c r="F1" s="711"/>
      <c r="G1" s="711"/>
      <c r="H1" s="711"/>
      <c r="I1" s="711"/>
      <c r="J1" s="711"/>
      <c r="K1" s="711"/>
      <c r="R1" s="713" t="s">
        <v>1299</v>
      </c>
    </row>
    <row r="2" spans="1:23" ht="15.75" customHeight="1" thickBot="1">
      <c r="A2" s="709"/>
      <c r="B2" s="709"/>
      <c r="C2" s="710"/>
      <c r="D2" s="711"/>
      <c r="E2" s="711"/>
      <c r="F2" s="711"/>
      <c r="G2" s="711"/>
      <c r="H2" s="711"/>
      <c r="I2" s="711"/>
      <c r="J2" s="711"/>
      <c r="K2" s="711"/>
      <c r="R2" s="713" t="s">
        <v>1300</v>
      </c>
    </row>
    <row r="3" spans="1:23" ht="15.75" customHeight="1" thickBot="1">
      <c r="C3" s="714" t="s">
        <v>1301</v>
      </c>
      <c r="E3" s="715"/>
      <c r="L3" s="716"/>
      <c r="N3" s="717"/>
      <c r="O3" s="718"/>
      <c r="P3" s="719"/>
      <c r="Q3" s="719"/>
      <c r="R3" s="719"/>
      <c r="S3" s="719"/>
      <c r="T3" s="719"/>
      <c r="U3" s="718"/>
    </row>
    <row r="4" spans="1:23" ht="15.75" customHeight="1" thickTop="1">
      <c r="C4" s="1787" t="s">
        <v>1302</v>
      </c>
      <c r="N4" s="717"/>
      <c r="O4" s="718"/>
      <c r="P4" s="718"/>
      <c r="Q4" s="718"/>
      <c r="R4" s="718"/>
      <c r="S4" s="718"/>
      <c r="T4" s="718"/>
      <c r="U4" s="718"/>
      <c r="V4" s="717"/>
    </row>
    <row r="5" spans="1:23" ht="15.75" customHeight="1" thickBot="1">
      <c r="C5" s="1788" t="s">
        <v>1303</v>
      </c>
      <c r="N5" s="717"/>
      <c r="O5" s="718"/>
      <c r="P5" s="718"/>
      <c r="Q5" s="718"/>
      <c r="R5" s="718"/>
      <c r="S5" s="718"/>
      <c r="T5" s="718"/>
      <c r="U5" s="718"/>
      <c r="V5" s="717"/>
    </row>
    <row r="6" spans="1:23" ht="15.75" customHeight="1" thickBot="1">
      <c r="M6" s="722" t="s">
        <v>1304</v>
      </c>
      <c r="N6" s="723">
        <v>45291</v>
      </c>
      <c r="Q6" s="718"/>
      <c r="R6" s="718"/>
      <c r="S6" s="718"/>
      <c r="T6" s="718"/>
      <c r="U6" s="718"/>
    </row>
    <row r="7" spans="1:23" ht="15.75" customHeight="1" thickBot="1">
      <c r="J7" s="724" t="s">
        <v>1305</v>
      </c>
      <c r="K7" s="725">
        <f>E67</f>
        <v>0.20899999999999999</v>
      </c>
      <c r="M7" s="726" t="s">
        <v>1306</v>
      </c>
      <c r="N7" s="727">
        <v>45252</v>
      </c>
      <c r="Q7" s="728"/>
      <c r="R7" s="728"/>
      <c r="S7" s="718"/>
      <c r="T7" s="718"/>
      <c r="U7" s="718"/>
    </row>
    <row r="8" spans="1:23" ht="15.75" customHeight="1" thickBot="1">
      <c r="G8" s="729"/>
      <c r="H8" s="729"/>
      <c r="I8" s="729"/>
      <c r="J8" s="729"/>
      <c r="K8" s="729"/>
      <c r="N8" s="718"/>
      <c r="O8" s="718"/>
      <c r="P8" s="728"/>
      <c r="Q8" s="730" t="s">
        <v>1295</v>
      </c>
      <c r="R8" s="728"/>
      <c r="W8" s="718"/>
    </row>
    <row r="9" spans="1:23" ht="15.75" customHeight="1" thickTop="1" thickBot="1">
      <c r="C9" s="731" t="s">
        <v>1307</v>
      </c>
      <c r="D9" s="731" t="s">
        <v>255</v>
      </c>
      <c r="E9" s="731" t="s">
        <v>1308</v>
      </c>
      <c r="F9" s="731" t="s">
        <v>258</v>
      </c>
      <c r="G9" s="731" t="s">
        <v>1309</v>
      </c>
      <c r="H9" s="731" t="s">
        <v>1310</v>
      </c>
      <c r="I9" s="731" t="s">
        <v>1311</v>
      </c>
      <c r="J9" s="731" t="s">
        <v>1312</v>
      </c>
      <c r="K9" s="731" t="s">
        <v>1313</v>
      </c>
      <c r="L9" s="731" t="s">
        <v>687</v>
      </c>
      <c r="M9" s="731" t="s">
        <v>688</v>
      </c>
      <c r="N9" s="731" t="s">
        <v>689</v>
      </c>
      <c r="O9" s="731" t="s">
        <v>690</v>
      </c>
      <c r="P9" s="731" t="s">
        <v>264</v>
      </c>
      <c r="Q9" s="731" t="s">
        <v>1314</v>
      </c>
      <c r="W9" s="718"/>
    </row>
    <row r="10" spans="1:23" ht="24.75" thickBot="1">
      <c r="A10" s="732"/>
      <c r="B10" s="732"/>
      <c r="C10" s="733">
        <v>1</v>
      </c>
      <c r="D10" s="734" t="s">
        <v>273</v>
      </c>
      <c r="E10" s="734" t="s">
        <v>275</v>
      </c>
      <c r="F10" s="735">
        <v>40738</v>
      </c>
      <c r="G10" s="736">
        <v>0.69898769999999999</v>
      </c>
      <c r="H10" s="737">
        <v>2.2245286445010399</v>
      </c>
      <c r="I10" s="738">
        <v>0.20900000000000002</v>
      </c>
      <c r="J10" s="739">
        <f>G10/(1+H10*(1-I10))</f>
        <v>0.25329292413554377</v>
      </c>
      <c r="K10" s="739">
        <f t="shared" ref="K10:K30" si="0">J10*(1+$H$31*(1-$K$7))</f>
        <v>0.57116959216991825</v>
      </c>
      <c r="L10" s="740" t="s">
        <v>1315</v>
      </c>
      <c r="M10" s="740" t="s">
        <v>1316</v>
      </c>
      <c r="N10" s="740" t="s">
        <v>694</v>
      </c>
      <c r="O10" s="740" t="s">
        <v>1317</v>
      </c>
      <c r="P10" s="740">
        <f t="shared" ref="P10:P30" si="1">YEARFRAC(F10,EOMONTH($N$6,-2),1)</f>
        <v>12.299073294018534</v>
      </c>
      <c r="Q10" s="740" t="s">
        <v>670</v>
      </c>
      <c r="R10" s="712">
        <f>IF(Q10="O",1,0)</f>
        <v>1</v>
      </c>
      <c r="S10" s="712">
        <f>R10</f>
        <v>1</v>
      </c>
      <c r="W10" s="718"/>
    </row>
    <row r="11" spans="1:23" ht="24.75" thickBot="1">
      <c r="A11" s="732"/>
      <c r="B11" s="732"/>
      <c r="C11" s="733">
        <v>2</v>
      </c>
      <c r="D11" s="734" t="s">
        <v>278</v>
      </c>
      <c r="E11" s="734" t="s">
        <v>280</v>
      </c>
      <c r="F11" s="735">
        <v>40939</v>
      </c>
      <c r="G11" s="736">
        <v>0.84211360000000002</v>
      </c>
      <c r="H11" s="737">
        <v>2.8056010384057974</v>
      </c>
      <c r="I11" s="738">
        <v>0.20900000000000002</v>
      </c>
      <c r="J11" s="739">
        <f t="shared" ref="J11:J30" si="2">G11/(1+H11*(1-I11))</f>
        <v>0.2615884822681544</v>
      </c>
      <c r="K11" s="739">
        <f t="shared" si="0"/>
        <v>0.58987588083390607</v>
      </c>
      <c r="L11" s="740" t="s">
        <v>1315</v>
      </c>
      <c r="M11" s="740" t="s">
        <v>696</v>
      </c>
      <c r="N11" s="740" t="s">
        <v>1296</v>
      </c>
      <c r="O11" s="740" t="s">
        <v>1318</v>
      </c>
      <c r="P11" s="740">
        <f t="shared" si="1"/>
        <v>11.748117727583846</v>
      </c>
      <c r="Q11" s="740" t="s">
        <v>670</v>
      </c>
      <c r="R11" s="712">
        <f t="shared" ref="R11:R29" si="3">IF(Q11="O",1,0)</f>
        <v>1</v>
      </c>
      <c r="S11" s="712">
        <f>S10+R11</f>
        <v>2</v>
      </c>
      <c r="W11" s="718"/>
    </row>
    <row r="12" spans="1:23" ht="12.75" thickBot="1">
      <c r="A12" s="732"/>
      <c r="B12" s="732"/>
      <c r="C12" s="733">
        <v>3</v>
      </c>
      <c r="D12" s="734" t="s">
        <v>283</v>
      </c>
      <c r="E12" s="734" t="s">
        <v>285</v>
      </c>
      <c r="F12" s="735">
        <v>42635</v>
      </c>
      <c r="G12" s="736">
        <v>0.56060489999999996</v>
      </c>
      <c r="H12" s="737">
        <v>1.1921211752822052</v>
      </c>
      <c r="I12" s="738">
        <v>0.20900000000000002</v>
      </c>
      <c r="J12" s="739">
        <f t="shared" si="2"/>
        <v>0.28853019884065395</v>
      </c>
      <c r="K12" s="739">
        <f t="shared" si="0"/>
        <v>0.65062881864134925</v>
      </c>
      <c r="L12" s="740" t="s">
        <v>1319</v>
      </c>
      <c r="M12" s="740" t="s">
        <v>696</v>
      </c>
      <c r="N12" s="740" t="s">
        <v>700</v>
      </c>
      <c r="O12" s="740" t="s">
        <v>1320</v>
      </c>
      <c r="P12" s="740">
        <f t="shared" si="1"/>
        <v>7.1047227926078032</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0.60233389999999998</v>
      </c>
      <c r="H13" s="737">
        <v>1.3723781282726564</v>
      </c>
      <c r="I13" s="738">
        <v>0.20900000000000002</v>
      </c>
      <c r="J13" s="739">
        <f t="shared" si="2"/>
        <v>0.28881282273778797</v>
      </c>
      <c r="K13" s="739">
        <f t="shared" si="0"/>
        <v>0.6512661288884255</v>
      </c>
      <c r="L13" s="740" t="s">
        <v>702</v>
      </c>
      <c r="M13" s="740" t="s">
        <v>1321</v>
      </c>
      <c r="N13" s="740" t="s">
        <v>704</v>
      </c>
      <c r="O13" s="740" t="s">
        <v>1322</v>
      </c>
      <c r="P13" s="740">
        <f t="shared" si="1"/>
        <v>5.3455043359196708</v>
      </c>
      <c r="Q13" s="740" t="s">
        <v>670</v>
      </c>
      <c r="R13" s="712">
        <f t="shared" si="3"/>
        <v>1</v>
      </c>
      <c r="S13" s="712">
        <f t="shared" si="4"/>
        <v>4</v>
      </c>
      <c r="W13" s="741"/>
    </row>
    <row r="14" spans="1:23" ht="36.75" thickBot="1">
      <c r="A14" s="732"/>
      <c r="B14" s="732"/>
      <c r="C14" s="733">
        <v>5</v>
      </c>
      <c r="D14" s="734" t="s">
        <v>292</v>
      </c>
      <c r="E14" s="734" t="s">
        <v>294</v>
      </c>
      <c r="F14" s="735">
        <v>43320</v>
      </c>
      <c r="G14" s="736">
        <v>0.49138850000000001</v>
      </c>
      <c r="H14" s="737">
        <v>1.8840745848032749</v>
      </c>
      <c r="I14" s="738">
        <v>0.20900000000000002</v>
      </c>
      <c r="J14" s="739">
        <f t="shared" si="2"/>
        <v>0.19732076806515406</v>
      </c>
      <c r="K14" s="739">
        <f t="shared" si="0"/>
        <v>0.44495369543808638</v>
      </c>
      <c r="L14" s="740" t="s">
        <v>706</v>
      </c>
      <c r="M14" s="740" t="s">
        <v>1321</v>
      </c>
      <c r="N14" s="740" t="s">
        <v>708</v>
      </c>
      <c r="O14" s="740" t="s">
        <v>1323</v>
      </c>
      <c r="P14" s="740">
        <f t="shared" si="1"/>
        <v>5.2304883614787769</v>
      </c>
      <c r="Q14" s="740" t="s">
        <v>670</v>
      </c>
      <c r="R14" s="712">
        <f t="shared" si="3"/>
        <v>1</v>
      </c>
      <c r="S14" s="712">
        <f t="shared" si="4"/>
        <v>5</v>
      </c>
      <c r="W14" s="741"/>
    </row>
    <row r="15" spans="1:23" ht="12.75" thickBot="1">
      <c r="A15" s="732"/>
      <c r="B15" s="732"/>
      <c r="C15" s="733">
        <v>6</v>
      </c>
      <c r="D15" s="734" t="s">
        <v>296</v>
      </c>
      <c r="E15" s="734" t="s">
        <v>298</v>
      </c>
      <c r="F15" s="735">
        <v>43768</v>
      </c>
      <c r="G15" s="736">
        <v>0.57646370000000002</v>
      </c>
      <c r="H15" s="737">
        <v>1.6272831763392814</v>
      </c>
      <c r="I15" s="738">
        <v>0.23100000000000001</v>
      </c>
      <c r="J15" s="739">
        <f t="shared" si="2"/>
        <v>0.25604895874344069</v>
      </c>
      <c r="K15" s="739">
        <f t="shared" si="0"/>
        <v>0.57738438545074544</v>
      </c>
      <c r="L15" s="740" t="s">
        <v>706</v>
      </c>
      <c r="M15" s="740" t="s">
        <v>696</v>
      </c>
      <c r="N15" s="740" t="s">
        <v>704</v>
      </c>
      <c r="O15" s="740" t="s">
        <v>710</v>
      </c>
      <c r="P15" s="740">
        <f t="shared" si="1"/>
        <v>4.0032858707557502</v>
      </c>
      <c r="Q15" s="740" t="s">
        <v>670</v>
      </c>
      <c r="R15" s="712">
        <f t="shared" si="3"/>
        <v>1</v>
      </c>
      <c r="S15" s="712">
        <f t="shared" si="4"/>
        <v>6</v>
      </c>
      <c r="W15" s="741"/>
    </row>
    <row r="16" spans="1:23" ht="36.75" thickBot="1">
      <c r="A16" s="732"/>
      <c r="B16" s="732"/>
      <c r="C16" s="733">
        <v>7</v>
      </c>
      <c r="D16" s="734" t="s">
        <v>300</v>
      </c>
      <c r="E16" s="734" t="s">
        <v>302</v>
      </c>
      <c r="F16" s="735">
        <v>43804</v>
      </c>
      <c r="G16" s="736">
        <v>0.54766420000000005</v>
      </c>
      <c r="H16" s="737">
        <v>0</v>
      </c>
      <c r="I16" s="738">
        <v>0.20900000000000002</v>
      </c>
      <c r="J16" s="739">
        <f t="shared" si="2"/>
        <v>0.54766420000000005</v>
      </c>
      <c r="K16" s="739">
        <f t="shared" si="0"/>
        <v>1.2349699022491132</v>
      </c>
      <c r="L16" s="740" t="s">
        <v>706</v>
      </c>
      <c r="M16" s="740" t="s">
        <v>711</v>
      </c>
      <c r="N16" s="740" t="s">
        <v>708</v>
      </c>
      <c r="O16" s="740" t="s">
        <v>1324</v>
      </c>
      <c r="P16" s="740">
        <f t="shared" si="1"/>
        <v>3.904709748083242</v>
      </c>
      <c r="Q16" s="740" t="s">
        <v>670</v>
      </c>
      <c r="R16" s="712">
        <f t="shared" si="3"/>
        <v>1</v>
      </c>
      <c r="S16" s="712">
        <f t="shared" si="4"/>
        <v>7</v>
      </c>
      <c r="W16" s="741"/>
    </row>
    <row r="17" spans="1:23" ht="24.75" thickBot="1">
      <c r="A17" s="732"/>
      <c r="B17" s="732"/>
      <c r="C17" s="733">
        <v>8</v>
      </c>
      <c r="D17" s="733" t="s">
        <v>1325</v>
      </c>
      <c r="E17" s="733" t="s">
        <v>1326</v>
      </c>
      <c r="F17" s="742">
        <v>44028</v>
      </c>
      <c r="G17" s="736">
        <v>0.66890729999999998</v>
      </c>
      <c r="H17" s="737">
        <v>1.001464997322836</v>
      </c>
      <c r="I17" s="738">
        <v>0.20899999999999999</v>
      </c>
      <c r="J17" s="739">
        <f t="shared" si="2"/>
        <v>0.37324108510460829</v>
      </c>
      <c r="K17" s="739">
        <f t="shared" si="0"/>
        <v>0.84164987667076108</v>
      </c>
      <c r="L17" s="740" t="s">
        <v>706</v>
      </c>
      <c r="M17" s="740" t="s">
        <v>1327</v>
      </c>
      <c r="N17" s="740" t="s">
        <v>1328</v>
      </c>
      <c r="O17" s="740" t="s">
        <v>1329</v>
      </c>
      <c r="P17" s="740">
        <f t="shared" si="1"/>
        <v>3.2908966461327855</v>
      </c>
      <c r="Q17" s="740" t="s">
        <v>671</v>
      </c>
      <c r="R17" s="712">
        <f t="shared" si="3"/>
        <v>0</v>
      </c>
      <c r="S17" s="712">
        <f t="shared" si="4"/>
        <v>7</v>
      </c>
      <c r="W17" s="711"/>
    </row>
    <row r="18" spans="1:23" ht="24.75" thickBot="1">
      <c r="A18" s="732"/>
      <c r="B18" s="732"/>
      <c r="C18" s="733">
        <v>9</v>
      </c>
      <c r="D18" s="733" t="s">
        <v>307</v>
      </c>
      <c r="E18" s="733" t="s">
        <v>1330</v>
      </c>
      <c r="F18" s="742">
        <v>44048</v>
      </c>
      <c r="G18" s="736">
        <v>0.67527329999999997</v>
      </c>
      <c r="H18" s="737">
        <v>2.4871985082918742</v>
      </c>
      <c r="I18" s="738">
        <v>0.20900000000000002</v>
      </c>
      <c r="J18" s="739">
        <f t="shared" si="2"/>
        <v>0.22756595408441388</v>
      </c>
      <c r="K18" s="739">
        <f t="shared" si="0"/>
        <v>0.51315587922463213</v>
      </c>
      <c r="L18" s="740" t="s">
        <v>706</v>
      </c>
      <c r="M18" s="740" t="s">
        <v>696</v>
      </c>
      <c r="N18" s="740" t="s">
        <v>704</v>
      </c>
      <c r="O18" s="740" t="s">
        <v>1331</v>
      </c>
      <c r="P18" s="740">
        <f t="shared" si="1"/>
        <v>3.2361396303901437</v>
      </c>
      <c r="Q18" s="740" t="s">
        <v>671</v>
      </c>
      <c r="R18" s="712">
        <f t="shared" si="3"/>
        <v>0</v>
      </c>
      <c r="S18" s="712">
        <f t="shared" si="4"/>
        <v>7</v>
      </c>
      <c r="T18" s="717"/>
    </row>
    <row r="19" spans="1:23" ht="36.75" thickBot="1">
      <c r="A19" s="732"/>
      <c r="B19" s="732"/>
      <c r="C19" s="733">
        <v>10</v>
      </c>
      <c r="D19" s="733" t="s">
        <v>310</v>
      </c>
      <c r="E19" s="733" t="s">
        <v>1332</v>
      </c>
      <c r="F19" s="742">
        <v>44048</v>
      </c>
      <c r="G19" s="736">
        <v>0.6066802</v>
      </c>
      <c r="H19" s="737">
        <v>1.1382887122137955</v>
      </c>
      <c r="I19" s="738">
        <v>0.20900000000000002</v>
      </c>
      <c r="J19" s="739">
        <f t="shared" si="2"/>
        <v>0.31924044980678212</v>
      </c>
      <c r="K19" s="739">
        <f t="shared" si="0"/>
        <v>0.71987971295520981</v>
      </c>
      <c r="L19" s="740" t="s">
        <v>706</v>
      </c>
      <c r="M19" s="740" t="s">
        <v>1327</v>
      </c>
      <c r="N19" s="740" t="s">
        <v>1333</v>
      </c>
      <c r="O19" s="740" t="s">
        <v>1334</v>
      </c>
      <c r="P19" s="740">
        <f t="shared" si="1"/>
        <v>3.2361396303901437</v>
      </c>
      <c r="Q19" s="740" t="s">
        <v>671</v>
      </c>
      <c r="R19" s="712">
        <f t="shared" si="3"/>
        <v>0</v>
      </c>
      <c r="S19" s="712">
        <f t="shared" si="4"/>
        <v>7</v>
      </c>
    </row>
    <row r="20" spans="1:23" ht="48.75" thickBot="1">
      <c r="A20" s="732"/>
      <c r="B20" s="732"/>
      <c r="C20" s="733">
        <v>11</v>
      </c>
      <c r="D20" s="733" t="s">
        <v>313</v>
      </c>
      <c r="E20" s="733" t="s">
        <v>1335</v>
      </c>
      <c r="F20" s="742">
        <v>44050</v>
      </c>
      <c r="G20" s="736">
        <v>0.72224449999999996</v>
      </c>
      <c r="H20" s="737">
        <v>1.284438724106014</v>
      </c>
      <c r="I20" s="738">
        <v>0.23100000000000001</v>
      </c>
      <c r="J20" s="739">
        <f t="shared" si="2"/>
        <v>0.36335079326503344</v>
      </c>
      <c r="K20" s="739">
        <f t="shared" si="0"/>
        <v>0.8193475009698572</v>
      </c>
      <c r="L20" s="740" t="s">
        <v>706</v>
      </c>
      <c r="M20" s="740" t="s">
        <v>1336</v>
      </c>
      <c r="N20" s="740" t="s">
        <v>1337</v>
      </c>
      <c r="O20" s="740" t="s">
        <v>1338</v>
      </c>
      <c r="P20" s="740">
        <f t="shared" si="1"/>
        <v>3.2306639288158796</v>
      </c>
      <c r="Q20" s="740" t="s">
        <v>671</v>
      </c>
      <c r="R20" s="712">
        <f t="shared" si="3"/>
        <v>0</v>
      </c>
      <c r="S20" s="712">
        <f t="shared" si="4"/>
        <v>7</v>
      </c>
    </row>
    <row r="21" spans="1:23" ht="24.75" thickBot="1">
      <c r="A21" s="732"/>
      <c r="B21" s="732"/>
      <c r="C21" s="733">
        <v>12</v>
      </c>
      <c r="D21" s="733" t="s">
        <v>316</v>
      </c>
      <c r="E21" s="733" t="s">
        <v>1339</v>
      </c>
      <c r="F21" s="742">
        <v>44074</v>
      </c>
      <c r="G21" s="736">
        <v>0.64173360000000002</v>
      </c>
      <c r="H21" s="737">
        <v>1.4693821606528568</v>
      </c>
      <c r="I21" s="738">
        <v>0.23100000000000001</v>
      </c>
      <c r="J21" s="739">
        <f t="shared" si="2"/>
        <v>0.30128976231430643</v>
      </c>
      <c r="K21" s="739">
        <f t="shared" si="0"/>
        <v>0.67940133445632844</v>
      </c>
      <c r="L21" s="740" t="s">
        <v>706</v>
      </c>
      <c r="M21" s="740" t="s">
        <v>696</v>
      </c>
      <c r="N21" s="740" t="s">
        <v>725</v>
      </c>
      <c r="O21" s="740" t="s">
        <v>1340</v>
      </c>
      <c r="P21" s="740">
        <f t="shared" si="1"/>
        <v>3.1649555099247091</v>
      </c>
      <c r="Q21" s="740" t="s">
        <v>671</v>
      </c>
      <c r="R21" s="712">
        <f t="shared" si="3"/>
        <v>0</v>
      </c>
      <c r="S21" s="712">
        <f t="shared" si="4"/>
        <v>7</v>
      </c>
    </row>
    <row r="22" spans="1:23" ht="12.75" thickBot="1">
      <c r="A22" s="732"/>
      <c r="B22" s="732"/>
      <c r="C22" s="733">
        <v>13</v>
      </c>
      <c r="D22" s="733" t="s">
        <v>1341</v>
      </c>
      <c r="E22" s="733" t="s">
        <v>1342</v>
      </c>
      <c r="F22" s="742">
        <v>44188</v>
      </c>
      <c r="G22" s="736">
        <v>0.76845730000000001</v>
      </c>
      <c r="H22" s="737">
        <v>1.5578658332639179</v>
      </c>
      <c r="I22" s="738" t="e">
        <v>#VALUE!</v>
      </c>
      <c r="J22" s="739" t="e">
        <f t="shared" si="2"/>
        <v>#VALUE!</v>
      </c>
      <c r="K22" s="739" t="e">
        <f t="shared" si="0"/>
        <v>#VALUE!</v>
      </c>
      <c r="L22" s="740" t="s">
        <v>706</v>
      </c>
      <c r="M22" s="740" t="s">
        <v>711</v>
      </c>
      <c r="N22" s="740" t="s">
        <v>729</v>
      </c>
      <c r="O22" s="740" t="s">
        <v>730</v>
      </c>
      <c r="P22" s="740">
        <f t="shared" si="1"/>
        <v>2.8528405201916494</v>
      </c>
      <c r="Q22" s="740" t="s">
        <v>671</v>
      </c>
      <c r="R22" s="712">
        <f t="shared" si="3"/>
        <v>0</v>
      </c>
      <c r="S22" s="712">
        <f t="shared" si="4"/>
        <v>7</v>
      </c>
    </row>
    <row r="23" spans="1:23" ht="15.75" customHeight="1" thickBot="1">
      <c r="A23" s="732"/>
      <c r="B23" s="732"/>
      <c r="C23" s="733">
        <v>14</v>
      </c>
      <c r="D23" s="733" t="s">
        <v>1343</v>
      </c>
      <c r="E23" s="733" t="s">
        <v>1344</v>
      </c>
      <c r="F23" s="744">
        <v>44435</v>
      </c>
      <c r="G23" s="736">
        <v>0.63231530000000002</v>
      </c>
      <c r="H23" s="737">
        <v>2.8107555465627962</v>
      </c>
      <c r="I23" s="738">
        <v>9.9000000000000019E-2</v>
      </c>
      <c r="J23" s="739">
        <f t="shared" si="2"/>
        <v>0.17899984605929919</v>
      </c>
      <c r="K23" s="739">
        <f t="shared" si="0"/>
        <v>0.4036404468111281</v>
      </c>
      <c r="L23" s="740"/>
      <c r="M23" s="740"/>
      <c r="N23" s="740"/>
      <c r="O23" s="740"/>
      <c r="P23" s="740">
        <f t="shared" si="1"/>
        <v>2.1780821917808217</v>
      </c>
      <c r="Q23" s="740" t="s">
        <v>671</v>
      </c>
      <c r="R23" s="712">
        <f t="shared" si="3"/>
        <v>0</v>
      </c>
      <c r="S23" s="712">
        <f t="shared" si="4"/>
        <v>7</v>
      </c>
    </row>
    <row r="24" spans="1:23" ht="15.75" customHeight="1" thickBot="1">
      <c r="A24" s="732"/>
      <c r="B24" s="732"/>
      <c r="C24" s="733">
        <v>15</v>
      </c>
      <c r="D24" s="733" t="s">
        <v>1345</v>
      </c>
      <c r="E24" s="733" t="s">
        <v>1346</v>
      </c>
      <c r="F24" s="744">
        <v>44453</v>
      </c>
      <c r="G24" s="736">
        <v>0.63059509999999996</v>
      </c>
      <c r="H24" s="737">
        <v>1.329326846641091</v>
      </c>
      <c r="I24" s="738" t="e">
        <v>#VALUE!</v>
      </c>
      <c r="J24" s="739" t="e">
        <f t="shared" si="2"/>
        <v>#VALUE!</v>
      </c>
      <c r="K24" s="739" t="e">
        <f t="shared" si="0"/>
        <v>#VALUE!</v>
      </c>
      <c r="L24" s="740"/>
      <c r="M24" s="740"/>
      <c r="N24" s="740"/>
      <c r="O24" s="740"/>
      <c r="P24" s="740">
        <f t="shared" si="1"/>
        <v>2.128767123287671</v>
      </c>
      <c r="Q24" s="740" t="s">
        <v>671</v>
      </c>
      <c r="R24" s="712">
        <f t="shared" si="3"/>
        <v>0</v>
      </c>
      <c r="S24" s="712">
        <f t="shared" si="4"/>
        <v>7</v>
      </c>
    </row>
    <row r="25" spans="1:23" ht="15.75" customHeight="1" thickBot="1">
      <c r="A25" s="732"/>
      <c r="B25" s="732"/>
      <c r="C25" s="733">
        <v>16</v>
      </c>
      <c r="D25" s="733" t="s">
        <v>1347</v>
      </c>
      <c r="E25" s="733" t="s">
        <v>1348</v>
      </c>
      <c r="F25" s="744">
        <v>44518</v>
      </c>
      <c r="G25" s="736">
        <v>0.59468710000000002</v>
      </c>
      <c r="H25" s="737">
        <v>2.7919893429404237</v>
      </c>
      <c r="I25" s="738">
        <v>0.20900000000000002</v>
      </c>
      <c r="J25" s="739">
        <f t="shared" si="2"/>
        <v>0.18534949422870345</v>
      </c>
      <c r="K25" s="739">
        <f t="shared" si="0"/>
        <v>0.41795875423214529</v>
      </c>
      <c r="L25" s="740"/>
      <c r="M25" s="740"/>
      <c r="N25" s="740"/>
      <c r="O25" s="740"/>
      <c r="P25" s="740">
        <f t="shared" si="1"/>
        <v>1.9506849315068493</v>
      </c>
      <c r="Q25" s="740" t="s">
        <v>671</v>
      </c>
      <c r="R25" s="712">
        <f t="shared" si="3"/>
        <v>0</v>
      </c>
      <c r="S25" s="712">
        <f t="shared" si="4"/>
        <v>7</v>
      </c>
    </row>
    <row r="26" spans="1:23" ht="15.75" customHeight="1" thickBot="1">
      <c r="A26" s="732"/>
      <c r="B26" s="732"/>
      <c r="C26" s="733">
        <v>17</v>
      </c>
      <c r="D26" s="733" t="s">
        <v>1349</v>
      </c>
      <c r="E26" s="733" t="s">
        <v>1350</v>
      </c>
      <c r="F26" s="744">
        <v>44533</v>
      </c>
      <c r="G26" s="736">
        <v>0.68094030000000005</v>
      </c>
      <c r="H26" s="737">
        <v>2.5091422976195941</v>
      </c>
      <c r="I26" s="738">
        <v>9.9000000000000019E-2</v>
      </c>
      <c r="J26" s="739">
        <f t="shared" si="2"/>
        <v>0.20883016818383174</v>
      </c>
      <c r="K26" s="739">
        <f t="shared" si="0"/>
        <v>0.47090712226333681</v>
      </c>
      <c r="L26" s="740"/>
      <c r="M26" s="740"/>
      <c r="N26" s="740"/>
      <c r="O26" s="740"/>
      <c r="P26" s="740">
        <f t="shared" si="1"/>
        <v>1.9095890410958904</v>
      </c>
      <c r="Q26" s="740" t="s">
        <v>671</v>
      </c>
      <c r="R26" s="712">
        <f t="shared" si="3"/>
        <v>0</v>
      </c>
      <c r="S26" s="712">
        <f t="shared" si="4"/>
        <v>7</v>
      </c>
    </row>
    <row r="27" spans="1:23" ht="15.75" customHeight="1" thickBot="1">
      <c r="A27" s="732"/>
      <c r="B27" s="732"/>
      <c r="C27" s="733">
        <v>18</v>
      </c>
      <c r="D27" s="733" t="s">
        <v>1351</v>
      </c>
      <c r="E27" s="733" t="s">
        <v>1352</v>
      </c>
      <c r="F27" s="744">
        <v>44540</v>
      </c>
      <c r="G27" s="736">
        <v>0.68267299999999997</v>
      </c>
      <c r="H27" s="737">
        <v>1.4481936101233346</v>
      </c>
      <c r="I27" s="738">
        <v>9.9000000000000019E-2</v>
      </c>
      <c r="J27" s="739">
        <f t="shared" si="2"/>
        <v>0.2961933150885242</v>
      </c>
      <c r="K27" s="739">
        <f t="shared" si="0"/>
        <v>0.66790896571606384</v>
      </c>
      <c r="L27" s="740"/>
      <c r="M27" s="740"/>
      <c r="N27" s="740"/>
      <c r="O27" s="740"/>
      <c r="P27" s="740">
        <f t="shared" si="1"/>
        <v>1.8904109589041096</v>
      </c>
      <c r="Q27" s="740" t="s">
        <v>671</v>
      </c>
      <c r="R27" s="712">
        <f t="shared" si="3"/>
        <v>0</v>
      </c>
      <c r="S27" s="712">
        <f t="shared" si="4"/>
        <v>7</v>
      </c>
    </row>
    <row r="28" spans="1:23" ht="15.75" customHeight="1" thickBot="1">
      <c r="A28" s="732"/>
      <c r="B28" s="732"/>
      <c r="C28" s="733">
        <v>19</v>
      </c>
      <c r="D28" s="733" t="s">
        <v>1353</v>
      </c>
      <c r="E28" s="733" t="s">
        <v>1354</v>
      </c>
      <c r="F28" s="744">
        <v>44648</v>
      </c>
      <c r="G28" s="736">
        <v>0.83236489999999996</v>
      </c>
      <c r="H28" s="737">
        <v>1.6025992843186758</v>
      </c>
      <c r="I28" s="738" t="e">
        <v>#VALUE!</v>
      </c>
      <c r="J28" s="739" t="e">
        <f t="shared" si="2"/>
        <v>#VALUE!</v>
      </c>
      <c r="K28" s="739" t="e">
        <f t="shared" si="0"/>
        <v>#VALUE!</v>
      </c>
      <c r="L28" s="740"/>
      <c r="M28" s="740"/>
      <c r="N28" s="740"/>
      <c r="O28" s="740"/>
      <c r="P28" s="740">
        <f t="shared" si="1"/>
        <v>1.5945205479452054</v>
      </c>
      <c r="Q28" s="740" t="s">
        <v>671</v>
      </c>
      <c r="R28" s="712">
        <f t="shared" si="3"/>
        <v>0</v>
      </c>
      <c r="S28" s="712">
        <f t="shared" si="4"/>
        <v>7</v>
      </c>
    </row>
    <row r="29" spans="1:23" ht="15.75" customHeight="1" thickBot="1">
      <c r="A29" s="732"/>
      <c r="B29" s="732"/>
      <c r="C29" s="733">
        <v>20</v>
      </c>
      <c r="D29" s="733" t="s">
        <v>1355</v>
      </c>
      <c r="E29" s="733" t="s">
        <v>1356</v>
      </c>
      <c r="F29" s="744">
        <v>44712</v>
      </c>
      <c r="G29" s="736" t="e">
        <v>#N/A</v>
      </c>
      <c r="H29" s="737" t="e">
        <v>#N/A</v>
      </c>
      <c r="I29" s="738">
        <v>9.9000000000000019E-2</v>
      </c>
      <c r="J29" s="747" t="e">
        <f t="shared" si="2"/>
        <v>#N/A</v>
      </c>
      <c r="K29" s="747" t="e">
        <f t="shared" si="0"/>
        <v>#N/A</v>
      </c>
      <c r="L29" s="740"/>
      <c r="M29" s="740"/>
      <c r="N29" s="740"/>
      <c r="O29" s="740"/>
      <c r="P29" s="740">
        <f t="shared" si="1"/>
        <v>1.4191780821917808</v>
      </c>
      <c r="Q29" s="740" t="s">
        <v>671</v>
      </c>
      <c r="R29" s="712">
        <f t="shared" si="3"/>
        <v>0</v>
      </c>
      <c r="S29" s="712">
        <f t="shared" si="4"/>
        <v>7</v>
      </c>
    </row>
    <row r="30" spans="1:23" ht="15.75" customHeight="1" thickBot="1">
      <c r="A30" s="732"/>
      <c r="B30" s="732"/>
      <c r="C30" s="733">
        <v>21</v>
      </c>
      <c r="D30" s="733" t="s">
        <v>1297</v>
      </c>
      <c r="E30" s="733" t="s">
        <v>1357</v>
      </c>
      <c r="F30" s="744">
        <v>44840</v>
      </c>
      <c r="G30" s="736" t="e">
        <v>#N/A</v>
      </c>
      <c r="H30" s="737" t="e">
        <v>#N/A</v>
      </c>
      <c r="I30" s="738" t="e">
        <v>#N/A</v>
      </c>
      <c r="J30" s="747" t="e">
        <f t="shared" si="2"/>
        <v>#N/A</v>
      </c>
      <c r="K30" s="747" t="e">
        <f t="shared" si="0"/>
        <v>#N/A</v>
      </c>
      <c r="L30" s="740"/>
      <c r="M30" s="740"/>
      <c r="N30" s="740"/>
      <c r="O30" s="740"/>
      <c r="P30" s="740">
        <f t="shared" si="1"/>
        <v>1.0684931506849316</v>
      </c>
      <c r="Q30" s="740" t="s">
        <v>671</v>
      </c>
    </row>
    <row r="31" spans="1:23" ht="15.75" customHeight="1" thickBot="1">
      <c r="A31" s="748"/>
      <c r="B31" s="748"/>
      <c r="C31" s="749" t="s">
        <v>1358</v>
      </c>
      <c r="D31" s="750"/>
      <c r="E31" s="750"/>
      <c r="F31" s="751"/>
      <c r="G31" s="752">
        <f>AVERAGEIF($Q$10:$Q$29,"O",G10:G30)</f>
        <v>0.6170795</v>
      </c>
      <c r="H31" s="753">
        <f>AVERAGEIF($Q$10:$Q$29,"O",H10:H30)</f>
        <v>1.5865695353720362</v>
      </c>
      <c r="I31" s="754"/>
      <c r="J31" s="752">
        <f t="shared" ref="J31:K31" si="5">AVERAGEIF($Q$10:$Q$29,"O",J10:J30)</f>
        <v>0.29903690782724784</v>
      </c>
      <c r="K31" s="752">
        <f t="shared" si="5"/>
        <v>0.67432120052450628</v>
      </c>
      <c r="L31" s="756"/>
      <c r="O31" s="757"/>
      <c r="P31" s="757"/>
      <c r="Q31" s="757"/>
    </row>
    <row r="32" spans="1:23" ht="15.75" customHeight="1">
      <c r="A32" s="748"/>
      <c r="B32" s="748"/>
      <c r="C32" s="1034" t="s">
        <v>1359</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2"/>
    <row r="38" spans="1:17" s="766" customFormat="1" ht="12"/>
    <row r="39" spans="1:17" s="766" customFormat="1" ht="12">
      <c r="A39" s="770">
        <v>1</v>
      </c>
      <c r="B39" s="770"/>
    </row>
    <row r="40" spans="1:17" s="766" customFormat="1" ht="17.25" thickBot="1">
      <c r="A40" s="770">
        <v>2</v>
      </c>
      <c r="B40" s="770"/>
      <c r="C40" s="767" t="s">
        <v>1360</v>
      </c>
    </row>
    <row r="41" spans="1:17" s="766" customFormat="1" ht="12.75" thickBot="1">
      <c r="A41" s="770">
        <v>3</v>
      </c>
      <c r="B41" s="770"/>
      <c r="C41" s="768" t="s">
        <v>266</v>
      </c>
      <c r="D41" s="768" t="s">
        <v>267</v>
      </c>
      <c r="E41" s="768" t="s">
        <v>1361</v>
      </c>
      <c r="F41" s="768" t="s">
        <v>1362</v>
      </c>
      <c r="G41" s="768" t="s">
        <v>1363</v>
      </c>
      <c r="H41" s="769" t="s">
        <v>1364</v>
      </c>
    </row>
    <row r="42" spans="1:17" s="766" customFormat="1" ht="12.75" thickBot="1">
      <c r="A42" s="770">
        <v>4</v>
      </c>
      <c r="B42" s="770"/>
      <c r="C42" s="771" t="str">
        <f t="shared" ref="C42:C53" si="6">IFERROR(INDEX($D$10:$D$29,MATCH(A39,$S$10:$S$29,0)),"")</f>
        <v>에이리츠</v>
      </c>
      <c r="D42" s="771" t="str">
        <f>IFERROR(INDEX($L$10:$L$29,MATCH(C42,$D$10:$D$29,0)),"")</f>
        <v>자기관리</v>
      </c>
      <c r="E42" s="772">
        <f>IFERROR(INDEX($G$10:$G$29,MATCH(C42,$D$10:$D$29,0)),"")</f>
        <v>0.69898769999999999</v>
      </c>
      <c r="F42" s="773">
        <f>IFERROR(INDEX($H$10:$H$29,MATCH(C42,$D$10:$D$29,0)),"")</f>
        <v>2.2245286445010399</v>
      </c>
      <c r="G42" s="772">
        <f>IFERROR(INDEX($J$10:$J$29,MATCH(C42,$D$10:$D$29,0)),"")</f>
        <v>0.25329292413554377</v>
      </c>
      <c r="H42" s="772">
        <f>IFERROR(INDEX($K$10:$K$29,MATCH(C42,$D$10:$D$29,0)),"")</f>
        <v>0.57116959216991825</v>
      </c>
      <c r="K42" s="766">
        <f>MATCH(A45,$S$10:$S$29,0)</f>
        <v>7</v>
      </c>
    </row>
    <row r="43" spans="1:17" s="766" customFormat="1" ht="12.75" thickBot="1">
      <c r="A43" s="770">
        <v>5</v>
      </c>
      <c r="B43" s="770"/>
      <c r="C43" s="771" t="str">
        <f t="shared" si="6"/>
        <v>케이탑리츠</v>
      </c>
      <c r="D43" s="771" t="str">
        <f t="shared" ref="D43:D53" si="7">IFERROR(INDEX($L$10:$L$29,MATCH(C43,$D$10:$D$29,0)),"")</f>
        <v>자기관리</v>
      </c>
      <c r="E43" s="772">
        <f t="shared" ref="E43:E53" si="8">IFERROR(INDEX($G$10:$G$29,MATCH(C43,$D$10:$D$29,0)),"")</f>
        <v>0.84211360000000002</v>
      </c>
      <c r="F43" s="773">
        <f t="shared" ref="F43:F53" si="9">IFERROR(INDEX($H$10:$H$29,MATCH(C43,$D$10:$D$29,0)),"")</f>
        <v>2.8056010384057974</v>
      </c>
      <c r="G43" s="772">
        <f t="shared" ref="G43:G53" si="10">IFERROR(INDEX($J$10:$J$29,MATCH(C43,$D$10:$D$29,0)),"")</f>
        <v>0.2615884822681544</v>
      </c>
      <c r="H43" s="772">
        <f t="shared" ref="H43:H53" si="11">IFERROR(INDEX($K$10:$K$29,MATCH(C43,$D$10:$D$29,0)),"")</f>
        <v>0.58987588083390607</v>
      </c>
    </row>
    <row r="44" spans="1:17" s="766" customFormat="1" ht="12.75" thickBot="1">
      <c r="A44" s="770">
        <v>6</v>
      </c>
      <c r="B44" s="770"/>
      <c r="C44" s="771" t="str">
        <f t="shared" si="6"/>
        <v>모두투어리츠</v>
      </c>
      <c r="D44" s="771" t="str">
        <f t="shared" si="7"/>
        <v>자기관리</v>
      </c>
      <c r="E44" s="772">
        <f t="shared" si="8"/>
        <v>0.56060489999999996</v>
      </c>
      <c r="F44" s="773">
        <f t="shared" si="9"/>
        <v>1.1921211752822052</v>
      </c>
      <c r="G44" s="772">
        <f t="shared" si="10"/>
        <v>0.28853019884065395</v>
      </c>
      <c r="H44" s="772">
        <f t="shared" si="11"/>
        <v>0.65062881864134925</v>
      </c>
    </row>
    <row r="45" spans="1:17" s="766" customFormat="1" ht="12.75" thickBot="1">
      <c r="A45" s="770">
        <v>7</v>
      </c>
      <c r="B45" s="770"/>
      <c r="C45" s="771" t="str">
        <f t="shared" si="6"/>
        <v>이리츠코크렙</v>
      </c>
      <c r="D45" s="771" t="str">
        <f t="shared" si="7"/>
        <v>기업구조조정</v>
      </c>
      <c r="E45" s="772">
        <f t="shared" si="8"/>
        <v>0.60233389999999998</v>
      </c>
      <c r="F45" s="773">
        <f t="shared" si="9"/>
        <v>1.3723781282726564</v>
      </c>
      <c r="G45" s="772">
        <f t="shared" si="10"/>
        <v>0.28881282273778797</v>
      </c>
      <c r="H45" s="772">
        <f t="shared" si="11"/>
        <v>0.6512661288884255</v>
      </c>
    </row>
    <row r="46" spans="1:17" s="766" customFormat="1" ht="12.75" thickBot="1">
      <c r="A46" s="770">
        <v>8</v>
      </c>
      <c r="B46" s="770"/>
      <c r="C46" s="771" t="str">
        <f t="shared" si="6"/>
        <v>신한알파리츠</v>
      </c>
      <c r="D46" s="771" t="str">
        <f t="shared" si="7"/>
        <v>위탁관리</v>
      </c>
      <c r="E46" s="772">
        <f t="shared" si="8"/>
        <v>0.49138850000000001</v>
      </c>
      <c r="F46" s="773">
        <f t="shared" si="9"/>
        <v>1.8840745848032749</v>
      </c>
      <c r="G46" s="772">
        <f t="shared" si="10"/>
        <v>0.19732076806515406</v>
      </c>
      <c r="H46" s="772">
        <f t="shared" si="11"/>
        <v>0.44495369543808638</v>
      </c>
    </row>
    <row r="47" spans="1:17" s="766" customFormat="1" ht="12.75" thickBot="1">
      <c r="A47" s="770">
        <v>9</v>
      </c>
      <c r="B47" s="770"/>
      <c r="C47" s="771" t="str">
        <f t="shared" si="6"/>
        <v>롯데리츠</v>
      </c>
      <c r="D47" s="771" t="str">
        <f t="shared" si="7"/>
        <v>위탁관리</v>
      </c>
      <c r="E47" s="772">
        <f t="shared" si="8"/>
        <v>0.57646370000000002</v>
      </c>
      <c r="F47" s="773">
        <f t="shared" si="9"/>
        <v>1.6272831763392814</v>
      </c>
      <c r="G47" s="772">
        <f t="shared" si="10"/>
        <v>0.25604895874344069</v>
      </c>
      <c r="H47" s="772">
        <f t="shared" si="11"/>
        <v>0.57738438545074544</v>
      </c>
    </row>
    <row r="48" spans="1:17" s="766" customFormat="1" ht="12.75" thickBot="1">
      <c r="A48" s="770">
        <v>10</v>
      </c>
      <c r="B48" s="770"/>
      <c r="C48" s="771" t="str">
        <f t="shared" si="6"/>
        <v>NH프라임리츠</v>
      </c>
      <c r="D48" s="771" t="str">
        <f t="shared" si="7"/>
        <v>위탁관리</v>
      </c>
      <c r="E48" s="772">
        <f t="shared" si="8"/>
        <v>0.54766420000000005</v>
      </c>
      <c r="F48" s="773">
        <f t="shared" si="9"/>
        <v>0</v>
      </c>
      <c r="G48" s="772">
        <f t="shared" si="10"/>
        <v>0.54766420000000005</v>
      </c>
      <c r="H48" s="772">
        <f t="shared" si="11"/>
        <v>1.2349699022491132</v>
      </c>
    </row>
    <row r="49" spans="1:18" s="766" customFormat="1" ht="12.75" thickBot="1">
      <c r="A49" s="770">
        <v>11</v>
      </c>
      <c r="B49" s="770"/>
      <c r="C49" s="771" t="str">
        <f t="shared" si="6"/>
        <v/>
      </c>
      <c r="D49" s="771" t="str">
        <f t="shared" si="7"/>
        <v/>
      </c>
      <c r="E49" s="772" t="str">
        <f t="shared" si="8"/>
        <v/>
      </c>
      <c r="F49" s="773" t="str">
        <f t="shared" si="9"/>
        <v/>
      </c>
      <c r="G49" s="772" t="str">
        <f t="shared" si="10"/>
        <v/>
      </c>
      <c r="H49" s="772" t="str">
        <f t="shared" si="11"/>
        <v/>
      </c>
    </row>
    <row r="50" spans="1:18" s="766" customFormat="1" ht="12.75" thickBot="1">
      <c r="A50" s="770">
        <v>12</v>
      </c>
      <c r="B50" s="770"/>
      <c r="C50" s="771" t="str">
        <f t="shared" si="6"/>
        <v/>
      </c>
      <c r="D50" s="771" t="str">
        <f t="shared" si="7"/>
        <v/>
      </c>
      <c r="E50" s="772" t="str">
        <f t="shared" si="8"/>
        <v/>
      </c>
      <c r="F50" s="773" t="str">
        <f t="shared" si="9"/>
        <v/>
      </c>
      <c r="G50" s="772" t="str">
        <f t="shared" si="10"/>
        <v/>
      </c>
      <c r="H50" s="772" t="str">
        <f t="shared" si="11"/>
        <v/>
      </c>
    </row>
    <row r="51" spans="1:18" s="766" customFormat="1" ht="12.75" thickBot="1">
      <c r="C51" s="771" t="str">
        <f t="shared" si="6"/>
        <v/>
      </c>
      <c r="D51" s="771" t="str">
        <f t="shared" si="7"/>
        <v/>
      </c>
      <c r="E51" s="772" t="str">
        <f t="shared" si="8"/>
        <v/>
      </c>
      <c r="F51" s="773" t="str">
        <f t="shared" si="9"/>
        <v/>
      </c>
      <c r="G51" s="772" t="str">
        <f t="shared" si="10"/>
        <v/>
      </c>
      <c r="H51" s="772" t="str">
        <f t="shared" si="11"/>
        <v/>
      </c>
    </row>
    <row r="52" spans="1:18" s="766" customFormat="1" ht="12.75" thickBot="1">
      <c r="C52" s="771" t="str">
        <f t="shared" si="6"/>
        <v/>
      </c>
      <c r="D52" s="771" t="str">
        <f t="shared" si="7"/>
        <v/>
      </c>
      <c r="E52" s="772" t="str">
        <f t="shared" si="8"/>
        <v/>
      </c>
      <c r="F52" s="773" t="str">
        <f t="shared" si="9"/>
        <v/>
      </c>
      <c r="G52" s="772" t="str">
        <f t="shared" si="10"/>
        <v/>
      </c>
      <c r="H52" s="772" t="str">
        <f t="shared" si="11"/>
        <v/>
      </c>
    </row>
    <row r="53" spans="1:18" s="766" customFormat="1" ht="12.75" thickBot="1">
      <c r="C53" s="771" t="str">
        <f t="shared" si="6"/>
        <v/>
      </c>
      <c r="D53" s="771" t="str">
        <f t="shared" si="7"/>
        <v/>
      </c>
      <c r="E53" s="772" t="str">
        <f t="shared" si="8"/>
        <v/>
      </c>
      <c r="F53" s="773" t="str">
        <f t="shared" si="9"/>
        <v/>
      </c>
      <c r="G53" s="772" t="str">
        <f t="shared" si="10"/>
        <v/>
      </c>
      <c r="H53" s="772" t="str">
        <f t="shared" si="11"/>
        <v/>
      </c>
    </row>
    <row r="54" spans="1:18" s="766" customFormat="1" ht="12.75" thickBot="1">
      <c r="C54" s="774" t="s">
        <v>306</v>
      </c>
      <c r="D54" s="775" t="s">
        <v>236</v>
      </c>
      <c r="E54" s="776">
        <f>AVERAGE(E42:E53)</f>
        <v>0.6170795</v>
      </c>
      <c r="F54" s="1789">
        <f t="shared" ref="F54:H54" si="12">AVERAGE(F42:F53)</f>
        <v>1.5865695353720362</v>
      </c>
      <c r="G54" s="776">
        <f t="shared" si="12"/>
        <v>0.29903690782724784</v>
      </c>
      <c r="H54" s="776">
        <f t="shared" si="12"/>
        <v>0.67432120052450628</v>
      </c>
    </row>
    <row r="55" spans="1:18" s="766" customFormat="1" ht="12">
      <c r="K55" s="782"/>
      <c r="L55" s="782"/>
      <c r="M55" s="782"/>
      <c r="N55" s="782"/>
      <c r="O55" s="782"/>
      <c r="P55" s="782"/>
      <c r="Q55" s="782"/>
      <c r="R55" s="782"/>
    </row>
    <row r="56" spans="1:18" s="766" customFormat="1" ht="12">
      <c r="K56" s="786"/>
      <c r="L56" s="786"/>
      <c r="M56" s="786"/>
      <c r="N56" s="786"/>
      <c r="O56" s="786"/>
      <c r="P56" s="786"/>
      <c r="Q56" s="786"/>
      <c r="R56" s="786"/>
    </row>
    <row r="57" spans="1:18" s="766" customFormat="1" ht="17.25" thickBot="1">
      <c r="C57" s="777" t="s">
        <v>1189</v>
      </c>
      <c r="D57" s="778"/>
      <c r="E57" s="778"/>
      <c r="F57" s="779"/>
      <c r="K57" s="789"/>
      <c r="L57" s="789"/>
      <c r="M57" s="789"/>
      <c r="N57" s="789"/>
      <c r="O57" s="789"/>
      <c r="P57" s="789"/>
      <c r="Q57" s="789"/>
      <c r="R57" s="789"/>
    </row>
    <row r="58" spans="1:18" s="766" customFormat="1" ht="17.25" thickBot="1">
      <c r="C58" s="780" t="s">
        <v>345</v>
      </c>
      <c r="D58" s="781" t="s">
        <v>346</v>
      </c>
      <c r="E58" s="1790">
        <f>N6</f>
        <v>45291</v>
      </c>
      <c r="F58" s="778"/>
      <c r="G58" s="1791">
        <v>45199</v>
      </c>
      <c r="K58" s="786"/>
      <c r="L58" s="786"/>
      <c r="M58" s="786"/>
      <c r="N58" s="786"/>
      <c r="O58" s="786"/>
      <c r="P58" s="786"/>
      <c r="Q58" s="786"/>
      <c r="R58" s="792"/>
    </row>
    <row r="59" spans="1:18" s="766" customFormat="1" ht="24.75" thickBot="1">
      <c r="C59" s="783" t="s">
        <v>1365</v>
      </c>
      <c r="D59" s="771" t="s">
        <v>358</v>
      </c>
      <c r="E59" s="784">
        <f>G31</f>
        <v>0.6170795</v>
      </c>
      <c r="G59" s="1792">
        <v>0.64346004285714287</v>
      </c>
      <c r="K59" s="786"/>
      <c r="L59" s="786"/>
      <c r="M59" s="786"/>
      <c r="N59" s="786"/>
      <c r="O59" s="786"/>
      <c r="P59" s="786"/>
      <c r="Q59" s="786"/>
      <c r="R59" s="786"/>
    </row>
    <row r="60" spans="1:18" s="766" customFormat="1" ht="24.75" thickBot="1">
      <c r="C60" s="783" t="s">
        <v>360</v>
      </c>
      <c r="D60" s="771" t="s">
        <v>358</v>
      </c>
      <c r="E60" s="787">
        <f>H31</f>
        <v>1.5865695353720362</v>
      </c>
      <c r="G60" s="1793">
        <v>1.893738039931079</v>
      </c>
      <c r="K60" s="789"/>
      <c r="L60" s="789"/>
      <c r="M60" s="789"/>
      <c r="N60" s="789"/>
      <c r="O60" s="789"/>
      <c r="P60" s="789"/>
      <c r="Q60" s="789"/>
      <c r="R60" s="789"/>
    </row>
    <row r="61" spans="1:18" s="766" customFormat="1" ht="27.75" thickBot="1">
      <c r="C61" s="790" t="s">
        <v>756</v>
      </c>
      <c r="D61" s="791" t="s">
        <v>757</v>
      </c>
      <c r="E61" s="784">
        <f>J31</f>
        <v>0.29903690782724784</v>
      </c>
      <c r="G61" s="1792">
        <v>0.26021429637579702</v>
      </c>
      <c r="K61" s="789"/>
      <c r="L61" s="789"/>
      <c r="M61" s="789"/>
      <c r="N61" s="789"/>
      <c r="O61" s="789"/>
      <c r="P61" s="789"/>
      <c r="Q61" s="789"/>
      <c r="R61" s="789"/>
    </row>
    <row r="62" spans="1:18" s="766" customFormat="1" ht="26.25" thickBot="1">
      <c r="C62" s="793" t="s">
        <v>759</v>
      </c>
      <c r="D62" s="791" t="s">
        <v>1192</v>
      </c>
      <c r="E62" s="784">
        <f>E61*(1+$E$60*(1-$E$67))</f>
        <v>0.67432120052450628</v>
      </c>
      <c r="G62" s="1792">
        <v>0.65000146623616772</v>
      </c>
      <c r="K62" s="789"/>
      <c r="L62" s="789"/>
      <c r="M62" s="789"/>
      <c r="N62" s="789"/>
      <c r="O62" s="789"/>
      <c r="P62" s="789"/>
      <c r="Q62" s="789"/>
      <c r="R62" s="789"/>
    </row>
    <row r="63" spans="1:18" ht="15.75" customHeight="1" thickBot="1">
      <c r="C63" s="793" t="s">
        <v>761</v>
      </c>
      <c r="D63" s="791" t="s">
        <v>1369</v>
      </c>
      <c r="E63" s="795">
        <f>E68</f>
        <v>3.6499999999999998E-2</v>
      </c>
      <c r="F63" s="766"/>
      <c r="G63" s="1794">
        <v>3.6499999999999998E-2</v>
      </c>
      <c r="H63" s="766"/>
      <c r="I63" s="766"/>
      <c r="J63" s="711"/>
      <c r="K63" s="789"/>
      <c r="L63" s="789"/>
      <c r="M63" s="711"/>
      <c r="N63" s="711"/>
      <c r="O63" s="711"/>
      <c r="P63" s="711"/>
      <c r="Q63" s="711"/>
      <c r="R63" s="711"/>
    </row>
    <row r="64" spans="1:18" ht="15.75" customHeight="1" thickBot="1">
      <c r="C64" s="793" t="s">
        <v>1366</v>
      </c>
      <c r="D64" s="791" t="s">
        <v>1370</v>
      </c>
      <c r="E64" s="797">
        <f>E69</f>
        <v>0.1101</v>
      </c>
      <c r="F64" s="766"/>
      <c r="G64" s="1794">
        <v>0.10970000000000001</v>
      </c>
      <c r="H64" s="766"/>
      <c r="I64" s="766"/>
    </row>
    <row r="65" spans="3:9" ht="15.75" customHeight="1" thickBot="1">
      <c r="C65" s="798" t="s">
        <v>766</v>
      </c>
      <c r="D65" s="799" t="s">
        <v>373</v>
      </c>
      <c r="E65" s="800">
        <f>E63+E62*E64</f>
        <v>0.11074276417774814</v>
      </c>
      <c r="F65" s="801"/>
      <c r="G65" s="1795">
        <v>0.10780516084610761</v>
      </c>
      <c r="H65" s="801">
        <f>E65-G65</f>
        <v>2.9376033316405314E-3</v>
      </c>
      <c r="I65" s="766"/>
    </row>
    <row r="67" spans="3:9" ht="15.75" customHeight="1" thickBot="1">
      <c r="D67" s="785" t="s">
        <v>1367</v>
      </c>
      <c r="E67" s="788">
        <v>0.20899999999999999</v>
      </c>
    </row>
    <row r="68" spans="3:9" ht="15.75" customHeight="1">
      <c r="D68" s="785" t="s">
        <v>758</v>
      </c>
      <c r="E68" s="1862">
        <v>3.6499999999999998E-2</v>
      </c>
    </row>
    <row r="69" spans="3:9" ht="15.75" customHeight="1">
      <c r="D69" s="785" t="s">
        <v>1368</v>
      </c>
      <c r="E69" s="794">
        <v>0.1101</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G31:I31">
    <cfRule type="expression" dxfId="27" priority="4">
      <formula>$L31="O"</formula>
    </cfRule>
  </conditionalFormatting>
  <conditionalFormatting sqref="L22:Q30 C10:Q10 C11:H30 I11:Q21">
    <cfRule type="expression" dxfId="26" priority="5">
      <formula>$Q10="O"</formula>
    </cfRule>
  </conditionalFormatting>
  <conditionalFormatting sqref="J22:K30">
    <cfRule type="expression" dxfId="25" priority="3">
      <formula>$Q22="O"</formula>
    </cfRule>
  </conditionalFormatting>
  <conditionalFormatting sqref="I22:I30">
    <cfRule type="expression" dxfId="24" priority="2">
      <formula>$P22="O"</formula>
    </cfRule>
  </conditionalFormatting>
  <conditionalFormatting sqref="J31:K31">
    <cfRule type="expression" dxfId="23" priority="1">
      <formula>$L31="O"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28" zoomScale="85" zoomScaleNormal="85" workbookViewId="0">
      <pane xSplit="4" topLeftCell="E1" activePane="topRight" state="frozen"/>
      <selection activeCell="E65" sqref="E65"/>
      <selection pane="topRight" activeCell="E65" sqref="E65"/>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1210</v>
      </c>
      <c r="D1" s="711"/>
      <c r="E1" s="711"/>
      <c r="F1" s="711"/>
      <c r="G1" s="711"/>
      <c r="H1" s="711"/>
      <c r="I1" s="711"/>
      <c r="J1" s="711"/>
      <c r="K1" s="711"/>
      <c r="R1" s="713" t="s">
        <v>1211</v>
      </c>
    </row>
    <row r="2" spans="1:23" ht="15.75" customHeight="1" thickBot="1">
      <c r="A2" s="709"/>
      <c r="B2" s="709"/>
      <c r="C2" s="710"/>
      <c r="D2" s="711"/>
      <c r="E2" s="711"/>
      <c r="F2" s="711"/>
      <c r="G2" s="711"/>
      <c r="H2" s="711"/>
      <c r="I2" s="711"/>
      <c r="J2" s="711"/>
      <c r="K2" s="711"/>
      <c r="R2" s="713" t="s">
        <v>1212</v>
      </c>
    </row>
    <row r="3" spans="1:23" ht="15.75" customHeight="1" thickBot="1">
      <c r="C3" s="714" t="s">
        <v>1213</v>
      </c>
      <c r="E3" s="715"/>
      <c r="L3" s="716"/>
      <c r="N3" s="717"/>
      <c r="O3" s="718"/>
      <c r="P3" s="719"/>
      <c r="Q3" s="719"/>
      <c r="R3" s="719"/>
      <c r="S3" s="719"/>
      <c r="T3" s="719"/>
      <c r="U3" s="718"/>
    </row>
    <row r="4" spans="1:23" ht="15.75" customHeight="1" thickTop="1">
      <c r="C4" s="1787" t="s">
        <v>1214</v>
      </c>
      <c r="N4" s="717"/>
      <c r="O4" s="718"/>
      <c r="P4" s="718"/>
      <c r="Q4" s="718"/>
      <c r="R4" s="718"/>
      <c r="S4" s="718"/>
      <c r="T4" s="718"/>
      <c r="U4" s="718"/>
      <c r="V4" s="717"/>
    </row>
    <row r="5" spans="1:23" ht="15.75" customHeight="1" thickBot="1">
      <c r="C5" s="1788" t="s">
        <v>1215</v>
      </c>
      <c r="N5" s="717"/>
      <c r="O5" s="718"/>
      <c r="P5" s="718"/>
      <c r="Q5" s="718"/>
      <c r="R5" s="718"/>
      <c r="S5" s="718"/>
      <c r="T5" s="718"/>
      <c r="U5" s="718"/>
      <c r="V5" s="717"/>
    </row>
    <row r="6" spans="1:23" ht="15.75" customHeight="1" thickBot="1">
      <c r="M6" s="722" t="s">
        <v>1216</v>
      </c>
      <c r="N6" s="723">
        <v>45199</v>
      </c>
      <c r="Q6" s="718"/>
      <c r="R6" s="718"/>
      <c r="S6" s="718"/>
      <c r="T6" s="718"/>
      <c r="U6" s="718"/>
    </row>
    <row r="7" spans="1:23" ht="15.75" customHeight="1" thickBot="1">
      <c r="J7" s="724" t="s">
        <v>1217</v>
      </c>
      <c r="K7" s="725">
        <f>E64</f>
        <v>0.20899999999999999</v>
      </c>
      <c r="M7" s="726" t="s">
        <v>1218</v>
      </c>
      <c r="N7" s="727">
        <v>45176</v>
      </c>
      <c r="Q7" s="728"/>
      <c r="R7" s="728"/>
      <c r="S7" s="718"/>
      <c r="T7" s="718"/>
      <c r="U7" s="718"/>
    </row>
    <row r="8" spans="1:23" ht="15.75" customHeight="1" thickBot="1">
      <c r="G8" s="729"/>
      <c r="H8" s="729"/>
      <c r="I8" s="729"/>
      <c r="J8" s="729"/>
      <c r="K8" s="729"/>
      <c r="N8" s="718"/>
      <c r="O8" s="718"/>
      <c r="P8" s="728"/>
      <c r="Q8" s="730" t="s">
        <v>1219</v>
      </c>
      <c r="R8" s="728"/>
      <c r="W8" s="718"/>
    </row>
    <row r="9" spans="1:23" ht="15.75" customHeight="1" thickTop="1" thickBot="1">
      <c r="C9" s="731" t="s">
        <v>1220</v>
      </c>
      <c r="D9" s="731" t="s">
        <v>255</v>
      </c>
      <c r="E9" s="731" t="s">
        <v>1221</v>
      </c>
      <c r="F9" s="731" t="s">
        <v>258</v>
      </c>
      <c r="G9" s="731" t="s">
        <v>1222</v>
      </c>
      <c r="H9" s="731" t="s">
        <v>1223</v>
      </c>
      <c r="I9" s="731" t="s">
        <v>1224</v>
      </c>
      <c r="J9" s="731" t="s">
        <v>262</v>
      </c>
      <c r="K9" s="731" t="s">
        <v>1225</v>
      </c>
      <c r="L9" s="731" t="s">
        <v>687</v>
      </c>
      <c r="M9" s="731" t="s">
        <v>688</v>
      </c>
      <c r="N9" s="731" t="s">
        <v>689</v>
      </c>
      <c r="O9" s="731" t="s">
        <v>690</v>
      </c>
      <c r="P9" s="731" t="s">
        <v>1226</v>
      </c>
      <c r="Q9" s="731" t="s">
        <v>1227</v>
      </c>
      <c r="W9" s="718"/>
    </row>
    <row r="10" spans="1:23" ht="24.75" thickBot="1">
      <c r="A10" s="732"/>
      <c r="B10" s="732"/>
      <c r="C10" s="733">
        <v>1</v>
      </c>
      <c r="D10" s="734" t="s">
        <v>273</v>
      </c>
      <c r="E10" s="734" t="s">
        <v>275</v>
      </c>
      <c r="F10" s="735">
        <v>40738</v>
      </c>
      <c r="G10" s="736">
        <v>0.76731020000000005</v>
      </c>
      <c r="H10" s="737">
        <v>2.5425295811707431</v>
      </c>
      <c r="I10" s="738">
        <v>0.20900000000000002</v>
      </c>
      <c r="J10" s="739">
        <f>G10/(1+H10*(1-I10))</f>
        <v>0.25482374482367376</v>
      </c>
      <c r="K10" s="739">
        <f t="shared" ref="K10:K30" si="0">J10*(1+$H$31*(1-$K$7))</f>
        <v>0.59685920650463387</v>
      </c>
      <c r="L10" s="740" t="s">
        <v>1228</v>
      </c>
      <c r="M10" s="740" t="s">
        <v>1229</v>
      </c>
      <c r="N10" s="740" t="s">
        <v>694</v>
      </c>
      <c r="O10" s="740" t="s">
        <v>1230</v>
      </c>
      <c r="P10" s="740">
        <f t="shared" ref="P10:P30" si="1">YEARFRAC(F10,EOMONTH($N$6,-2),1)</f>
        <v>12.047177759056446</v>
      </c>
      <c r="Q10" s="740" t="s">
        <v>670</v>
      </c>
      <c r="R10" s="712">
        <f>IF(Q10="O",1,0)</f>
        <v>1</v>
      </c>
      <c r="S10" s="712">
        <f>R10</f>
        <v>1</v>
      </c>
      <c r="W10" s="718"/>
    </row>
    <row r="11" spans="1:23" ht="24.75" thickBot="1">
      <c r="A11" s="732"/>
      <c r="B11" s="732"/>
      <c r="C11" s="733">
        <v>2</v>
      </c>
      <c r="D11" s="734" t="s">
        <v>278</v>
      </c>
      <c r="E11" s="734" t="s">
        <v>280</v>
      </c>
      <c r="F11" s="735">
        <v>40939</v>
      </c>
      <c r="G11" s="736">
        <v>0.97416539999999996</v>
      </c>
      <c r="H11" s="737">
        <v>2.8027869937168344</v>
      </c>
      <c r="I11" s="738">
        <v>0.20900000000000002</v>
      </c>
      <c r="J11" s="739">
        <f t="shared" ref="J11:J30" si="2">G11/(1+H11*(1-I11))</f>
        <v>0.30281754233079256</v>
      </c>
      <c r="K11" s="739">
        <f t="shared" si="0"/>
        <v>0.70927235668835942</v>
      </c>
      <c r="L11" s="740" t="s">
        <v>1231</v>
      </c>
      <c r="M11" s="740" t="s">
        <v>696</v>
      </c>
      <c r="N11" s="740" t="s">
        <v>1232</v>
      </c>
      <c r="O11" s="740" t="s">
        <v>1233</v>
      </c>
      <c r="P11" s="740">
        <f t="shared" si="1"/>
        <v>11.496235455167694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0.66100110000000001</v>
      </c>
      <c r="H12" s="737">
        <v>1.4927485895996895</v>
      </c>
      <c r="I12" s="738">
        <v>0.20900000000000002</v>
      </c>
      <c r="J12" s="739">
        <f t="shared" si="2"/>
        <v>0.30310526919498321</v>
      </c>
      <c r="K12" s="739">
        <f t="shared" si="0"/>
        <v>0.70994628300542895</v>
      </c>
      <c r="L12" s="740" t="s">
        <v>1228</v>
      </c>
      <c r="M12" s="740" t="s">
        <v>696</v>
      </c>
      <c r="N12" s="740" t="s">
        <v>700</v>
      </c>
      <c r="O12" s="740" t="s">
        <v>1234</v>
      </c>
      <c r="P12" s="740">
        <f t="shared" si="1"/>
        <v>6.8528405201916494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0.60657479999999997</v>
      </c>
      <c r="H13" s="737">
        <v>1.3294260491557739</v>
      </c>
      <c r="I13" s="738">
        <v>0.20900000000000002</v>
      </c>
      <c r="J13" s="739">
        <f t="shared" si="2"/>
        <v>0.29566284581049385</v>
      </c>
      <c r="K13" s="739">
        <f t="shared" si="0"/>
        <v>0.69251431677005493</v>
      </c>
      <c r="L13" s="740" t="s">
        <v>702</v>
      </c>
      <c r="M13" s="740" t="s">
        <v>1235</v>
      </c>
      <c r="N13" s="740" t="s">
        <v>704</v>
      </c>
      <c r="O13" s="740" t="s">
        <v>1236</v>
      </c>
      <c r="P13" s="740">
        <f t="shared" si="1"/>
        <v>5.0935645823824736</v>
      </c>
      <c r="Q13" s="740" t="s">
        <v>670</v>
      </c>
      <c r="R13" s="712">
        <f t="shared" si="3"/>
        <v>1</v>
      </c>
      <c r="S13" s="712">
        <f t="shared" si="4"/>
        <v>4</v>
      </c>
      <c r="W13" s="741"/>
    </row>
    <row r="14" spans="1:23" ht="36.75" thickBot="1">
      <c r="A14" s="732"/>
      <c r="B14" s="732"/>
      <c r="C14" s="733">
        <v>5</v>
      </c>
      <c r="D14" s="734" t="s">
        <v>292</v>
      </c>
      <c r="E14" s="734" t="s">
        <v>294</v>
      </c>
      <c r="F14" s="735">
        <v>43320</v>
      </c>
      <c r="G14" s="736">
        <v>0.48922189999999999</v>
      </c>
      <c r="H14" s="737">
        <v>2.38395930027208</v>
      </c>
      <c r="I14" s="738">
        <v>0.20900000000000002</v>
      </c>
      <c r="J14" s="739">
        <f t="shared" si="2"/>
        <v>0.16953248723433134</v>
      </c>
      <c r="K14" s="739">
        <f t="shared" si="0"/>
        <v>0.39708633070068378</v>
      </c>
      <c r="L14" s="740" t="s">
        <v>706</v>
      </c>
      <c r="M14" s="740" t="s">
        <v>1237</v>
      </c>
      <c r="N14" s="740" t="s">
        <v>708</v>
      </c>
      <c r="O14" s="740" t="s">
        <v>1238</v>
      </c>
      <c r="P14" s="740">
        <f t="shared" si="1"/>
        <v>4.9785486079415788</v>
      </c>
      <c r="Q14" s="740" t="s">
        <v>670</v>
      </c>
      <c r="R14" s="712">
        <f t="shared" si="3"/>
        <v>1</v>
      </c>
      <c r="S14" s="712">
        <f t="shared" si="4"/>
        <v>5</v>
      </c>
      <c r="W14" s="741"/>
    </row>
    <row r="15" spans="1:23" ht="12.75" thickBot="1">
      <c r="A15" s="732"/>
      <c r="B15" s="732"/>
      <c r="C15" s="733">
        <v>6</v>
      </c>
      <c r="D15" s="734" t="s">
        <v>296</v>
      </c>
      <c r="E15" s="734" t="s">
        <v>298</v>
      </c>
      <c r="F15" s="735">
        <v>43768</v>
      </c>
      <c r="G15" s="736">
        <v>0.54302240000000002</v>
      </c>
      <c r="H15" s="737">
        <v>1.3268086916636541</v>
      </c>
      <c r="I15" s="738">
        <v>0.23100000000000001</v>
      </c>
      <c r="J15" s="739">
        <f t="shared" si="2"/>
        <v>0.26878093882755444</v>
      </c>
      <c r="K15" s="739">
        <f t="shared" si="0"/>
        <v>0.62955035051066732</v>
      </c>
      <c r="L15" s="740" t="s">
        <v>706</v>
      </c>
      <c r="M15" s="740" t="s">
        <v>696</v>
      </c>
      <c r="N15" s="740" t="s">
        <v>704</v>
      </c>
      <c r="O15" s="740" t="s">
        <v>710</v>
      </c>
      <c r="P15" s="740">
        <f t="shared" si="1"/>
        <v>3.751369112814896</v>
      </c>
      <c r="Q15" s="740" t="s">
        <v>670</v>
      </c>
      <c r="R15" s="712">
        <f t="shared" si="3"/>
        <v>1</v>
      </c>
      <c r="S15" s="712">
        <f t="shared" si="4"/>
        <v>6</v>
      </c>
      <c r="W15" s="741"/>
    </row>
    <row r="16" spans="1:23" ht="36.75" thickBot="1">
      <c r="A16" s="732"/>
      <c r="B16" s="732"/>
      <c r="C16" s="733">
        <v>7</v>
      </c>
      <c r="D16" s="734" t="s">
        <v>300</v>
      </c>
      <c r="E16" s="734" t="s">
        <v>302</v>
      </c>
      <c r="F16" s="735">
        <v>43804</v>
      </c>
      <c r="G16" s="736">
        <v>0.55448770000000003</v>
      </c>
      <c r="H16" s="737">
        <v>0</v>
      </c>
      <c r="I16" s="738">
        <v>0.20900000000000002</v>
      </c>
      <c r="J16" s="739">
        <f t="shared" si="2"/>
        <v>0.55448770000000003</v>
      </c>
      <c r="K16" s="739">
        <f t="shared" si="0"/>
        <v>1.2987450948402879</v>
      </c>
      <c r="L16" s="740" t="s">
        <v>706</v>
      </c>
      <c r="M16" s="740" t="s">
        <v>711</v>
      </c>
      <c r="N16" s="740" t="s">
        <v>708</v>
      </c>
      <c r="O16" s="740" t="s">
        <v>1239</v>
      </c>
      <c r="P16" s="740">
        <f t="shared" si="1"/>
        <v>3.6527929901423879</v>
      </c>
      <c r="Q16" s="740" t="s">
        <v>670</v>
      </c>
      <c r="R16" s="712">
        <f t="shared" si="3"/>
        <v>1</v>
      </c>
      <c r="S16" s="712">
        <f t="shared" si="4"/>
        <v>7</v>
      </c>
      <c r="W16" s="741"/>
    </row>
    <row r="17" spans="1:23" ht="24.75" thickBot="1">
      <c r="A17" s="732"/>
      <c r="B17" s="732"/>
      <c r="C17" s="733">
        <v>8</v>
      </c>
      <c r="D17" s="733" t="s">
        <v>1240</v>
      </c>
      <c r="E17" s="733" t="s">
        <v>1241</v>
      </c>
      <c r="F17" s="742">
        <v>44028</v>
      </c>
      <c r="G17" s="736">
        <v>0.63385190000000002</v>
      </c>
      <c r="H17" s="737">
        <v>0.21379979939176699</v>
      </c>
      <c r="I17" s="738">
        <v>0.20899999999999999</v>
      </c>
      <c r="J17" s="739">
        <f t="shared" si="2"/>
        <v>0.54216356158313572</v>
      </c>
      <c r="K17" s="739">
        <f t="shared" si="0"/>
        <v>1.2698789643255166</v>
      </c>
      <c r="L17" s="740" t="s">
        <v>706</v>
      </c>
      <c r="M17" s="740" t="s">
        <v>1242</v>
      </c>
      <c r="N17" s="740" t="s">
        <v>1243</v>
      </c>
      <c r="O17" s="740" t="s">
        <v>1244</v>
      </c>
      <c r="P17" s="740">
        <f t="shared" si="1"/>
        <v>3.0390143737166326</v>
      </c>
      <c r="Q17" s="740" t="s">
        <v>671</v>
      </c>
      <c r="R17" s="712">
        <f t="shared" si="3"/>
        <v>0</v>
      </c>
      <c r="S17" s="712">
        <f t="shared" si="4"/>
        <v>7</v>
      </c>
      <c r="W17" s="711"/>
    </row>
    <row r="18" spans="1:23" ht="24.75" thickBot="1">
      <c r="A18" s="732"/>
      <c r="B18" s="732"/>
      <c r="C18" s="733">
        <v>9</v>
      </c>
      <c r="D18" s="733" t="s">
        <v>307</v>
      </c>
      <c r="E18" s="733" t="s">
        <v>1245</v>
      </c>
      <c r="F18" s="742">
        <v>44048</v>
      </c>
      <c r="G18" s="736">
        <v>0.65208619999999995</v>
      </c>
      <c r="H18" s="737">
        <v>2.35514627247648</v>
      </c>
      <c r="I18" s="738">
        <v>0.20900000000000002</v>
      </c>
      <c r="J18" s="739">
        <f t="shared" si="2"/>
        <v>0.22776956401613363</v>
      </c>
      <c r="K18" s="739">
        <f t="shared" si="0"/>
        <v>0.53349173303549291</v>
      </c>
      <c r="L18" s="740" t="s">
        <v>706</v>
      </c>
      <c r="M18" s="740" t="s">
        <v>696</v>
      </c>
      <c r="N18" s="740" t="s">
        <v>704</v>
      </c>
      <c r="O18" s="740" t="s">
        <v>1246</v>
      </c>
      <c r="P18" s="740">
        <f t="shared" si="1"/>
        <v>2.9842573579739904</v>
      </c>
      <c r="Q18" s="740" t="s">
        <v>671</v>
      </c>
      <c r="R18" s="712">
        <f t="shared" si="3"/>
        <v>0</v>
      </c>
      <c r="S18" s="712">
        <f t="shared" si="4"/>
        <v>7</v>
      </c>
      <c r="T18" s="717"/>
    </row>
    <row r="19" spans="1:23" ht="36.75" thickBot="1">
      <c r="A19" s="732"/>
      <c r="B19" s="732"/>
      <c r="C19" s="733">
        <v>10</v>
      </c>
      <c r="D19" s="733" t="s">
        <v>310</v>
      </c>
      <c r="E19" s="733" t="s">
        <v>1247</v>
      </c>
      <c r="F19" s="742">
        <v>44048</v>
      </c>
      <c r="G19" s="736">
        <v>0.61060049999999999</v>
      </c>
      <c r="H19" s="737">
        <v>1.0848609493676264</v>
      </c>
      <c r="I19" s="738">
        <v>0.20900000000000002</v>
      </c>
      <c r="J19" s="739">
        <f t="shared" si="2"/>
        <v>0.32861109796261107</v>
      </c>
      <c r="K19" s="739">
        <f t="shared" si="0"/>
        <v>0.7696871392981709</v>
      </c>
      <c r="L19" s="740" t="s">
        <v>706</v>
      </c>
      <c r="M19" s="740" t="s">
        <v>1248</v>
      </c>
      <c r="N19" s="740" t="s">
        <v>1249</v>
      </c>
      <c r="O19" s="740" t="s">
        <v>1250</v>
      </c>
      <c r="P19" s="740">
        <f t="shared" si="1"/>
        <v>2.9842573579739904</v>
      </c>
      <c r="Q19" s="740" t="s">
        <v>671</v>
      </c>
      <c r="R19" s="712">
        <f t="shared" si="3"/>
        <v>0</v>
      </c>
      <c r="S19" s="712">
        <f t="shared" si="4"/>
        <v>7</v>
      </c>
    </row>
    <row r="20" spans="1:23" ht="48.75" thickBot="1">
      <c r="A20" s="732"/>
      <c r="B20" s="732"/>
      <c r="C20" s="733">
        <v>11</v>
      </c>
      <c r="D20" s="733" t="s">
        <v>313</v>
      </c>
      <c r="E20" s="733" t="s">
        <v>1251</v>
      </c>
      <c r="F20" s="742">
        <v>44050</v>
      </c>
      <c r="G20" s="736">
        <v>0.6730334</v>
      </c>
      <c r="H20" s="737">
        <v>1.2769184787086476</v>
      </c>
      <c r="I20" s="738">
        <v>0.23100000000000001</v>
      </c>
      <c r="J20" s="739">
        <f t="shared" si="2"/>
        <v>0.33958136920036613</v>
      </c>
      <c r="K20" s="739">
        <f t="shared" si="0"/>
        <v>0.79538218349681022</v>
      </c>
      <c r="L20" s="740" t="s">
        <v>706</v>
      </c>
      <c r="M20" s="740" t="s">
        <v>1252</v>
      </c>
      <c r="N20" s="740" t="s">
        <v>1253</v>
      </c>
      <c r="O20" s="740" t="s">
        <v>1254</v>
      </c>
      <c r="P20" s="740">
        <f t="shared" si="1"/>
        <v>2.9787816563997263</v>
      </c>
      <c r="Q20" s="740" t="s">
        <v>671</v>
      </c>
      <c r="R20" s="712">
        <f t="shared" si="3"/>
        <v>0</v>
      </c>
      <c r="S20" s="712">
        <f t="shared" si="4"/>
        <v>7</v>
      </c>
    </row>
    <row r="21" spans="1:23" ht="24.75" thickBot="1">
      <c r="A21" s="732"/>
      <c r="B21" s="732"/>
      <c r="C21" s="733">
        <v>12</v>
      </c>
      <c r="D21" s="733" t="s">
        <v>316</v>
      </c>
      <c r="E21" s="733" t="s">
        <v>1255</v>
      </c>
      <c r="F21" s="742">
        <v>44074</v>
      </c>
      <c r="G21" s="736">
        <v>0.63138700000000003</v>
      </c>
      <c r="H21" s="737">
        <v>1.4621881504237146</v>
      </c>
      <c r="I21" s="738">
        <v>0.23100000000000001</v>
      </c>
      <c r="J21" s="739">
        <f t="shared" si="2"/>
        <v>0.29720403743698992</v>
      </c>
      <c r="K21" s="739">
        <f t="shared" si="0"/>
        <v>0.69612416251617459</v>
      </c>
      <c r="L21" s="740" t="s">
        <v>706</v>
      </c>
      <c r="M21" s="740" t="s">
        <v>696</v>
      </c>
      <c r="N21" s="740" t="s">
        <v>725</v>
      </c>
      <c r="O21" s="740" t="s">
        <v>1256</v>
      </c>
      <c r="P21" s="740">
        <f t="shared" si="1"/>
        <v>2.9130732375085557</v>
      </c>
      <c r="Q21" s="740" t="s">
        <v>671</v>
      </c>
      <c r="R21" s="712">
        <f t="shared" si="3"/>
        <v>0</v>
      </c>
      <c r="S21" s="712">
        <f t="shared" si="4"/>
        <v>7</v>
      </c>
    </row>
    <row r="22" spans="1:23" ht="12.75" thickBot="1">
      <c r="A22" s="732"/>
      <c r="B22" s="732"/>
      <c r="C22" s="733">
        <v>13</v>
      </c>
      <c r="D22" s="733" t="s">
        <v>1257</v>
      </c>
      <c r="E22" s="733" t="s">
        <v>1258</v>
      </c>
      <c r="F22" s="742">
        <v>44188</v>
      </c>
      <c r="G22" s="736">
        <v>0.76320209999999999</v>
      </c>
      <c r="H22" s="737">
        <v>1.2561170279695988</v>
      </c>
      <c r="I22" s="738" t="e">
        <v>#VALUE!</v>
      </c>
      <c r="J22" s="739" t="e">
        <f t="shared" si="2"/>
        <v>#VALUE!</v>
      </c>
      <c r="K22" s="739" t="e">
        <f t="shared" si="0"/>
        <v>#VALUE!</v>
      </c>
      <c r="L22" s="740" t="s">
        <v>706</v>
      </c>
      <c r="M22" s="740" t="s">
        <v>711</v>
      </c>
      <c r="N22" s="740" t="s">
        <v>729</v>
      </c>
      <c r="O22" s="740" t="s">
        <v>730</v>
      </c>
      <c r="P22" s="740">
        <f t="shared" si="1"/>
        <v>2.6009582477754964</v>
      </c>
      <c r="Q22" s="740" t="s">
        <v>671</v>
      </c>
      <c r="R22" s="712">
        <f t="shared" si="3"/>
        <v>0</v>
      </c>
      <c r="S22" s="712">
        <f t="shared" si="4"/>
        <v>7</v>
      </c>
    </row>
    <row r="23" spans="1:23" ht="15.75" customHeight="1" thickBot="1">
      <c r="A23" s="732"/>
      <c r="B23" s="732"/>
      <c r="C23" s="733">
        <v>14</v>
      </c>
      <c r="D23" s="733" t="s">
        <v>1259</v>
      </c>
      <c r="E23" s="733" t="s">
        <v>1260</v>
      </c>
      <c r="F23" s="744">
        <v>44435</v>
      </c>
      <c r="G23" s="736">
        <v>0.60168790000000005</v>
      </c>
      <c r="H23" s="737">
        <v>2.7700186132669167</v>
      </c>
      <c r="I23" s="738">
        <v>9.9000000000000019E-2</v>
      </c>
      <c r="J23" s="739">
        <f t="shared" si="2"/>
        <v>0.17211802077525859</v>
      </c>
      <c r="K23" s="739">
        <f t="shared" si="0"/>
        <v>0.40314227928858626</v>
      </c>
      <c r="L23" s="740"/>
      <c r="M23" s="740"/>
      <c r="N23" s="740"/>
      <c r="O23" s="740"/>
      <c r="P23" s="740">
        <f t="shared" si="1"/>
        <v>1.9260273972602739</v>
      </c>
      <c r="Q23" s="740" t="s">
        <v>671</v>
      </c>
      <c r="R23" s="712">
        <f t="shared" si="3"/>
        <v>0</v>
      </c>
      <c r="S23" s="712">
        <f t="shared" si="4"/>
        <v>7</v>
      </c>
    </row>
    <row r="24" spans="1:23" ht="15.75" customHeight="1" thickBot="1">
      <c r="A24" s="732"/>
      <c r="B24" s="732"/>
      <c r="C24" s="733">
        <v>15</v>
      </c>
      <c r="D24" s="733" t="s">
        <v>1261</v>
      </c>
      <c r="E24" s="733" t="s">
        <v>1262</v>
      </c>
      <c r="F24" s="744">
        <v>44453</v>
      </c>
      <c r="G24" s="736">
        <v>0.53030330000000003</v>
      </c>
      <c r="H24" s="737">
        <v>1.5306118734497174</v>
      </c>
      <c r="I24" s="738" t="e">
        <v>#VALUE!</v>
      </c>
      <c r="J24" s="739" t="e">
        <f t="shared" si="2"/>
        <v>#VALUE!</v>
      </c>
      <c r="K24" s="739" t="e">
        <f t="shared" si="0"/>
        <v>#VALUE!</v>
      </c>
      <c r="L24" s="740"/>
      <c r="M24" s="740"/>
      <c r="N24" s="740"/>
      <c r="O24" s="740"/>
      <c r="P24" s="740">
        <f t="shared" si="1"/>
        <v>1.8767123287671232</v>
      </c>
      <c r="Q24" s="740" t="s">
        <v>671</v>
      </c>
      <c r="R24" s="712">
        <f t="shared" si="3"/>
        <v>0</v>
      </c>
      <c r="S24" s="712">
        <f t="shared" si="4"/>
        <v>7</v>
      </c>
    </row>
    <row r="25" spans="1:23" ht="15.75" customHeight="1" thickBot="1">
      <c r="A25" s="732"/>
      <c r="B25" s="732"/>
      <c r="C25" s="733">
        <v>16</v>
      </c>
      <c r="D25" s="733" t="s">
        <v>1263</v>
      </c>
      <c r="E25" s="733" t="s">
        <v>1264</v>
      </c>
      <c r="F25" s="744">
        <v>44518</v>
      </c>
      <c r="G25" s="736">
        <v>0.60606230000000005</v>
      </c>
      <c r="H25" s="737">
        <v>2.815647578323965</v>
      </c>
      <c r="I25" s="738">
        <v>0.20900000000000002</v>
      </c>
      <c r="J25" s="739">
        <f t="shared" si="2"/>
        <v>0.18779950897320039</v>
      </c>
      <c r="K25" s="739">
        <f t="shared" si="0"/>
        <v>0.43987213980104267</v>
      </c>
      <c r="L25" s="740"/>
      <c r="M25" s="740"/>
      <c r="N25" s="740"/>
      <c r="O25" s="740"/>
      <c r="P25" s="740">
        <f t="shared" si="1"/>
        <v>1.6986301369863013</v>
      </c>
      <c r="Q25" s="740" t="s">
        <v>671</v>
      </c>
      <c r="R25" s="712">
        <f t="shared" si="3"/>
        <v>0</v>
      </c>
      <c r="S25" s="712">
        <f t="shared" si="4"/>
        <v>7</v>
      </c>
    </row>
    <row r="26" spans="1:23" ht="15.75" customHeight="1" thickBot="1">
      <c r="A26" s="732"/>
      <c r="B26" s="732"/>
      <c r="C26" s="733">
        <v>17</v>
      </c>
      <c r="D26" s="733" t="s">
        <v>1265</v>
      </c>
      <c r="E26" s="733" t="s">
        <v>1266</v>
      </c>
      <c r="F26" s="744">
        <v>44533</v>
      </c>
      <c r="G26" s="736">
        <v>0.64750030000000003</v>
      </c>
      <c r="H26" s="737">
        <v>2.0166559525490944</v>
      </c>
      <c r="I26" s="738">
        <v>9.9000000000000019E-2</v>
      </c>
      <c r="J26" s="739">
        <f t="shared" si="2"/>
        <v>0.22985398934230034</v>
      </c>
      <c r="K26" s="739">
        <f t="shared" si="0"/>
        <v>0.53837396426969319</v>
      </c>
      <c r="L26" s="740"/>
      <c r="M26" s="740"/>
      <c r="N26" s="740"/>
      <c r="O26" s="740"/>
      <c r="P26" s="740">
        <f t="shared" si="1"/>
        <v>1.6575342465753424</v>
      </c>
      <c r="Q26" s="740" t="s">
        <v>671</v>
      </c>
      <c r="R26" s="712">
        <f t="shared" si="3"/>
        <v>0</v>
      </c>
      <c r="S26" s="712">
        <f t="shared" si="4"/>
        <v>7</v>
      </c>
    </row>
    <row r="27" spans="1:23" ht="15.75" customHeight="1" thickBot="1">
      <c r="A27" s="732"/>
      <c r="B27" s="732"/>
      <c r="C27" s="733">
        <v>18</v>
      </c>
      <c r="D27" s="733" t="s">
        <v>1267</v>
      </c>
      <c r="E27" s="733" t="s">
        <v>869</v>
      </c>
      <c r="F27" s="744">
        <v>44540</v>
      </c>
      <c r="G27" s="736">
        <v>0.68352550000000001</v>
      </c>
      <c r="H27" s="737">
        <v>1.5120631880986815</v>
      </c>
      <c r="I27" s="738">
        <v>9.9000000000000019E-2</v>
      </c>
      <c r="J27" s="739">
        <f t="shared" si="2"/>
        <v>0.28933901500445691</v>
      </c>
      <c r="K27" s="739">
        <f t="shared" si="0"/>
        <v>0.67770236649606264</v>
      </c>
      <c r="L27" s="740"/>
      <c r="M27" s="740"/>
      <c r="N27" s="740"/>
      <c r="O27" s="740"/>
      <c r="P27" s="740">
        <f t="shared" si="1"/>
        <v>1.6383561643835616</v>
      </c>
      <c r="Q27" s="740" t="s">
        <v>671</v>
      </c>
      <c r="R27" s="712">
        <f t="shared" si="3"/>
        <v>0</v>
      </c>
      <c r="S27" s="712">
        <f t="shared" si="4"/>
        <v>7</v>
      </c>
    </row>
    <row r="28" spans="1:23" ht="15.75" customHeight="1" thickBot="1">
      <c r="A28" s="732"/>
      <c r="B28" s="732"/>
      <c r="C28" s="733">
        <v>19</v>
      </c>
      <c r="D28" s="733" t="s">
        <v>1268</v>
      </c>
      <c r="E28" s="733" t="s">
        <v>1269</v>
      </c>
      <c r="F28" s="744">
        <v>44648</v>
      </c>
      <c r="G28" s="736">
        <v>0.89306030000000003</v>
      </c>
      <c r="H28" s="737">
        <v>1.5610632337531809</v>
      </c>
      <c r="I28" s="738" t="e">
        <v>#VALUE!</v>
      </c>
      <c r="J28" s="739" t="e">
        <f t="shared" si="2"/>
        <v>#VALUE!</v>
      </c>
      <c r="K28" s="739" t="e">
        <f t="shared" si="0"/>
        <v>#VALUE!</v>
      </c>
      <c r="L28" s="740"/>
      <c r="M28" s="740"/>
      <c r="N28" s="740"/>
      <c r="O28" s="740"/>
      <c r="P28" s="740">
        <f t="shared" si="1"/>
        <v>1.3424657534246576</v>
      </c>
      <c r="Q28" s="740" t="s">
        <v>671</v>
      </c>
      <c r="R28" s="712">
        <f t="shared" si="3"/>
        <v>0</v>
      </c>
      <c r="S28" s="712">
        <f t="shared" si="4"/>
        <v>7</v>
      </c>
    </row>
    <row r="29" spans="1:23" ht="15.75" customHeight="1" thickBot="1">
      <c r="A29" s="732"/>
      <c r="B29" s="732"/>
      <c r="C29" s="733">
        <v>20</v>
      </c>
      <c r="D29" s="733" t="s">
        <v>1270</v>
      </c>
      <c r="E29" s="733" t="s">
        <v>1271</v>
      </c>
      <c r="F29" s="744">
        <v>44712</v>
      </c>
      <c r="G29" s="736" t="e">
        <v>#N/A</v>
      </c>
      <c r="H29" s="737">
        <v>0.51478326520651574</v>
      </c>
      <c r="I29" s="738">
        <v>9.9000000000000019E-2</v>
      </c>
      <c r="J29" s="747" t="e">
        <f t="shared" si="2"/>
        <v>#N/A</v>
      </c>
      <c r="K29" s="747" t="e">
        <f t="shared" si="0"/>
        <v>#N/A</v>
      </c>
      <c r="L29" s="740"/>
      <c r="M29" s="740"/>
      <c r="N29" s="740"/>
      <c r="O29" s="740"/>
      <c r="P29" s="740">
        <f t="shared" si="1"/>
        <v>1.167123287671233</v>
      </c>
      <c r="Q29" s="740" t="s">
        <v>671</v>
      </c>
      <c r="R29" s="712">
        <f t="shared" si="3"/>
        <v>0</v>
      </c>
      <c r="S29" s="712">
        <f t="shared" si="4"/>
        <v>7</v>
      </c>
    </row>
    <row r="30" spans="1:23" ht="15.75" customHeight="1" thickBot="1">
      <c r="A30" s="732"/>
      <c r="B30" s="732"/>
      <c r="C30" s="733">
        <v>21</v>
      </c>
      <c r="D30" s="733" t="s">
        <v>1272</v>
      </c>
      <c r="E30" s="733" t="s">
        <v>1273</v>
      </c>
      <c r="F30" s="744">
        <v>44840</v>
      </c>
      <c r="G30" s="736" t="e">
        <v>#N/A</v>
      </c>
      <c r="H30" s="737">
        <v>0</v>
      </c>
      <c r="I30" s="738" t="e">
        <v>#N/A</v>
      </c>
      <c r="J30" s="747" t="e">
        <f t="shared" si="2"/>
        <v>#N/A</v>
      </c>
      <c r="K30" s="747" t="e">
        <f t="shared" si="0"/>
        <v>#N/A</v>
      </c>
      <c r="L30" s="740"/>
      <c r="M30" s="740"/>
      <c r="N30" s="740"/>
      <c r="O30" s="740"/>
      <c r="P30" s="740">
        <f t="shared" si="1"/>
        <v>0.81643835616438354</v>
      </c>
      <c r="Q30" s="740" t="s">
        <v>671</v>
      </c>
    </row>
    <row r="31" spans="1:23" ht="15.75" customHeight="1" thickBot="1">
      <c r="A31" s="748"/>
      <c r="B31" s="748"/>
      <c r="C31" s="749" t="s">
        <v>1274</v>
      </c>
      <c r="D31" s="750"/>
      <c r="E31" s="750"/>
      <c r="F31" s="751"/>
      <c r="G31" s="752">
        <f>AVERAGEIF($Q$10:$Q$29,"O",G10:G29)</f>
        <v>0.65654050000000008</v>
      </c>
      <c r="H31" s="753">
        <f>AVERAGEIF($Q$10:$Q$29,"O",H10:H29)</f>
        <v>1.6968941722255393</v>
      </c>
      <c r="I31" s="754"/>
      <c r="J31" s="755">
        <f>AVERAGEIF($Q$10:$Q$29,"O",J10:J29)</f>
        <v>0.30703007546026129</v>
      </c>
      <c r="K31" s="755">
        <f>AVERAGEIF($Q$10:$Q$29,"O",K10:K29)</f>
        <v>0.71913913414573094</v>
      </c>
      <c r="L31" s="756"/>
      <c r="O31" s="757"/>
      <c r="P31" s="757"/>
      <c r="Q31" s="757"/>
    </row>
    <row r="32" spans="1:23" ht="15.75" customHeight="1">
      <c r="A32" s="748"/>
      <c r="B32" s="748"/>
      <c r="C32" s="1034" t="s">
        <v>1275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1276</v>
      </c>
    </row>
    <row r="38" spans="1:17" s="766" customFormat="1" ht="12.75" thickBot="1">
      <c r="C38" s="768" t="s">
        <v>266</v>
      </c>
      <c r="D38" s="768" t="s">
        <v>267</v>
      </c>
      <c r="E38" s="768" t="s">
        <v>1277</v>
      </c>
      <c r="F38" s="768" t="s">
        <v>1278</v>
      </c>
      <c r="G38" s="768" t="s">
        <v>1279</v>
      </c>
      <c r="H38" s="769" t="s">
        <v>1280</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0.76731020000000005</v>
      </c>
      <c r="F39" s="773">
        <f>IFERROR(INDEX($H$10:$H$29,MATCH(C39,$D$10:$D$29,0)),"")</f>
        <v>2.5425295811707431</v>
      </c>
      <c r="G39" s="772">
        <f>IFERROR(INDEX($J$10:$J$29,MATCH(C39,$D$10:$D$29,0)),"")</f>
        <v>0.25482374482367376</v>
      </c>
      <c r="H39" s="772">
        <f>IFERROR(INDEX($K$10:$K$29,MATCH(C39,$D$10:$D$29,0)),"")</f>
        <v>0.59685920650463387</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0.97416539999999996</v>
      </c>
      <c r="F40" s="773">
        <f t="shared" ref="F40:F50" si="8">IFERROR(INDEX($H$10:$H$29,MATCH(C40,$D$10:$D$29,0)),"")</f>
        <v>2.8027869937168344</v>
      </c>
      <c r="G40" s="772">
        <f t="shared" ref="G40:G50" si="9">IFERROR(INDEX($J$10:$J$29,MATCH(C40,$D$10:$D$29,0)),"")</f>
        <v>0.30281754233079256</v>
      </c>
      <c r="H40" s="772">
        <f t="shared" ref="H40:H50" si="10">IFERROR(INDEX($K$10:$K$29,MATCH(C40,$D$10:$D$29,0)),"")</f>
        <v>0.70927235668835942</v>
      </c>
    </row>
    <row r="41" spans="1:17" s="766" customFormat="1" ht="12.75" thickBot="1">
      <c r="A41" s="770">
        <v>3</v>
      </c>
      <c r="B41" s="770"/>
      <c r="C41" s="771" t="str">
        <f t="shared" si="5"/>
        <v>모두투어리츠</v>
      </c>
      <c r="D41" s="771" t="str">
        <f t="shared" si="6"/>
        <v>자기관리</v>
      </c>
      <c r="E41" s="772">
        <f t="shared" si="7"/>
        <v>0.66100110000000001</v>
      </c>
      <c r="F41" s="773">
        <f t="shared" si="8"/>
        <v>1.4927485895996895</v>
      </c>
      <c r="G41" s="772">
        <f t="shared" si="9"/>
        <v>0.30310526919498321</v>
      </c>
      <c r="H41" s="772">
        <f t="shared" si="10"/>
        <v>0.70994628300542895</v>
      </c>
    </row>
    <row r="42" spans="1:17" s="766" customFormat="1" ht="12.75" thickBot="1">
      <c r="A42" s="770">
        <v>4</v>
      </c>
      <c r="B42" s="770"/>
      <c r="C42" s="771" t="str">
        <f t="shared" si="5"/>
        <v>이리츠코크렙</v>
      </c>
      <c r="D42" s="771" t="str">
        <f t="shared" si="6"/>
        <v>기업구조조정</v>
      </c>
      <c r="E42" s="772">
        <f t="shared" si="7"/>
        <v>0.60657479999999997</v>
      </c>
      <c r="F42" s="773">
        <f t="shared" si="8"/>
        <v>1.3294260491557739</v>
      </c>
      <c r="G42" s="772">
        <f t="shared" si="9"/>
        <v>0.29566284581049385</v>
      </c>
      <c r="H42" s="772">
        <f t="shared" si="10"/>
        <v>0.69251431677005493</v>
      </c>
      <c r="K42" s="766">
        <f>MATCH(A45,$S$10:$S$29,0)</f>
        <v>7</v>
      </c>
    </row>
    <row r="43" spans="1:17" s="766" customFormat="1" ht="12.75" thickBot="1">
      <c r="A43" s="770">
        <v>5</v>
      </c>
      <c r="B43" s="770"/>
      <c r="C43" s="771" t="str">
        <f t="shared" si="5"/>
        <v>신한알파리츠</v>
      </c>
      <c r="D43" s="771" t="str">
        <f t="shared" si="6"/>
        <v>위탁관리</v>
      </c>
      <c r="E43" s="772">
        <f t="shared" si="7"/>
        <v>0.48922189999999999</v>
      </c>
      <c r="F43" s="773">
        <f t="shared" si="8"/>
        <v>2.38395930027208</v>
      </c>
      <c r="G43" s="772">
        <f t="shared" si="9"/>
        <v>0.16953248723433134</v>
      </c>
      <c r="H43" s="772">
        <f t="shared" si="10"/>
        <v>0.39708633070068378</v>
      </c>
    </row>
    <row r="44" spans="1:17" s="766" customFormat="1" ht="12.75" thickBot="1">
      <c r="A44" s="770">
        <v>6</v>
      </c>
      <c r="B44" s="770"/>
      <c r="C44" s="771" t="str">
        <f t="shared" si="5"/>
        <v>롯데리츠</v>
      </c>
      <c r="D44" s="771" t="str">
        <f t="shared" si="6"/>
        <v>위탁관리</v>
      </c>
      <c r="E44" s="772">
        <f t="shared" si="7"/>
        <v>0.54302240000000002</v>
      </c>
      <c r="F44" s="773">
        <f t="shared" si="8"/>
        <v>1.3268086916636541</v>
      </c>
      <c r="G44" s="772">
        <f t="shared" si="9"/>
        <v>0.26878093882755444</v>
      </c>
      <c r="H44" s="772">
        <f t="shared" si="10"/>
        <v>0.62955035051066732</v>
      </c>
    </row>
    <row r="45" spans="1:17" s="766" customFormat="1" ht="12.75" thickBot="1">
      <c r="A45" s="770">
        <v>7</v>
      </c>
      <c r="B45" s="770"/>
      <c r="C45" s="771" t="str">
        <f t="shared" si="5"/>
        <v>NH프라임리츠</v>
      </c>
      <c r="D45" s="771" t="str">
        <f t="shared" si="6"/>
        <v>위탁관리</v>
      </c>
      <c r="E45" s="772">
        <f t="shared" si="7"/>
        <v>0.55448770000000003</v>
      </c>
      <c r="F45" s="773">
        <f t="shared" si="8"/>
        <v>0</v>
      </c>
      <c r="G45" s="772">
        <f t="shared" si="9"/>
        <v>0.55448770000000003</v>
      </c>
      <c r="H45" s="772">
        <f t="shared" si="10"/>
        <v>1.2987450948402879</v>
      </c>
    </row>
    <row r="46" spans="1:17" s="766" customFormat="1" ht="12.75" hidden="1"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hidden="1"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hidden="1"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hidden="1"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hidden="1"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0.65654050000000008</v>
      </c>
      <c r="F51" s="1789">
        <f t="shared" ref="F51:H51" si="11">AVERAGE(F39:F50)</f>
        <v>1.6968941722255393</v>
      </c>
      <c r="G51" s="776">
        <f t="shared" si="11"/>
        <v>0.30703007546026129</v>
      </c>
      <c r="H51" s="776">
        <f t="shared" si="11"/>
        <v>0.71913913414573094</v>
      </c>
    </row>
    <row r="52" spans="1:18" s="766" customFormat="1" ht="12"/>
    <row r="53" spans="1:18" s="766" customFormat="1" ht="12"/>
    <row r="54" spans="1:18" s="766" customFormat="1" ht="17.25" thickBot="1">
      <c r="C54" s="777" t="s">
        <v>93</v>
      </c>
      <c r="D54" s="778"/>
      <c r="E54" s="778"/>
      <c r="F54" s="779"/>
    </row>
    <row r="55" spans="1:18" s="766" customFormat="1" ht="17.25" thickBot="1">
      <c r="C55" s="780" t="s">
        <v>345</v>
      </c>
      <c r="D55" s="781" t="s">
        <v>346</v>
      </c>
      <c r="E55" s="1790">
        <f>N6</f>
        <v>45199</v>
      </c>
      <c r="F55" s="778"/>
      <c r="G55" s="1791">
        <v>45107</v>
      </c>
      <c r="K55" s="782"/>
      <c r="L55" s="782"/>
      <c r="M55" s="782"/>
      <c r="N55" s="782"/>
      <c r="O55" s="782"/>
      <c r="P55" s="782"/>
      <c r="Q55" s="782"/>
      <c r="R55" s="782"/>
    </row>
    <row r="56" spans="1:18" s="766" customFormat="1" ht="24.75" thickBot="1">
      <c r="C56" s="783" t="s">
        <v>1281</v>
      </c>
      <c r="D56" s="771" t="s">
        <v>358</v>
      </c>
      <c r="E56" s="784">
        <f>G31</f>
        <v>0.65654050000000008</v>
      </c>
      <c r="G56" s="1792">
        <v>0.65528299999999995</v>
      </c>
      <c r="K56" s="786"/>
      <c r="L56" s="786"/>
      <c r="M56" s="786"/>
      <c r="N56" s="786"/>
      <c r="O56" s="786"/>
      <c r="P56" s="786"/>
      <c r="Q56" s="786"/>
      <c r="R56" s="786"/>
    </row>
    <row r="57" spans="1:18" s="766" customFormat="1" ht="24.75" thickBot="1">
      <c r="C57" s="783" t="s">
        <v>360</v>
      </c>
      <c r="D57" s="771" t="s">
        <v>358</v>
      </c>
      <c r="E57" s="787">
        <f>H31</f>
        <v>1.6968941722255393</v>
      </c>
      <c r="G57" s="1793">
        <v>1.8164826026275107</v>
      </c>
      <c r="K57" s="789"/>
      <c r="L57" s="789"/>
      <c r="M57" s="789"/>
      <c r="N57" s="789"/>
      <c r="O57" s="789"/>
      <c r="P57" s="789"/>
      <c r="Q57" s="789"/>
      <c r="R57" s="789"/>
    </row>
    <row r="58" spans="1:18" s="766" customFormat="1" ht="27.75" thickBot="1">
      <c r="C58" s="790" t="s">
        <v>1282</v>
      </c>
      <c r="D58" s="791" t="s">
        <v>757</v>
      </c>
      <c r="E58" s="784">
        <f>J31</f>
        <v>0.30703007546026129</v>
      </c>
      <c r="G58" s="1792">
        <v>0.30612749057737043</v>
      </c>
      <c r="K58" s="786"/>
      <c r="L58" s="786"/>
      <c r="M58" s="786"/>
      <c r="N58" s="786"/>
      <c r="O58" s="786"/>
      <c r="P58" s="786"/>
      <c r="Q58" s="786"/>
      <c r="R58" s="792"/>
    </row>
    <row r="59" spans="1:18" s="766" customFormat="1" ht="26.25" thickBot="1">
      <c r="C59" s="793" t="s">
        <v>1283</v>
      </c>
      <c r="D59" s="791" t="s">
        <v>1284</v>
      </c>
      <c r="E59" s="1864">
        <f>E58*(1+$E$57*(1-$E$64))</f>
        <v>0.71913913414573083</v>
      </c>
      <c r="G59" s="1792">
        <v>0.74598302188584054</v>
      </c>
      <c r="K59" s="786"/>
      <c r="L59" s="786"/>
      <c r="M59" s="786"/>
      <c r="N59" s="786"/>
      <c r="O59" s="786"/>
      <c r="P59" s="786"/>
      <c r="Q59" s="786"/>
      <c r="R59" s="786"/>
    </row>
    <row r="60" spans="1:18" s="766" customFormat="1" ht="24.75" thickBot="1">
      <c r="C60" s="793" t="s">
        <v>1285</v>
      </c>
      <c r="D60" s="791" t="s">
        <v>1286</v>
      </c>
      <c r="E60" s="795">
        <f>E65</f>
        <v>3.5999999999999997E-2</v>
      </c>
      <c r="G60" s="1794">
        <v>3.56E-2</v>
      </c>
      <c r="K60" s="789"/>
      <c r="L60" s="789"/>
      <c r="M60" s="789"/>
      <c r="N60" s="789"/>
      <c r="O60" s="789"/>
      <c r="P60" s="789"/>
      <c r="Q60" s="789"/>
      <c r="R60" s="789"/>
    </row>
    <row r="61" spans="1:18" s="766" customFormat="1" ht="36.75" thickBot="1">
      <c r="C61" s="793" t="s">
        <v>1287</v>
      </c>
      <c r="D61" s="791" t="s">
        <v>1288</v>
      </c>
      <c r="E61" s="797">
        <f>E66</f>
        <v>0.1182</v>
      </c>
      <c r="G61" s="1794">
        <v>0.1086</v>
      </c>
      <c r="K61" s="789"/>
      <c r="L61" s="789"/>
      <c r="M61" s="789"/>
      <c r="N61" s="789"/>
      <c r="O61" s="789"/>
      <c r="P61" s="789"/>
      <c r="Q61" s="789"/>
      <c r="R61" s="789"/>
    </row>
    <row r="62" spans="1:18" s="766" customFormat="1" ht="14.25" thickBot="1">
      <c r="C62" s="798" t="s">
        <v>1289</v>
      </c>
      <c r="D62" s="799" t="s">
        <v>373</v>
      </c>
      <c r="E62" s="1863">
        <f>E60+E59*E61</f>
        <v>0.12100224565602538</v>
      </c>
      <c r="F62" s="801"/>
      <c r="G62" s="1795">
        <v>0.116613756176802</v>
      </c>
      <c r="H62" s="801">
        <f>E62-G62</f>
        <v>4.3884894792233786E-3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thickBot="1">
      <c r="D64" s="785" t="s">
        <v>1290</v>
      </c>
      <c r="E64" s="788">
        <v>0.20899999999999999</v>
      </c>
    </row>
    <row r="65" spans="4:5" ht="15.75" customHeight="1">
      <c r="D65" s="785" t="s">
        <v>1291</v>
      </c>
      <c r="E65" s="1862">
        <v>3.5999999999999997E-2</v>
      </c>
    </row>
    <row r="66" spans="4:5" ht="15.75" customHeight="1">
      <c r="D66" s="785" t="s">
        <v>1292</v>
      </c>
      <c r="E66" s="794">
        <v>0.1182</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22" priority="4">
      <formula>$L31="O"</formula>
    </cfRule>
  </conditionalFormatting>
  <conditionalFormatting sqref="L22:Q30 C10:Q10 C11:H30 I11:Q21">
    <cfRule type="expression" dxfId="21" priority="5">
      <formula>$Q10="O"</formula>
    </cfRule>
  </conditionalFormatting>
  <conditionalFormatting sqref="J22:K31">
    <cfRule type="expression" dxfId="20" priority="3">
      <formula>$Q22="O"</formula>
    </cfRule>
  </conditionalFormatting>
  <conditionalFormatting sqref="G31">
    <cfRule type="expression" dxfId="19" priority="2">
      <formula>$L31="O"</formula>
    </cfRule>
  </conditionalFormatting>
  <conditionalFormatting sqref="I22:I30">
    <cfRule type="expression" dxfId="18"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1140</v>
      </c>
      <c r="D1" s="711"/>
      <c r="E1" s="711"/>
      <c r="F1" s="711"/>
      <c r="G1" s="711"/>
      <c r="H1" s="711"/>
      <c r="I1" s="711"/>
      <c r="J1" s="711"/>
      <c r="K1" s="711"/>
      <c r="R1" s="713" t="s">
        <v>1141</v>
      </c>
    </row>
    <row r="2" spans="1:23" ht="15.75" customHeight="1" thickBot="1">
      <c r="A2" s="709"/>
      <c r="B2" s="709"/>
      <c r="C2" s="710"/>
      <c r="D2" s="711"/>
      <c r="E2" s="711"/>
      <c r="F2" s="711"/>
      <c r="G2" s="711"/>
      <c r="H2" s="711"/>
      <c r="I2" s="711"/>
      <c r="J2" s="711"/>
      <c r="K2" s="711"/>
      <c r="R2" s="713" t="s">
        <v>1142</v>
      </c>
    </row>
    <row r="3" spans="1:23" ht="15.75" customHeight="1" thickBot="1">
      <c r="C3" s="714" t="s">
        <v>1143</v>
      </c>
      <c r="E3" s="715"/>
      <c r="L3" s="716"/>
      <c r="N3" s="717"/>
      <c r="O3" s="718"/>
      <c r="P3" s="719"/>
      <c r="Q3" s="719"/>
      <c r="R3" s="719"/>
      <c r="S3" s="719"/>
      <c r="T3" s="719"/>
      <c r="U3" s="718"/>
    </row>
    <row r="4" spans="1:23" ht="15.75" customHeight="1" thickTop="1">
      <c r="C4" s="1787" t="s">
        <v>1144</v>
      </c>
      <c r="N4" s="717"/>
      <c r="O4" s="718"/>
      <c r="P4" s="718"/>
      <c r="Q4" s="718"/>
      <c r="R4" s="718"/>
      <c r="S4" s="718"/>
      <c r="T4" s="718"/>
      <c r="U4" s="718"/>
      <c r="V4" s="717"/>
    </row>
    <row r="5" spans="1:23" ht="15.75" customHeight="1" thickBot="1">
      <c r="C5" s="1788" t="s">
        <v>1145</v>
      </c>
      <c r="N5" s="717"/>
      <c r="O5" s="718"/>
      <c r="P5" s="718"/>
      <c r="Q5" s="718"/>
      <c r="R5" s="718"/>
      <c r="S5" s="718"/>
      <c r="T5" s="718"/>
      <c r="U5" s="718"/>
      <c r="V5" s="717"/>
    </row>
    <row r="6" spans="1:23" ht="15.75" customHeight="1" thickBot="1">
      <c r="M6" s="722" t="s">
        <v>1146</v>
      </c>
      <c r="N6" s="723">
        <v>45107</v>
      </c>
      <c r="Q6" s="718"/>
      <c r="R6" s="718"/>
      <c r="S6" s="718"/>
      <c r="T6" s="718"/>
      <c r="U6" s="718"/>
    </row>
    <row r="7" spans="1:23" ht="15.75" customHeight="1" thickBot="1">
      <c r="J7" s="724" t="s">
        <v>1147</v>
      </c>
      <c r="K7" s="725">
        <f>E64</f>
        <v>0.20899999999999999</v>
      </c>
      <c r="M7" s="726" t="s">
        <v>1148</v>
      </c>
      <c r="N7" s="727">
        <v>45084</v>
      </c>
      <c r="Q7" s="728"/>
      <c r="R7" s="728"/>
      <c r="S7" s="718"/>
      <c r="T7" s="718"/>
      <c r="U7" s="718"/>
    </row>
    <row r="8" spans="1:23" ht="15.75" customHeight="1" thickBot="1">
      <c r="G8" s="729"/>
      <c r="H8" s="729"/>
      <c r="I8" s="729"/>
      <c r="J8" s="729"/>
      <c r="K8" s="729"/>
      <c r="N8" s="718"/>
      <c r="O8" s="718"/>
      <c r="P8" s="728"/>
      <c r="Q8" s="730" t="s">
        <v>1149</v>
      </c>
      <c r="R8" s="728"/>
      <c r="W8" s="718"/>
    </row>
    <row r="9" spans="1:23" ht="15.75" customHeight="1" thickTop="1" thickBot="1">
      <c r="C9" s="731" t="s">
        <v>1150</v>
      </c>
      <c r="D9" s="731" t="s">
        <v>255</v>
      </c>
      <c r="E9" s="731" t="s">
        <v>1151</v>
      </c>
      <c r="F9" s="731" t="s">
        <v>258</v>
      </c>
      <c r="G9" s="731" t="s">
        <v>1152</v>
      </c>
      <c r="H9" s="731" t="s">
        <v>1153</v>
      </c>
      <c r="I9" s="731" t="s">
        <v>1154</v>
      </c>
      <c r="J9" s="731" t="s">
        <v>1155</v>
      </c>
      <c r="K9" s="731" t="s">
        <v>1156</v>
      </c>
      <c r="L9" s="731" t="s">
        <v>687</v>
      </c>
      <c r="M9" s="731" t="s">
        <v>688</v>
      </c>
      <c r="N9" s="731" t="s">
        <v>689</v>
      </c>
      <c r="O9" s="731" t="s">
        <v>690</v>
      </c>
      <c r="P9" s="731" t="s">
        <v>264</v>
      </c>
      <c r="Q9" s="731" t="s">
        <v>1157</v>
      </c>
      <c r="W9" s="718"/>
    </row>
    <row r="10" spans="1:23" ht="24.75" thickBot="1">
      <c r="A10" s="732"/>
      <c r="B10" s="732"/>
      <c r="C10" s="733">
        <v>1</v>
      </c>
      <c r="D10" s="734" t="s">
        <v>273</v>
      </c>
      <c r="E10" s="734" t="s">
        <v>275</v>
      </c>
      <c r="F10" s="735">
        <v>40738</v>
      </c>
      <c r="G10" s="736">
        <v>0.70179539999999996</v>
      </c>
      <c r="H10" s="737">
        <v>2.5894865562947209</v>
      </c>
      <c r="I10" s="738">
        <v>0.20900000000000002</v>
      </c>
      <c r="J10" s="739">
        <f>G10/(1+H10*(1-I10))</f>
        <v>0.23022639322439495</v>
      </c>
      <c r="K10" s="739">
        <f t="shared" ref="K10:K30" si="0">J10*(1+$H$31*(1-$K$7))</f>
        <v>0.56102436344900963</v>
      </c>
      <c r="L10" s="740" t="s">
        <v>1158</v>
      </c>
      <c r="M10" s="740" t="s">
        <v>1159</v>
      </c>
      <c r="N10" s="740" t="s">
        <v>694</v>
      </c>
      <c r="O10" s="740" t="s">
        <v>1160</v>
      </c>
      <c r="P10" s="740">
        <f t="shared" ref="P10:P30" si="1">YEARFRAC(F10,EOMONTH($N$6,-2),1)</f>
        <v>11.795282224094356</v>
      </c>
      <c r="Q10" s="740" t="s">
        <v>670</v>
      </c>
      <c r="R10" s="712">
        <f>IF(Q10="O",1,0)</f>
        <v>1</v>
      </c>
      <c r="S10" s="712">
        <f>R10</f>
        <v>1</v>
      </c>
      <c r="W10" s="718"/>
    </row>
    <row r="11" spans="1:23" ht="24.75" thickBot="1">
      <c r="A11" s="732"/>
      <c r="B11" s="732"/>
      <c r="C11" s="733">
        <v>2</v>
      </c>
      <c r="D11" s="734" t="s">
        <v>278</v>
      </c>
      <c r="E11" s="734" t="s">
        <v>280</v>
      </c>
      <c r="F11" s="735">
        <v>40939</v>
      </c>
      <c r="G11" s="736">
        <v>0.90157620000000005</v>
      </c>
      <c r="H11" s="737">
        <v>2.8119693664099099</v>
      </c>
      <c r="I11" s="738">
        <v>0.20900000000000002</v>
      </c>
      <c r="J11" s="739">
        <f t="shared" ref="J11:J30" si="2">G11/(1+H11*(1-I11))</f>
        <v>0.27962199936238269</v>
      </c>
      <c r="K11" s="739">
        <f t="shared" si="0"/>
        <v>0.68139344061095064</v>
      </c>
      <c r="L11" s="740" t="s">
        <v>1158</v>
      </c>
      <c r="M11" s="740" t="s">
        <v>696</v>
      </c>
      <c r="N11" s="740" t="s">
        <v>1161</v>
      </c>
      <c r="O11" s="740" t="s">
        <v>1162</v>
      </c>
      <c r="P11" s="740">
        <f t="shared" si="1"/>
        <v>11.24435318275154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0.78216870000000005</v>
      </c>
      <c r="H12" s="737">
        <v>1.495365442093272</v>
      </c>
      <c r="I12" s="738">
        <v>0.20900000000000002</v>
      </c>
      <c r="J12" s="739">
        <f t="shared" si="2"/>
        <v>0.35832714572786867</v>
      </c>
      <c r="K12" s="739">
        <f t="shared" si="0"/>
        <v>0.87318511150257094</v>
      </c>
      <c r="L12" s="740" t="s">
        <v>1158</v>
      </c>
      <c r="M12" s="740" t="s">
        <v>696</v>
      </c>
      <c r="N12" s="740" t="s">
        <v>700</v>
      </c>
      <c r="O12" s="740" t="s">
        <v>701</v>
      </c>
      <c r="P12" s="740">
        <f t="shared" si="1"/>
        <v>6.6009582477754964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0.60797140000000005</v>
      </c>
      <c r="H13" s="737">
        <v>1.356392434533719</v>
      </c>
      <c r="I13" s="738">
        <v>0.20900000000000002</v>
      </c>
      <c r="J13" s="739">
        <f t="shared" si="2"/>
        <v>0.29329418607156521</v>
      </c>
      <c r="K13" s="739">
        <f t="shared" si="0"/>
        <v>0.71471034115414334</v>
      </c>
      <c r="L13" s="740" t="s">
        <v>702</v>
      </c>
      <c r="M13" s="740" t="s">
        <v>1163</v>
      </c>
      <c r="N13" s="740" t="s">
        <v>704</v>
      </c>
      <c r="O13" s="740" t="s">
        <v>1164</v>
      </c>
      <c r="P13" s="740">
        <f t="shared" si="1"/>
        <v>4.8416248288452755</v>
      </c>
      <c r="Q13" s="740" t="s">
        <v>670</v>
      </c>
      <c r="R13" s="712">
        <f t="shared" si="3"/>
        <v>1</v>
      </c>
      <c r="S13" s="712">
        <f t="shared" si="4"/>
        <v>4</v>
      </c>
      <c r="W13" s="741"/>
    </row>
    <row r="14" spans="1:23" ht="36.75" thickBot="1">
      <c r="A14" s="732"/>
      <c r="B14" s="732"/>
      <c r="C14" s="733">
        <v>5</v>
      </c>
      <c r="D14" s="734" t="s">
        <v>292</v>
      </c>
      <c r="E14" s="734" t="s">
        <v>294</v>
      </c>
      <c r="F14" s="735">
        <v>43320</v>
      </c>
      <c r="G14" s="736">
        <v>0.48718479999999997</v>
      </c>
      <c r="H14" s="737">
        <v>3.1663815887661926</v>
      </c>
      <c r="I14" s="738">
        <v>0.20900000000000002</v>
      </c>
      <c r="J14" s="739">
        <f t="shared" si="2"/>
        <v>0.13901264355351881</v>
      </c>
      <c r="K14" s="739">
        <f t="shared" si="0"/>
        <v>0.33875125596465777</v>
      </c>
      <c r="L14" s="740" t="s">
        <v>706</v>
      </c>
      <c r="M14" s="740" t="s">
        <v>1165</v>
      </c>
      <c r="N14" s="740" t="s">
        <v>708</v>
      </c>
      <c r="O14" s="740" t="s">
        <v>1166</v>
      </c>
      <c r="P14" s="740">
        <f t="shared" si="1"/>
        <v>4.7266088544043816</v>
      </c>
      <c r="Q14" s="740" t="s">
        <v>670</v>
      </c>
      <c r="R14" s="712">
        <f t="shared" si="3"/>
        <v>1</v>
      </c>
      <c r="S14" s="712">
        <f t="shared" si="4"/>
        <v>5</v>
      </c>
      <c r="W14" s="741"/>
    </row>
    <row r="15" spans="1:23" ht="12.75" thickBot="1">
      <c r="A15" s="732"/>
      <c r="B15" s="732"/>
      <c r="C15" s="733">
        <v>6</v>
      </c>
      <c r="D15" s="734" t="s">
        <v>296</v>
      </c>
      <c r="E15" s="734" t="s">
        <v>298</v>
      </c>
      <c r="F15" s="735">
        <v>43768</v>
      </c>
      <c r="G15" s="736">
        <v>0.52868709999999997</v>
      </c>
      <c r="H15" s="737">
        <v>1.2957828302947594</v>
      </c>
      <c r="I15" s="738">
        <v>0.23100000000000001</v>
      </c>
      <c r="J15" s="739">
        <f t="shared" si="2"/>
        <v>0.26481266610186255</v>
      </c>
      <c r="K15" s="739">
        <f t="shared" si="0"/>
        <v>0.64530549843705054</v>
      </c>
      <c r="L15" s="740" t="s">
        <v>706</v>
      </c>
      <c r="M15" s="740" t="s">
        <v>696</v>
      </c>
      <c r="N15" s="740" t="s">
        <v>704</v>
      </c>
      <c r="O15" s="740" t="s">
        <v>710</v>
      </c>
      <c r="P15" s="740">
        <f t="shared" si="1"/>
        <v>3.4994523548740419</v>
      </c>
      <c r="Q15" s="740" t="s">
        <v>670</v>
      </c>
      <c r="R15" s="712">
        <f t="shared" si="3"/>
        <v>1</v>
      </c>
      <c r="S15" s="712">
        <f t="shared" si="4"/>
        <v>6</v>
      </c>
      <c r="W15" s="741"/>
    </row>
    <row r="16" spans="1:23" ht="36.75" thickBot="1">
      <c r="A16" s="732"/>
      <c r="B16" s="732"/>
      <c r="C16" s="733">
        <v>7</v>
      </c>
      <c r="D16" s="734" t="s">
        <v>300</v>
      </c>
      <c r="E16" s="734" t="s">
        <v>302</v>
      </c>
      <c r="F16" s="735">
        <v>43804</v>
      </c>
      <c r="G16" s="736">
        <v>0.57759740000000004</v>
      </c>
      <c r="H16" s="737">
        <v>0</v>
      </c>
      <c r="I16" s="738">
        <v>0.20900000000000002</v>
      </c>
      <c r="J16" s="739">
        <f t="shared" si="2"/>
        <v>0.57759740000000004</v>
      </c>
      <c r="K16" s="739">
        <f t="shared" si="0"/>
        <v>1.4075111420825008</v>
      </c>
      <c r="L16" s="740" t="s">
        <v>706</v>
      </c>
      <c r="M16" s="740" t="s">
        <v>711</v>
      </c>
      <c r="N16" s="740" t="s">
        <v>708</v>
      </c>
      <c r="O16" s="740" t="s">
        <v>1167</v>
      </c>
      <c r="P16" s="740">
        <f t="shared" si="1"/>
        <v>3.4008762322015333</v>
      </c>
      <c r="Q16" s="740" t="s">
        <v>670</v>
      </c>
      <c r="R16" s="712">
        <f t="shared" si="3"/>
        <v>1</v>
      </c>
      <c r="S16" s="712">
        <f t="shared" si="4"/>
        <v>7</v>
      </c>
      <c r="W16" s="741"/>
    </row>
    <row r="17" spans="1:23" ht="24.75" thickBot="1">
      <c r="A17" s="732"/>
      <c r="B17" s="732"/>
      <c r="C17" s="733">
        <v>8</v>
      </c>
      <c r="D17" s="733" t="s">
        <v>1168</v>
      </c>
      <c r="E17" s="733" t="s">
        <v>1169</v>
      </c>
      <c r="F17" s="742">
        <v>44028</v>
      </c>
      <c r="G17" s="736">
        <v>0.62188509999999997</v>
      </c>
      <c r="H17" s="737">
        <v>0.20911765223256337</v>
      </c>
      <c r="I17" s="738" t="e">
        <v>#VALUE!</v>
      </c>
      <c r="J17" s="739" t="e">
        <f t="shared" si="2"/>
        <v>#VALUE!</v>
      </c>
      <c r="K17" s="739" t="e">
        <f t="shared" si="0"/>
        <v>#VALUE!</v>
      </c>
      <c r="L17" s="740" t="s">
        <v>706</v>
      </c>
      <c r="M17" s="740" t="s">
        <v>1170</v>
      </c>
      <c r="N17" s="740" t="s">
        <v>846</v>
      </c>
      <c r="O17" s="740" t="s">
        <v>1171</v>
      </c>
      <c r="P17" s="740">
        <f t="shared" si="1"/>
        <v>2.7871321013004793</v>
      </c>
      <c r="Q17" s="740" t="s">
        <v>671</v>
      </c>
      <c r="R17" s="712">
        <f t="shared" si="3"/>
        <v>0</v>
      </c>
      <c r="S17" s="712">
        <f t="shared" si="4"/>
        <v>7</v>
      </c>
      <c r="W17" s="711"/>
    </row>
    <row r="18" spans="1:23" ht="24.75" thickBot="1">
      <c r="A18" s="732"/>
      <c r="B18" s="732"/>
      <c r="C18" s="733">
        <v>9</v>
      </c>
      <c r="D18" s="733" t="s">
        <v>307</v>
      </c>
      <c r="E18" s="733" t="s">
        <v>309</v>
      </c>
      <c r="F18" s="742">
        <v>44048</v>
      </c>
      <c r="G18" s="736">
        <v>0.65372039999999998</v>
      </c>
      <c r="H18" s="737">
        <v>2.1008740079573922</v>
      </c>
      <c r="I18" s="738">
        <v>0.20900000000000002</v>
      </c>
      <c r="J18" s="739">
        <f t="shared" si="2"/>
        <v>0.24559415687621947</v>
      </c>
      <c r="K18" s="739">
        <f t="shared" si="0"/>
        <v>0.59847310987486524</v>
      </c>
      <c r="L18" s="740" t="s">
        <v>706</v>
      </c>
      <c r="M18" s="740" t="s">
        <v>696</v>
      </c>
      <c r="N18" s="740" t="s">
        <v>704</v>
      </c>
      <c r="O18" s="740" t="s">
        <v>1172</v>
      </c>
      <c r="P18" s="740">
        <f t="shared" si="1"/>
        <v>2.732375085557837</v>
      </c>
      <c r="Q18" s="740" t="s">
        <v>671</v>
      </c>
      <c r="R18" s="712">
        <f t="shared" si="3"/>
        <v>0</v>
      </c>
      <c r="S18" s="712">
        <f t="shared" si="4"/>
        <v>7</v>
      </c>
      <c r="T18" s="717"/>
    </row>
    <row r="19" spans="1:23" ht="36.75" thickBot="1">
      <c r="A19" s="732"/>
      <c r="B19" s="732"/>
      <c r="C19" s="733">
        <v>10</v>
      </c>
      <c r="D19" s="733" t="s">
        <v>310</v>
      </c>
      <c r="E19" s="733" t="s">
        <v>312</v>
      </c>
      <c r="F19" s="742">
        <v>44048</v>
      </c>
      <c r="G19" s="736">
        <v>0.63705999999999996</v>
      </c>
      <c r="H19" s="737">
        <v>1.0636656336725145</v>
      </c>
      <c r="I19" s="738">
        <v>0.20900000000000002</v>
      </c>
      <c r="J19" s="739">
        <f t="shared" si="2"/>
        <v>0.34597263292863151</v>
      </c>
      <c r="K19" s="739">
        <f t="shared" si="0"/>
        <v>0.84307916847040498</v>
      </c>
      <c r="L19" s="740" t="s">
        <v>706</v>
      </c>
      <c r="M19" s="740" t="s">
        <v>715</v>
      </c>
      <c r="N19" s="740" t="s">
        <v>851</v>
      </c>
      <c r="O19" s="740" t="s">
        <v>1173</v>
      </c>
      <c r="P19" s="740">
        <f t="shared" si="1"/>
        <v>2.732375085557837</v>
      </c>
      <c r="Q19" s="740" t="s">
        <v>671</v>
      </c>
      <c r="R19" s="712">
        <f t="shared" si="3"/>
        <v>0</v>
      </c>
      <c r="S19" s="712">
        <f t="shared" si="4"/>
        <v>7</v>
      </c>
    </row>
    <row r="20" spans="1:23" ht="48.75" thickBot="1">
      <c r="A20" s="732"/>
      <c r="B20" s="732"/>
      <c r="C20" s="733">
        <v>11</v>
      </c>
      <c r="D20" s="733" t="s">
        <v>313</v>
      </c>
      <c r="E20" s="733" t="s">
        <v>315</v>
      </c>
      <c r="F20" s="742">
        <v>44050</v>
      </c>
      <c r="G20" s="736">
        <v>0.61873020000000001</v>
      </c>
      <c r="H20" s="737">
        <v>1.3341805632595003</v>
      </c>
      <c r="I20" s="738">
        <v>0.23100000000000001</v>
      </c>
      <c r="J20" s="739">
        <f t="shared" si="2"/>
        <v>0.30539724867096146</v>
      </c>
      <c r="K20" s="739">
        <f t="shared" si="0"/>
        <v>0.74420354084993878</v>
      </c>
      <c r="L20" s="740" t="s">
        <v>706</v>
      </c>
      <c r="M20" s="740" t="s">
        <v>1174</v>
      </c>
      <c r="N20" s="740" t="s">
        <v>1175</v>
      </c>
      <c r="O20" s="740" t="s">
        <v>1176</v>
      </c>
      <c r="P20" s="740">
        <f t="shared" si="1"/>
        <v>2.7268993839835729</v>
      </c>
      <c r="Q20" s="740" t="s">
        <v>671</v>
      </c>
      <c r="R20" s="712">
        <f t="shared" si="3"/>
        <v>0</v>
      </c>
      <c r="S20" s="712">
        <f t="shared" si="4"/>
        <v>7</v>
      </c>
    </row>
    <row r="21" spans="1:23" ht="24.75" thickBot="1">
      <c r="A21" s="732"/>
      <c r="B21" s="732"/>
      <c r="C21" s="733">
        <v>12</v>
      </c>
      <c r="D21" s="733" t="s">
        <v>316</v>
      </c>
      <c r="E21" s="733" t="s">
        <v>1177</v>
      </c>
      <c r="F21" s="742">
        <v>44074</v>
      </c>
      <c r="G21" s="736">
        <v>0.6628541</v>
      </c>
      <c r="H21" s="737">
        <v>1.55213765554298</v>
      </c>
      <c r="I21" s="738">
        <v>0.23100000000000001</v>
      </c>
      <c r="J21" s="739">
        <f t="shared" si="2"/>
        <v>0.30217722293976568</v>
      </c>
      <c r="K21" s="739">
        <f t="shared" si="0"/>
        <v>0.73635686062864547</v>
      </c>
      <c r="L21" s="740" t="s">
        <v>706</v>
      </c>
      <c r="M21" s="740" t="s">
        <v>696</v>
      </c>
      <c r="N21" s="740" t="s">
        <v>725</v>
      </c>
      <c r="O21" s="740" t="s">
        <v>726</v>
      </c>
      <c r="P21" s="740">
        <f t="shared" si="1"/>
        <v>2.6611909650924024</v>
      </c>
      <c r="Q21" s="740" t="s">
        <v>671</v>
      </c>
      <c r="R21" s="712">
        <f t="shared" si="3"/>
        <v>0</v>
      </c>
      <c r="S21" s="712">
        <f t="shared" si="4"/>
        <v>7</v>
      </c>
    </row>
    <row r="22" spans="1:23" ht="15" customHeight="1" thickBot="1">
      <c r="A22" s="732"/>
      <c r="B22" s="732"/>
      <c r="C22" s="733">
        <v>13</v>
      </c>
      <c r="D22" s="733" t="s">
        <v>1178</v>
      </c>
      <c r="E22" s="733" t="s">
        <v>321</v>
      </c>
      <c r="F22" s="742">
        <v>44188</v>
      </c>
      <c r="G22" s="736" t="s">
        <v>816</v>
      </c>
      <c r="H22" s="737">
        <v>1.3258432621750396</v>
      </c>
      <c r="I22" s="738" t="e">
        <v>#VALUE!</v>
      </c>
      <c r="J22" s="739" t="e">
        <f t="shared" si="2"/>
        <v>#VALUE!</v>
      </c>
      <c r="K22" s="739" t="e">
        <f t="shared" si="0"/>
        <v>#VALUE!</v>
      </c>
      <c r="L22" s="740" t="s">
        <v>706</v>
      </c>
      <c r="M22" s="740" t="s">
        <v>711</v>
      </c>
      <c r="N22" s="740" t="s">
        <v>729</v>
      </c>
      <c r="O22" s="740" t="s">
        <v>730</v>
      </c>
      <c r="P22" s="740">
        <f t="shared" si="1"/>
        <v>2.3490759753593431</v>
      </c>
      <c r="Q22" s="740" t="s">
        <v>671</v>
      </c>
      <c r="R22" s="712">
        <f t="shared" si="3"/>
        <v>0</v>
      </c>
      <c r="S22" s="712">
        <f t="shared" si="4"/>
        <v>7</v>
      </c>
    </row>
    <row r="23" spans="1:23" ht="15.75" customHeight="1" thickBot="1">
      <c r="A23" s="732"/>
      <c r="B23" s="732"/>
      <c r="C23" s="733">
        <v>14</v>
      </c>
      <c r="D23" s="733" t="s">
        <v>322</v>
      </c>
      <c r="E23" s="733" t="s">
        <v>324</v>
      </c>
      <c r="F23" s="744">
        <v>44435</v>
      </c>
      <c r="G23" s="736">
        <v>0.60840019999999995</v>
      </c>
      <c r="H23" s="737">
        <v>2.5356968992060325</v>
      </c>
      <c r="I23" s="738">
        <v>9.9000000000000019E-2</v>
      </c>
      <c r="J23" s="739">
        <f t="shared" si="2"/>
        <v>0.18522454735140512</v>
      </c>
      <c r="K23" s="739">
        <f t="shared" si="0"/>
        <v>0.45136216711552102</v>
      </c>
      <c r="L23" s="740"/>
      <c r="M23" s="740"/>
      <c r="N23" s="740"/>
      <c r="O23" s="740"/>
      <c r="P23" s="740">
        <f t="shared" si="1"/>
        <v>1.6739726027397259</v>
      </c>
      <c r="Q23" s="740" t="s">
        <v>671</v>
      </c>
      <c r="R23" s="712">
        <f t="shared" si="3"/>
        <v>0</v>
      </c>
      <c r="S23" s="712">
        <f t="shared" si="4"/>
        <v>7</v>
      </c>
    </row>
    <row r="24" spans="1:23" ht="15.75" customHeight="1" thickBot="1">
      <c r="A24" s="732"/>
      <c r="B24" s="732"/>
      <c r="C24" s="733">
        <v>15</v>
      </c>
      <c r="D24" s="733" t="s">
        <v>862</v>
      </c>
      <c r="E24" s="733" t="s">
        <v>327</v>
      </c>
      <c r="F24" s="744">
        <v>44453</v>
      </c>
      <c r="G24" s="736">
        <v>0.54717249999999995</v>
      </c>
      <c r="H24" s="737">
        <v>1.6572215402850823</v>
      </c>
      <c r="I24" s="738" t="e">
        <v>#VALUE!</v>
      </c>
      <c r="J24" s="739" t="e">
        <f t="shared" si="2"/>
        <v>#VALUE!</v>
      </c>
      <c r="K24" s="739" t="e">
        <f t="shared" si="0"/>
        <v>#VALUE!</v>
      </c>
      <c r="L24" s="740"/>
      <c r="M24" s="740"/>
      <c r="N24" s="740"/>
      <c r="O24" s="740"/>
      <c r="P24" s="740">
        <f t="shared" si="1"/>
        <v>1.6246575342465754</v>
      </c>
      <c r="Q24" s="740" t="s">
        <v>671</v>
      </c>
      <c r="R24" s="712">
        <f t="shared" si="3"/>
        <v>0</v>
      </c>
      <c r="S24" s="712">
        <f t="shared" si="4"/>
        <v>7</v>
      </c>
    </row>
    <row r="25" spans="1:23" ht="15.75" customHeight="1" thickBot="1">
      <c r="A25" s="732"/>
      <c r="B25" s="732"/>
      <c r="C25" s="733">
        <v>16</v>
      </c>
      <c r="D25" s="733" t="s">
        <v>864</v>
      </c>
      <c r="E25" s="733" t="s">
        <v>330</v>
      </c>
      <c r="F25" s="744">
        <v>44518</v>
      </c>
      <c r="G25" s="736">
        <v>0.58288470000000003</v>
      </c>
      <c r="H25" s="737">
        <v>2.1077038615777219</v>
      </c>
      <c r="I25" s="738">
        <v>0.20900000000000002</v>
      </c>
      <c r="J25" s="739">
        <f t="shared" si="2"/>
        <v>0.21853856661700446</v>
      </c>
      <c r="K25" s="739">
        <f t="shared" si="0"/>
        <v>0.53254302648899143</v>
      </c>
      <c r="L25" s="740"/>
      <c r="M25" s="740"/>
      <c r="N25" s="740"/>
      <c r="O25" s="740"/>
      <c r="P25" s="740">
        <f t="shared" si="1"/>
        <v>1.4465753424657535</v>
      </c>
      <c r="Q25" s="740" t="s">
        <v>671</v>
      </c>
      <c r="R25" s="712">
        <f t="shared" si="3"/>
        <v>0</v>
      </c>
      <c r="S25" s="712">
        <f t="shared" si="4"/>
        <v>7</v>
      </c>
    </row>
    <row r="26" spans="1:23" ht="15.75" customHeight="1" thickBot="1">
      <c r="A26" s="732"/>
      <c r="B26" s="732"/>
      <c r="C26" s="733">
        <v>17</v>
      </c>
      <c r="D26" s="733" t="s">
        <v>1179</v>
      </c>
      <c r="E26" s="733" t="s">
        <v>1180</v>
      </c>
      <c r="F26" s="744">
        <v>44533</v>
      </c>
      <c r="G26" s="736">
        <v>0.64202539999999997</v>
      </c>
      <c r="H26" s="737">
        <v>1.9616738940123881</v>
      </c>
      <c r="I26" s="738">
        <v>9.9000000000000019E-2</v>
      </c>
      <c r="J26" s="739">
        <f t="shared" si="2"/>
        <v>0.2319901652299351</v>
      </c>
      <c r="K26" s="739">
        <f t="shared" si="0"/>
        <v>0.56532238963453429</v>
      </c>
      <c r="L26" s="740"/>
      <c r="M26" s="740"/>
      <c r="N26" s="740"/>
      <c r="O26" s="740"/>
      <c r="P26" s="740">
        <f t="shared" si="1"/>
        <v>1.4054794520547946</v>
      </c>
      <c r="Q26" s="740" t="s">
        <v>671</v>
      </c>
      <c r="R26" s="712">
        <f t="shared" si="3"/>
        <v>0</v>
      </c>
      <c r="S26" s="712">
        <f t="shared" si="4"/>
        <v>7</v>
      </c>
    </row>
    <row r="27" spans="1:23" ht="15.75" customHeight="1" thickBot="1">
      <c r="A27" s="732"/>
      <c r="B27" s="732"/>
      <c r="C27" s="733">
        <v>18</v>
      </c>
      <c r="D27" s="733" t="s">
        <v>868</v>
      </c>
      <c r="E27" s="733" t="s">
        <v>740</v>
      </c>
      <c r="F27" s="744">
        <v>44540</v>
      </c>
      <c r="G27" s="736">
        <v>0.67726169999999997</v>
      </c>
      <c r="H27" s="737">
        <v>1.3708426638634705</v>
      </c>
      <c r="I27" s="738">
        <v>9.9000000000000019E-2</v>
      </c>
      <c r="J27" s="739">
        <f t="shared" si="2"/>
        <v>0.30300784752709864</v>
      </c>
      <c r="K27" s="739">
        <f t="shared" si="0"/>
        <v>0.73838095796973258</v>
      </c>
      <c r="L27" s="740"/>
      <c r="M27" s="740"/>
      <c r="N27" s="740"/>
      <c r="O27" s="740"/>
      <c r="P27" s="740">
        <f t="shared" si="1"/>
        <v>1.3863013698630138</v>
      </c>
      <c r="Q27" s="740" t="s">
        <v>671</v>
      </c>
      <c r="R27" s="712">
        <f t="shared" si="3"/>
        <v>0</v>
      </c>
      <c r="S27" s="712">
        <f t="shared" si="4"/>
        <v>7</v>
      </c>
    </row>
    <row r="28" spans="1:23" ht="15.75" customHeight="1" thickBot="1">
      <c r="A28" s="732"/>
      <c r="B28" s="732"/>
      <c r="C28" s="733">
        <v>19</v>
      </c>
      <c r="D28" s="733" t="s">
        <v>870</v>
      </c>
      <c r="E28" s="733" t="s">
        <v>339</v>
      </c>
      <c r="F28" s="744">
        <v>44648</v>
      </c>
      <c r="G28" s="736">
        <v>0.92991840000000003</v>
      </c>
      <c r="H28" s="737">
        <v>1.6187509008459637</v>
      </c>
      <c r="I28" s="738" t="e">
        <v>#VALUE!</v>
      </c>
      <c r="J28" s="739" t="e">
        <f t="shared" si="2"/>
        <v>#VALUE!</v>
      </c>
      <c r="K28" s="739" t="e">
        <f t="shared" si="0"/>
        <v>#VALUE!</v>
      </c>
      <c r="L28" s="740"/>
      <c r="M28" s="740"/>
      <c r="N28" s="740"/>
      <c r="O28" s="740"/>
      <c r="P28" s="740">
        <f t="shared" si="1"/>
        <v>1.0904109589041096</v>
      </c>
      <c r="Q28" s="740" t="s">
        <v>671</v>
      </c>
      <c r="R28" s="712">
        <f t="shared" si="3"/>
        <v>0</v>
      </c>
      <c r="S28" s="712">
        <f t="shared" si="4"/>
        <v>7</v>
      </c>
    </row>
    <row r="29" spans="1:23" ht="15.75" customHeight="1" thickBot="1">
      <c r="A29" s="732"/>
      <c r="B29" s="732"/>
      <c r="C29" s="733">
        <v>20</v>
      </c>
      <c r="D29" s="733" t="s">
        <v>1181</v>
      </c>
      <c r="E29" s="733" t="s">
        <v>744</v>
      </c>
      <c r="F29" s="744">
        <v>44712</v>
      </c>
      <c r="G29" s="736" t="e">
        <v>#N/A</v>
      </c>
      <c r="H29" s="737">
        <v>0.48111999398954319</v>
      </c>
      <c r="I29" s="738">
        <v>9.9000000000000019E-2</v>
      </c>
      <c r="J29" s="747" t="e">
        <f t="shared" si="2"/>
        <v>#N/A</v>
      </c>
      <c r="K29" s="747" t="e">
        <f t="shared" si="0"/>
        <v>#N/A</v>
      </c>
      <c r="L29" s="740"/>
      <c r="M29" s="740"/>
      <c r="N29" s="740"/>
      <c r="O29" s="740"/>
      <c r="P29" s="740">
        <f t="shared" si="1"/>
        <v>0.91506849315068495</v>
      </c>
      <c r="Q29" s="740" t="s">
        <v>671</v>
      </c>
      <c r="R29" s="712">
        <f t="shared" si="3"/>
        <v>0</v>
      </c>
      <c r="S29" s="712">
        <f t="shared" si="4"/>
        <v>7</v>
      </c>
    </row>
    <row r="30" spans="1:23" ht="15.75" customHeight="1" thickBot="1">
      <c r="A30" s="732"/>
      <c r="B30" s="732"/>
      <c r="C30" s="733">
        <v>21</v>
      </c>
      <c r="D30" s="733" t="s">
        <v>1182</v>
      </c>
      <c r="E30" s="733" t="s">
        <v>1183</v>
      </c>
      <c r="F30" s="744">
        <v>44840</v>
      </c>
      <c r="G30" s="736" t="e">
        <v>#N/A</v>
      </c>
      <c r="H30" s="737">
        <v>0</v>
      </c>
      <c r="I30" s="738" t="e">
        <v>#N/A</v>
      </c>
      <c r="J30" s="747" t="e">
        <f t="shared" si="2"/>
        <v>#N/A</v>
      </c>
      <c r="K30" s="747" t="e">
        <f t="shared" si="0"/>
        <v>#N/A</v>
      </c>
      <c r="L30" s="740"/>
      <c r="M30" s="740"/>
      <c r="N30" s="740"/>
      <c r="O30" s="740"/>
      <c r="P30" s="740">
        <f t="shared" si="1"/>
        <v>0.56438356164383563</v>
      </c>
      <c r="Q30" s="740" t="s">
        <v>671</v>
      </c>
    </row>
    <row r="31" spans="1:23" ht="15.75" customHeight="1" thickBot="1">
      <c r="A31" s="748"/>
      <c r="B31" s="748"/>
      <c r="C31" s="749" t="s">
        <v>1184</v>
      </c>
      <c r="D31" s="750"/>
      <c r="E31" s="750"/>
      <c r="F31" s="751"/>
      <c r="G31" s="752">
        <f>AVERAGEIF($Q$10:$Q$29,"O",G10:G29)</f>
        <v>0.65528299999999995</v>
      </c>
      <c r="H31" s="753">
        <f>AVERAGEIF($Q$10:$Q$29,"O",H10:H29)</f>
        <v>1.8164826026275107</v>
      </c>
      <c r="I31" s="754"/>
      <c r="J31" s="755">
        <f>AVERAGEIF($Q$10:$Q$29,"O",J10:J29)</f>
        <v>0.30612749057737043</v>
      </c>
      <c r="K31" s="755">
        <f>AVERAGEIF($Q$10:$Q$29,"O",K10:K29)</f>
        <v>0.74598302188584054</v>
      </c>
      <c r="L31" s="756"/>
      <c r="O31" s="757"/>
      <c r="P31" s="757"/>
      <c r="Q31" s="757"/>
    </row>
    <row r="32" spans="1:23" ht="15.75" customHeight="1">
      <c r="A32" s="748"/>
      <c r="B32" s="748"/>
      <c r="C32" s="1034" t="s">
        <v>1185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1186</v>
      </c>
    </row>
    <row r="38" spans="1:17" s="766" customFormat="1" ht="12.75" thickBot="1">
      <c r="C38" s="768" t="s">
        <v>266</v>
      </c>
      <c r="D38" s="768" t="s">
        <v>267</v>
      </c>
      <c r="E38" s="768" t="s">
        <v>1187</v>
      </c>
      <c r="F38" s="768" t="s">
        <v>269</v>
      </c>
      <c r="G38" s="768" t="s">
        <v>750</v>
      </c>
      <c r="H38" s="769" t="s">
        <v>1188</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0.70179539999999996</v>
      </c>
      <c r="F39" s="773">
        <f>IFERROR(INDEX($H$10:$H$29,MATCH(C39,$D$10:$D$29,0)),"")</f>
        <v>2.5894865562947209</v>
      </c>
      <c r="G39" s="772">
        <f>IFERROR(INDEX($J$10:$J$29,MATCH(C39,$D$10:$D$29,0)),"")</f>
        <v>0.23022639322439495</v>
      </c>
      <c r="H39" s="772">
        <f>IFERROR(INDEX($K$10:$K$29,MATCH(C39,$D$10:$D$29,0)),"")</f>
        <v>0.56102436344900963</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0.90157620000000005</v>
      </c>
      <c r="F40" s="773">
        <f t="shared" ref="F40:F50" si="8">IFERROR(INDEX($H$10:$H$29,MATCH(C40,$D$10:$D$29,0)),"")</f>
        <v>2.8119693664099099</v>
      </c>
      <c r="G40" s="772">
        <f t="shared" ref="G40:G50" si="9">IFERROR(INDEX($J$10:$J$29,MATCH(C40,$D$10:$D$29,0)),"")</f>
        <v>0.27962199936238269</v>
      </c>
      <c r="H40" s="772">
        <f t="shared" ref="H40:H50" si="10">IFERROR(INDEX($K$10:$K$29,MATCH(C40,$D$10:$D$29,0)),"")</f>
        <v>0.68139344061095064</v>
      </c>
    </row>
    <row r="41" spans="1:17" s="766" customFormat="1" ht="12.75" thickBot="1">
      <c r="A41" s="770">
        <v>3</v>
      </c>
      <c r="B41" s="770"/>
      <c r="C41" s="771" t="str">
        <f t="shared" si="5"/>
        <v>모두투어리츠</v>
      </c>
      <c r="D41" s="771" t="str">
        <f t="shared" si="6"/>
        <v>자기관리</v>
      </c>
      <c r="E41" s="772">
        <f t="shared" si="7"/>
        <v>0.78216870000000005</v>
      </c>
      <c r="F41" s="773">
        <f t="shared" si="8"/>
        <v>1.495365442093272</v>
      </c>
      <c r="G41" s="772">
        <f t="shared" si="9"/>
        <v>0.35832714572786867</v>
      </c>
      <c r="H41" s="772">
        <f t="shared" si="10"/>
        <v>0.87318511150257094</v>
      </c>
    </row>
    <row r="42" spans="1:17" s="766" customFormat="1" ht="12.75" thickBot="1">
      <c r="A42" s="770">
        <v>4</v>
      </c>
      <c r="B42" s="770"/>
      <c r="C42" s="771" t="str">
        <f t="shared" si="5"/>
        <v>이리츠코크렙</v>
      </c>
      <c r="D42" s="771" t="str">
        <f t="shared" si="6"/>
        <v>기업구조조정</v>
      </c>
      <c r="E42" s="772">
        <f t="shared" si="7"/>
        <v>0.60797140000000005</v>
      </c>
      <c r="F42" s="773">
        <f t="shared" si="8"/>
        <v>1.356392434533719</v>
      </c>
      <c r="G42" s="772">
        <f t="shared" si="9"/>
        <v>0.29329418607156521</v>
      </c>
      <c r="H42" s="772">
        <f t="shared" si="10"/>
        <v>0.71471034115414334</v>
      </c>
    </row>
    <row r="43" spans="1:17" s="766" customFormat="1" ht="12.75" thickBot="1">
      <c r="A43" s="770">
        <v>5</v>
      </c>
      <c r="B43" s="770"/>
      <c r="C43" s="771" t="str">
        <f t="shared" si="5"/>
        <v>신한알파리츠</v>
      </c>
      <c r="D43" s="771" t="str">
        <f t="shared" si="6"/>
        <v>위탁관리</v>
      </c>
      <c r="E43" s="772">
        <f t="shared" si="7"/>
        <v>0.48718479999999997</v>
      </c>
      <c r="F43" s="773">
        <f t="shared" si="8"/>
        <v>3.1663815887661926</v>
      </c>
      <c r="G43" s="772">
        <f t="shared" si="9"/>
        <v>0.13901264355351881</v>
      </c>
      <c r="H43" s="772">
        <f t="shared" si="10"/>
        <v>0.33875125596465777</v>
      </c>
    </row>
    <row r="44" spans="1:17" s="766" customFormat="1" ht="12.75" thickBot="1">
      <c r="A44" s="770">
        <v>6</v>
      </c>
      <c r="B44" s="770"/>
      <c r="C44" s="771" t="str">
        <f t="shared" si="5"/>
        <v>롯데리츠</v>
      </c>
      <c r="D44" s="771" t="str">
        <f t="shared" si="6"/>
        <v>위탁관리</v>
      </c>
      <c r="E44" s="772">
        <f t="shared" si="7"/>
        <v>0.52868709999999997</v>
      </c>
      <c r="F44" s="773">
        <f t="shared" si="8"/>
        <v>1.2957828302947594</v>
      </c>
      <c r="G44" s="772">
        <f t="shared" si="9"/>
        <v>0.26481266610186255</v>
      </c>
      <c r="H44" s="772">
        <f t="shared" si="10"/>
        <v>0.64530549843705054</v>
      </c>
    </row>
    <row r="45" spans="1:17" s="766" customFormat="1" ht="12.75" thickBot="1">
      <c r="A45" s="770">
        <v>7</v>
      </c>
      <c r="B45" s="770"/>
      <c r="C45" s="771" t="str">
        <f t="shared" si="5"/>
        <v>NH프라임리츠</v>
      </c>
      <c r="D45" s="771" t="str">
        <f t="shared" si="6"/>
        <v>위탁관리</v>
      </c>
      <c r="E45" s="772">
        <f t="shared" si="7"/>
        <v>0.57759740000000004</v>
      </c>
      <c r="F45" s="773">
        <f t="shared" si="8"/>
        <v>0</v>
      </c>
      <c r="G45" s="772">
        <f t="shared" si="9"/>
        <v>0.57759740000000004</v>
      </c>
      <c r="H45" s="772">
        <f t="shared" si="10"/>
        <v>1.4075111420825008</v>
      </c>
    </row>
    <row r="46" spans="1:17" s="766" customFormat="1" ht="12.75"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0.65528299999999995</v>
      </c>
      <c r="F51" s="1789">
        <f t="shared" ref="F51:H51" si="11">AVERAGE(F39:F50)</f>
        <v>1.8164826026275107</v>
      </c>
      <c r="G51" s="776">
        <f t="shared" si="11"/>
        <v>0.30612749057737043</v>
      </c>
      <c r="H51" s="776">
        <f t="shared" si="11"/>
        <v>0.74598302188584054</v>
      </c>
    </row>
    <row r="52" spans="1:18" s="766" customFormat="1" ht="12"/>
    <row r="53" spans="1:18" s="766" customFormat="1" ht="12"/>
    <row r="54" spans="1:18" s="766" customFormat="1" ht="17.25" thickBot="1">
      <c r="C54" s="777" t="s">
        <v>1189</v>
      </c>
      <c r="D54" s="778"/>
      <c r="E54" s="778"/>
      <c r="F54" s="779"/>
    </row>
    <row r="55" spans="1:18" s="766" customFormat="1" ht="17.25" thickBot="1">
      <c r="C55" s="780" t="s">
        <v>345</v>
      </c>
      <c r="D55" s="781" t="s">
        <v>346</v>
      </c>
      <c r="E55" s="1790">
        <f>N6</f>
        <v>45107</v>
      </c>
      <c r="F55" s="778"/>
      <c r="G55" s="1791" t="s">
        <v>1190</v>
      </c>
      <c r="K55" s="782"/>
      <c r="L55" s="782"/>
      <c r="M55" s="782"/>
      <c r="N55" s="782"/>
      <c r="O55" s="782"/>
      <c r="P55" s="782"/>
      <c r="Q55" s="782"/>
      <c r="R55" s="782"/>
    </row>
    <row r="56" spans="1:18" s="766" customFormat="1" ht="24.75" thickBot="1">
      <c r="C56" s="783" t="s">
        <v>357</v>
      </c>
      <c r="D56" s="771" t="s">
        <v>358</v>
      </c>
      <c r="E56" s="784">
        <f>G31</f>
        <v>0.65528299999999995</v>
      </c>
      <c r="G56" s="1792">
        <v>0.69503492857142868</v>
      </c>
      <c r="K56" s="786"/>
      <c r="L56" s="786"/>
      <c r="M56" s="786"/>
      <c r="N56" s="786"/>
      <c r="O56" s="786"/>
      <c r="P56" s="786"/>
      <c r="Q56" s="786"/>
      <c r="R56" s="786"/>
    </row>
    <row r="57" spans="1:18" s="766" customFormat="1" ht="24.75" thickBot="1">
      <c r="C57" s="783" t="s">
        <v>360</v>
      </c>
      <c r="D57" s="771" t="s">
        <v>358</v>
      </c>
      <c r="E57" s="787">
        <f>H31</f>
        <v>1.8164826026275107</v>
      </c>
      <c r="G57" s="1793">
        <v>2.0014276841067309</v>
      </c>
      <c r="K57" s="789"/>
      <c r="L57" s="789"/>
      <c r="M57" s="789"/>
      <c r="N57" s="789"/>
      <c r="O57" s="789"/>
      <c r="P57" s="789"/>
      <c r="Q57" s="789"/>
      <c r="R57" s="789"/>
    </row>
    <row r="58" spans="1:18" s="766" customFormat="1" ht="27.75" thickBot="1">
      <c r="C58" s="790" t="s">
        <v>1191</v>
      </c>
      <c r="D58" s="791" t="s">
        <v>757</v>
      </c>
      <c r="E58" s="784">
        <f>J31</f>
        <v>0.30612749057737043</v>
      </c>
      <c r="G58" s="1792">
        <v>0.27402765806095569</v>
      </c>
      <c r="K58" s="786"/>
      <c r="L58" s="786"/>
      <c r="M58" s="786"/>
      <c r="N58" s="786"/>
      <c r="O58" s="786"/>
      <c r="P58" s="786"/>
      <c r="Q58" s="786"/>
      <c r="R58" s="792"/>
    </row>
    <row r="59" spans="1:18" s="766" customFormat="1" ht="26.25" thickBot="1">
      <c r="C59" s="793" t="s">
        <v>759</v>
      </c>
      <c r="D59" s="791" t="s">
        <v>1192</v>
      </c>
      <c r="E59" s="1796">
        <f>E58*(1+$E$57*(1-$E$64))</f>
        <v>0.74598302188584054</v>
      </c>
      <c r="G59" s="1792">
        <v>0.70784887203477231</v>
      </c>
      <c r="K59" s="786"/>
      <c r="L59" s="786"/>
      <c r="M59" s="786"/>
      <c r="N59" s="786"/>
      <c r="O59" s="786"/>
      <c r="P59" s="786"/>
      <c r="Q59" s="786"/>
      <c r="R59" s="786"/>
    </row>
    <row r="60" spans="1:18" s="766" customFormat="1" ht="24.75" thickBot="1">
      <c r="C60" s="793" t="s">
        <v>1193</v>
      </c>
      <c r="D60" s="791" t="s">
        <v>1194</v>
      </c>
      <c r="E60" s="795">
        <f>E65</f>
        <v>3.56E-2</v>
      </c>
      <c r="G60" s="1794">
        <v>3.4374430894308937E-2</v>
      </c>
      <c r="K60" s="789"/>
      <c r="L60" s="789"/>
      <c r="M60" s="789"/>
      <c r="N60" s="789"/>
      <c r="O60" s="789"/>
      <c r="P60" s="789"/>
      <c r="Q60" s="789"/>
      <c r="R60" s="789"/>
    </row>
    <row r="61" spans="1:18" s="766" customFormat="1" ht="36.75" thickBot="1">
      <c r="C61" s="793" t="s">
        <v>1195</v>
      </c>
      <c r="D61" s="791" t="s">
        <v>1196</v>
      </c>
      <c r="E61" s="797">
        <f>E66</f>
        <v>0.1086</v>
      </c>
      <c r="G61" s="1794">
        <v>0.10982109756097566</v>
      </c>
      <c r="K61" s="789"/>
      <c r="L61" s="789"/>
      <c r="M61" s="789"/>
      <c r="N61" s="789"/>
      <c r="O61" s="789"/>
      <c r="P61" s="789"/>
      <c r="Q61" s="789"/>
      <c r="R61" s="789"/>
    </row>
    <row r="62" spans="1:18" s="766" customFormat="1" ht="23.25" customHeight="1" thickBot="1">
      <c r="C62" s="798" t="s">
        <v>1197</v>
      </c>
      <c r="D62" s="799" t="s">
        <v>373</v>
      </c>
      <c r="E62" s="1038">
        <f>E60+E59*E61</f>
        <v>0.11661375617680228</v>
      </c>
      <c r="F62" s="801"/>
      <c r="G62" s="1795">
        <v>0.11211117092846623</v>
      </c>
      <c r="H62" s="801">
        <f>E62-G62</f>
        <v>4.5025852483360496E-3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c r="D64" s="785" t="s">
        <v>1198</v>
      </c>
      <c r="E64" s="788">
        <v>0.20899999999999999</v>
      </c>
    </row>
    <row r="65" spans="4:5" ht="15.75" customHeight="1">
      <c r="D65" s="785" t="s">
        <v>1199</v>
      </c>
      <c r="E65" s="794">
        <v>3.56E-2</v>
      </c>
    </row>
    <row r="66" spans="4:5" ht="15.75" customHeight="1">
      <c r="D66" s="785" t="s">
        <v>1200</v>
      </c>
      <c r="E66" s="794">
        <v>0.1086</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17" priority="4">
      <formula>$L31="O"</formula>
    </cfRule>
  </conditionalFormatting>
  <conditionalFormatting sqref="L22:Q30 C22:H30 C10:Q21">
    <cfRule type="expression" dxfId="16" priority="5">
      <formula>$Q10="O"</formula>
    </cfRule>
  </conditionalFormatting>
  <conditionalFormatting sqref="J22:K31">
    <cfRule type="expression" dxfId="15" priority="3">
      <formula>$Q22="O"</formula>
    </cfRule>
  </conditionalFormatting>
  <conditionalFormatting sqref="G31">
    <cfRule type="expression" dxfId="14" priority="2">
      <formula>$L31="O"</formula>
    </cfRule>
  </conditionalFormatting>
  <conditionalFormatting sqref="I22:I30">
    <cfRule type="expression" dxfId="13"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25"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817</v>
      </c>
    </row>
    <row r="2" spans="1:22" ht="15.75" customHeight="1" thickBot="1">
      <c r="A2" s="709"/>
      <c r="B2" s="710"/>
      <c r="C2" s="711"/>
      <c r="D2" s="711"/>
      <c r="E2" s="711"/>
      <c r="F2" s="711"/>
      <c r="G2" s="711"/>
      <c r="H2" s="711"/>
      <c r="I2" s="711"/>
      <c r="J2" s="711"/>
      <c r="Q2" s="713" t="s">
        <v>818</v>
      </c>
    </row>
    <row r="3" spans="1:22" ht="15.75" customHeight="1" thickBot="1">
      <c r="B3" s="714" t="s">
        <v>677</v>
      </c>
      <c r="D3" s="715"/>
      <c r="K3" s="716"/>
      <c r="M3" s="717"/>
      <c r="N3" s="718"/>
      <c r="O3" s="719"/>
      <c r="P3" s="719"/>
      <c r="Q3" s="719"/>
      <c r="R3" s="719"/>
      <c r="S3" s="719"/>
      <c r="T3" s="718"/>
    </row>
    <row r="4" spans="1:22" ht="15.75" customHeight="1" thickTop="1">
      <c r="B4" s="1032" t="s">
        <v>819</v>
      </c>
      <c r="M4" s="717"/>
      <c r="N4" s="718"/>
      <c r="O4" s="718"/>
      <c r="P4" s="718"/>
      <c r="Q4" s="718"/>
      <c r="R4" s="718"/>
      <c r="S4" s="718"/>
      <c r="T4" s="718"/>
      <c r="U4" s="717"/>
    </row>
    <row r="5" spans="1:22" ht="15.75" customHeight="1" thickBot="1">
      <c r="B5" s="1033" t="s">
        <v>820</v>
      </c>
      <c r="M5" s="717"/>
      <c r="N5" s="718"/>
      <c r="O5" s="718"/>
      <c r="P5" s="718"/>
      <c r="Q5" s="718"/>
      <c r="R5" s="718"/>
      <c r="S5" s="718"/>
      <c r="T5" s="718"/>
      <c r="U5" s="717"/>
    </row>
    <row r="6" spans="1:22" ht="15.75" customHeight="1" thickBot="1">
      <c r="L6" s="722" t="s">
        <v>821</v>
      </c>
      <c r="M6" s="723">
        <v>44926</v>
      </c>
      <c r="P6" s="718"/>
      <c r="Q6" s="718"/>
      <c r="R6" s="718"/>
      <c r="S6" s="718"/>
      <c r="T6" s="718"/>
    </row>
    <row r="7" spans="1:22" ht="15.75" customHeight="1" thickBot="1">
      <c r="I7" s="724" t="s">
        <v>680</v>
      </c>
      <c r="J7" s="725">
        <f>F56</f>
        <v>0.22</v>
      </c>
      <c r="L7" s="726" t="s">
        <v>822</v>
      </c>
      <c r="M7" s="727">
        <v>44894</v>
      </c>
      <c r="P7" s="728"/>
      <c r="Q7" s="728"/>
      <c r="R7" s="718"/>
      <c r="S7" s="718"/>
      <c r="T7" s="718"/>
    </row>
    <row r="8" spans="1:22" ht="15.75" customHeight="1" thickBot="1">
      <c r="F8" s="729"/>
      <c r="G8" s="729"/>
      <c r="H8" s="729"/>
      <c r="I8" s="729"/>
      <c r="J8" s="729"/>
      <c r="M8" s="718"/>
      <c r="N8" s="718"/>
      <c r="O8" s="728"/>
      <c r="P8" s="730" t="s">
        <v>823</v>
      </c>
      <c r="Q8" s="728"/>
      <c r="V8" s="718"/>
    </row>
    <row r="9" spans="1:22" ht="15.75" customHeight="1" thickTop="1" thickBot="1">
      <c r="B9" s="731" t="s">
        <v>824</v>
      </c>
      <c r="C9" s="731" t="s">
        <v>255</v>
      </c>
      <c r="D9" s="731" t="s">
        <v>825</v>
      </c>
      <c r="E9" s="731" t="s">
        <v>258</v>
      </c>
      <c r="F9" s="731" t="s">
        <v>826</v>
      </c>
      <c r="G9" s="731" t="s">
        <v>827</v>
      </c>
      <c r="H9" s="731" t="s">
        <v>828</v>
      </c>
      <c r="I9" s="731" t="s">
        <v>829</v>
      </c>
      <c r="J9" s="731" t="s">
        <v>830</v>
      </c>
      <c r="K9" s="731" t="s">
        <v>687</v>
      </c>
      <c r="L9" s="731" t="s">
        <v>688</v>
      </c>
      <c r="M9" s="731" t="s">
        <v>689</v>
      </c>
      <c r="N9" s="731" t="s">
        <v>690</v>
      </c>
      <c r="O9" s="731" t="s">
        <v>831</v>
      </c>
      <c r="P9" s="731" t="s">
        <v>832</v>
      </c>
      <c r="V9" s="718"/>
    </row>
    <row r="10" spans="1:22" ht="24.75" thickBot="1">
      <c r="A10" s="732"/>
      <c r="B10" s="733">
        <v>1</v>
      </c>
      <c r="C10" s="734" t="s">
        <v>273</v>
      </c>
      <c r="D10" s="734" t="s">
        <v>275</v>
      </c>
      <c r="E10" s="735">
        <v>40738</v>
      </c>
      <c r="F10" s="736">
        <v>0.6196412</v>
      </c>
      <c r="G10" s="737">
        <v>2.2528488651555856</v>
      </c>
      <c r="H10" s="738">
        <v>0.22000000000000003</v>
      </c>
      <c r="I10" s="739">
        <f>F10/(1+G10*(1-H10))</f>
        <v>0.22473387133707479</v>
      </c>
      <c r="J10" s="739">
        <f t="shared" ref="J10:J29" si="0">I10*(1+$G$30*(1-$J$7))</f>
        <v>0.52136508431715956</v>
      </c>
      <c r="K10" s="740" t="s">
        <v>833</v>
      </c>
      <c r="L10" s="740" t="s">
        <v>834</v>
      </c>
      <c r="M10" s="740" t="s">
        <v>694</v>
      </c>
      <c r="N10" s="740" t="s">
        <v>835</v>
      </c>
      <c r="O10" s="740">
        <f t="shared" ref="O10:O29" si="1">YEARFRAC(E10,EOMONTH($M$6,-2),1)</f>
        <v>11.299110198494182</v>
      </c>
      <c r="P10" s="740" t="s">
        <v>817</v>
      </c>
      <c r="Q10" s="712">
        <f>IF(P10="O",1,0)</f>
        <v>1</v>
      </c>
      <c r="R10" s="712">
        <f>Q10</f>
        <v>1</v>
      </c>
      <c r="V10" s="718"/>
    </row>
    <row r="11" spans="1:22" ht="24.75" thickBot="1">
      <c r="A11" s="732"/>
      <c r="B11" s="733">
        <v>2</v>
      </c>
      <c r="C11" s="734" t="s">
        <v>278</v>
      </c>
      <c r="D11" s="734" t="s">
        <v>280</v>
      </c>
      <c r="E11" s="735">
        <v>40939</v>
      </c>
      <c r="F11" s="736">
        <v>0.78679140000000003</v>
      </c>
      <c r="G11" s="737">
        <v>3.1809608217306673</v>
      </c>
      <c r="H11" s="738">
        <v>0.22000000000000003</v>
      </c>
      <c r="I11" s="739">
        <f t="shared" ref="I11:I29" si="2">F11/(1+G11*(1-H11))</f>
        <v>0.22601483025827926</v>
      </c>
      <c r="J11" s="739">
        <f t="shared" si="0"/>
        <v>0.52433680928228021</v>
      </c>
      <c r="K11" s="740" t="s">
        <v>833</v>
      </c>
      <c r="L11" s="740" t="s">
        <v>696</v>
      </c>
      <c r="M11" s="740" t="s">
        <v>836</v>
      </c>
      <c r="N11" s="740" t="s">
        <v>837</v>
      </c>
      <c r="O11" s="740">
        <f t="shared" si="1"/>
        <v>10.748133399701345</v>
      </c>
      <c r="P11" s="740" t="s">
        <v>670</v>
      </c>
      <c r="Q11" s="712">
        <f t="shared" ref="Q11:Q29" si="3">IF(P11="O",1,0)</f>
        <v>1</v>
      </c>
      <c r="R11" s="712">
        <f>R10+Q11</f>
        <v>2</v>
      </c>
      <c r="V11" s="718"/>
    </row>
    <row r="12" spans="1:22" ht="12.75" thickBot="1">
      <c r="A12" s="732"/>
      <c r="B12" s="733">
        <v>3</v>
      </c>
      <c r="C12" s="734" t="s">
        <v>283</v>
      </c>
      <c r="D12" s="734" t="s">
        <v>285</v>
      </c>
      <c r="E12" s="735">
        <v>42635</v>
      </c>
      <c r="F12" s="736">
        <v>0.67569429999999997</v>
      </c>
      <c r="G12" s="737">
        <v>1.2957406082705445</v>
      </c>
      <c r="H12" s="738">
        <v>0.22000000000000003</v>
      </c>
      <c r="I12" s="739">
        <f t="shared" si="2"/>
        <v>0.33605301763967954</v>
      </c>
      <c r="J12" s="739">
        <f t="shared" si="0"/>
        <v>0.77961683672488447</v>
      </c>
      <c r="K12" s="740" t="s">
        <v>833</v>
      </c>
      <c r="L12" s="740" t="s">
        <v>696</v>
      </c>
      <c r="M12" s="740" t="s">
        <v>700</v>
      </c>
      <c r="N12" s="740" t="s">
        <v>838</v>
      </c>
      <c r="O12" s="740">
        <f t="shared" si="1"/>
        <v>6.1048103245991401</v>
      </c>
      <c r="P12" s="740" t="s">
        <v>670</v>
      </c>
      <c r="Q12" s="712">
        <f t="shared" si="3"/>
        <v>1</v>
      </c>
      <c r="R12" s="712">
        <f t="shared" ref="R12:R29" si="4">R11+Q12</f>
        <v>3</v>
      </c>
      <c r="V12" s="741"/>
    </row>
    <row r="13" spans="1:22" ht="24.75" thickBot="1">
      <c r="A13" s="732"/>
      <c r="B13" s="733">
        <v>4</v>
      </c>
      <c r="C13" s="734" t="s">
        <v>287</v>
      </c>
      <c r="D13" s="734" t="s">
        <v>289</v>
      </c>
      <c r="E13" s="735">
        <v>43278</v>
      </c>
      <c r="F13" s="736">
        <v>0.47804289999999999</v>
      </c>
      <c r="G13" s="737">
        <v>1.3088104006063905</v>
      </c>
      <c r="H13" s="738">
        <v>0.22000000000000003</v>
      </c>
      <c r="I13" s="739">
        <f t="shared" si="2"/>
        <v>0.23655277196883512</v>
      </c>
      <c r="J13" s="739">
        <f t="shared" si="0"/>
        <v>0.54878401359449858</v>
      </c>
      <c r="K13" s="740" t="s">
        <v>702</v>
      </c>
      <c r="L13" s="740" t="s">
        <v>839</v>
      </c>
      <c r="M13" s="740" t="s">
        <v>704</v>
      </c>
      <c r="N13" s="740" t="s">
        <v>840</v>
      </c>
      <c r="O13" s="740">
        <f t="shared" si="1"/>
        <v>4.3455640744797375</v>
      </c>
      <c r="P13" s="740" t="s">
        <v>670</v>
      </c>
      <c r="Q13" s="712">
        <f t="shared" si="3"/>
        <v>1</v>
      </c>
      <c r="R13" s="712">
        <f t="shared" si="4"/>
        <v>4</v>
      </c>
      <c r="V13" s="741"/>
    </row>
    <row r="14" spans="1:22" ht="36.75" thickBot="1">
      <c r="A14" s="732"/>
      <c r="B14" s="733">
        <v>5</v>
      </c>
      <c r="C14" s="734" t="s">
        <v>292</v>
      </c>
      <c r="D14" s="734" t="s">
        <v>294</v>
      </c>
      <c r="E14" s="735">
        <v>43320</v>
      </c>
      <c r="F14" s="736">
        <v>0.40883340000000001</v>
      </c>
      <c r="G14" s="737">
        <v>2.5061586774706095</v>
      </c>
      <c r="H14" s="738">
        <v>0.22000000000000003</v>
      </c>
      <c r="I14" s="739">
        <f t="shared" si="2"/>
        <v>0.13836228461886438</v>
      </c>
      <c r="J14" s="739">
        <f t="shared" si="0"/>
        <v>0.32098972779422069</v>
      </c>
      <c r="K14" s="740" t="s">
        <v>706</v>
      </c>
      <c r="L14" s="740" t="s">
        <v>839</v>
      </c>
      <c r="M14" s="740" t="s">
        <v>708</v>
      </c>
      <c r="N14" s="740" t="s">
        <v>841</v>
      </c>
      <c r="O14" s="740">
        <f t="shared" si="1"/>
        <v>4.2305585980284777</v>
      </c>
      <c r="P14" s="740" t="s">
        <v>670</v>
      </c>
      <c r="Q14" s="712">
        <f t="shared" si="3"/>
        <v>1</v>
      </c>
      <c r="R14" s="712">
        <f t="shared" si="4"/>
        <v>5</v>
      </c>
      <c r="V14" s="741"/>
    </row>
    <row r="15" spans="1:22" ht="12.75" thickBot="1">
      <c r="A15" s="732"/>
      <c r="B15" s="733">
        <v>6</v>
      </c>
      <c r="C15" s="734" t="s">
        <v>296</v>
      </c>
      <c r="D15" s="734" t="s">
        <v>298</v>
      </c>
      <c r="E15" s="735">
        <v>43768</v>
      </c>
      <c r="F15" s="736">
        <v>0.47691040000000001</v>
      </c>
      <c r="G15" s="737">
        <v>1.3009357530653778</v>
      </c>
      <c r="H15" s="738">
        <v>0.24200000000000002</v>
      </c>
      <c r="I15" s="739">
        <f t="shared" si="2"/>
        <v>0.24012293774680238</v>
      </c>
      <c r="J15" s="739">
        <f t="shared" si="0"/>
        <v>0.55706652023571734</v>
      </c>
      <c r="K15" s="740" t="s">
        <v>706</v>
      </c>
      <c r="L15" s="740" t="s">
        <v>696</v>
      </c>
      <c r="M15" s="740" t="s">
        <v>704</v>
      </c>
      <c r="N15" s="740" t="s">
        <v>710</v>
      </c>
      <c r="O15" s="740">
        <f t="shared" si="1"/>
        <v>3.0034223134839153</v>
      </c>
      <c r="P15" s="740" t="s">
        <v>670</v>
      </c>
      <c r="Q15" s="712">
        <f t="shared" si="3"/>
        <v>1</v>
      </c>
      <c r="R15" s="712">
        <f t="shared" si="4"/>
        <v>6</v>
      </c>
      <c r="V15" s="741"/>
    </row>
    <row r="16" spans="1:22" ht="36.75" thickBot="1">
      <c r="A16" s="732"/>
      <c r="B16" s="733">
        <v>7</v>
      </c>
      <c r="C16" s="734" t="s">
        <v>300</v>
      </c>
      <c r="D16" s="734" t="s">
        <v>302</v>
      </c>
      <c r="E16" s="735">
        <v>43804</v>
      </c>
      <c r="F16" s="736">
        <v>0.4482294</v>
      </c>
      <c r="G16" s="737">
        <v>0</v>
      </c>
      <c r="H16" s="738">
        <v>0.22000000000000003</v>
      </c>
      <c r="I16" s="739">
        <f t="shared" si="2"/>
        <v>0.4482294</v>
      </c>
      <c r="J16" s="739">
        <f t="shared" si="0"/>
        <v>1.0398573100443775</v>
      </c>
      <c r="K16" s="740" t="s">
        <v>706</v>
      </c>
      <c r="L16" s="740" t="s">
        <v>711</v>
      </c>
      <c r="M16" s="740" t="s">
        <v>708</v>
      </c>
      <c r="N16" s="740" t="s">
        <v>842</v>
      </c>
      <c r="O16" s="740">
        <f t="shared" si="1"/>
        <v>2.9048596851471595</v>
      </c>
      <c r="P16" s="740" t="s">
        <v>670</v>
      </c>
      <c r="Q16" s="712">
        <f t="shared" si="3"/>
        <v>1</v>
      </c>
      <c r="R16" s="712">
        <f t="shared" si="4"/>
        <v>7</v>
      </c>
      <c r="V16" s="741"/>
    </row>
    <row r="17" spans="1:22" ht="24.75" thickBot="1">
      <c r="A17" s="732"/>
      <c r="B17" s="733">
        <v>8</v>
      </c>
      <c r="C17" s="733" t="s">
        <v>843</v>
      </c>
      <c r="D17" s="733" t="s">
        <v>844</v>
      </c>
      <c r="E17" s="742">
        <v>44028</v>
      </c>
      <c r="F17" s="736">
        <v>0.51804649999999997</v>
      </c>
      <c r="G17" s="737">
        <v>0.22040859408539018</v>
      </c>
      <c r="H17" s="738">
        <f>H16</f>
        <v>0.22000000000000003</v>
      </c>
      <c r="I17" s="739">
        <f t="shared" si="2"/>
        <v>0.44204986105516703</v>
      </c>
      <c r="J17" s="739">
        <f t="shared" si="0"/>
        <v>1.025521260814924</v>
      </c>
      <c r="K17" s="740" t="s">
        <v>706</v>
      </c>
      <c r="L17" s="740" t="s">
        <v>845</v>
      </c>
      <c r="M17" s="740" t="s">
        <v>846</v>
      </c>
      <c r="N17" s="740" t="s">
        <v>847</v>
      </c>
      <c r="O17" s="740">
        <f t="shared" si="1"/>
        <v>2.2910583941605842</v>
      </c>
      <c r="P17" s="740" t="s">
        <v>671</v>
      </c>
      <c r="Q17" s="712">
        <f t="shared" si="3"/>
        <v>0</v>
      </c>
      <c r="R17" s="712">
        <f t="shared" si="4"/>
        <v>7</v>
      </c>
      <c r="V17" s="711"/>
    </row>
    <row r="18" spans="1:22" ht="24.75" thickBot="1">
      <c r="A18" s="732"/>
      <c r="B18" s="733">
        <v>9</v>
      </c>
      <c r="C18" s="733" t="s">
        <v>307</v>
      </c>
      <c r="D18" s="733" t="s">
        <v>848</v>
      </c>
      <c r="E18" s="742">
        <v>44048</v>
      </c>
      <c r="F18" s="736">
        <v>0.4733058</v>
      </c>
      <c r="G18" s="737">
        <v>2.2966187580615443</v>
      </c>
      <c r="H18" s="738">
        <v>0.22000000000000003</v>
      </c>
      <c r="I18" s="739">
        <f t="shared" si="2"/>
        <v>0.16956084268478039</v>
      </c>
      <c r="J18" s="739">
        <f t="shared" si="0"/>
        <v>0.3933679534699277</v>
      </c>
      <c r="K18" s="740" t="s">
        <v>706</v>
      </c>
      <c r="L18" s="740" t="s">
        <v>696</v>
      </c>
      <c r="M18" s="740" t="s">
        <v>704</v>
      </c>
      <c r="N18" s="740" t="s">
        <v>849</v>
      </c>
      <c r="O18" s="740">
        <f t="shared" si="1"/>
        <v>2.2363138686131387</v>
      </c>
      <c r="P18" s="740" t="s">
        <v>671</v>
      </c>
      <c r="Q18" s="712">
        <f t="shared" si="3"/>
        <v>0</v>
      </c>
      <c r="R18" s="712">
        <f t="shared" si="4"/>
        <v>7</v>
      </c>
      <c r="S18" s="717"/>
    </row>
    <row r="19" spans="1:22" ht="36.75" thickBot="1">
      <c r="A19" s="732"/>
      <c r="B19" s="733">
        <v>10</v>
      </c>
      <c r="C19" s="733" t="s">
        <v>310</v>
      </c>
      <c r="D19" s="733" t="s">
        <v>850</v>
      </c>
      <c r="E19" s="742">
        <v>44048</v>
      </c>
      <c r="F19" s="736">
        <v>0.48013119999999998</v>
      </c>
      <c r="G19" s="737">
        <v>1.0507345533818158</v>
      </c>
      <c r="H19" s="738">
        <v>0.22000000000000003</v>
      </c>
      <c r="I19" s="739">
        <f t="shared" si="2"/>
        <v>0.26387026668418484</v>
      </c>
      <c r="J19" s="739">
        <f t="shared" si="0"/>
        <v>0.61215847446621974</v>
      </c>
      <c r="K19" s="740" t="s">
        <v>706</v>
      </c>
      <c r="L19" s="740" t="s">
        <v>845</v>
      </c>
      <c r="M19" s="740" t="s">
        <v>851</v>
      </c>
      <c r="N19" s="740" t="s">
        <v>852</v>
      </c>
      <c r="O19" s="740">
        <f t="shared" si="1"/>
        <v>2.2363138686131387</v>
      </c>
      <c r="P19" s="740" t="s">
        <v>671</v>
      </c>
      <c r="Q19" s="712">
        <f t="shared" si="3"/>
        <v>0</v>
      </c>
      <c r="R19" s="712">
        <f t="shared" si="4"/>
        <v>7</v>
      </c>
    </row>
    <row r="20" spans="1:22" ht="48.75" thickBot="1">
      <c r="A20" s="732"/>
      <c r="B20" s="733">
        <v>11</v>
      </c>
      <c r="C20" s="733" t="s">
        <v>313</v>
      </c>
      <c r="D20" s="733" t="s">
        <v>853</v>
      </c>
      <c r="E20" s="742">
        <v>44050</v>
      </c>
      <c r="F20" s="736">
        <v>0.44817269999999998</v>
      </c>
      <c r="G20" s="737">
        <v>1.3047722296843003</v>
      </c>
      <c r="H20" s="738">
        <v>0.24200000000000002</v>
      </c>
      <c r="I20" s="739">
        <f t="shared" si="2"/>
        <v>0.22532367552113608</v>
      </c>
      <c r="J20" s="739">
        <f t="shared" si="0"/>
        <v>0.52273338410358794</v>
      </c>
      <c r="K20" s="740" t="s">
        <v>706</v>
      </c>
      <c r="L20" s="740" t="s">
        <v>854</v>
      </c>
      <c r="M20" s="740" t="s">
        <v>708</v>
      </c>
      <c r="N20" s="740" t="s">
        <v>855</v>
      </c>
      <c r="O20" s="740">
        <f t="shared" si="1"/>
        <v>2.2308394160583944</v>
      </c>
      <c r="P20" s="740" t="s">
        <v>671</v>
      </c>
      <c r="Q20" s="712">
        <f t="shared" si="3"/>
        <v>0</v>
      </c>
      <c r="R20" s="712">
        <f t="shared" si="4"/>
        <v>7</v>
      </c>
    </row>
    <row r="21" spans="1:22" ht="24.75" thickBot="1">
      <c r="A21" s="732"/>
      <c r="B21" s="733">
        <v>12</v>
      </c>
      <c r="C21" s="733" t="s">
        <v>316</v>
      </c>
      <c r="D21" s="733" t="s">
        <v>856</v>
      </c>
      <c r="E21" s="742">
        <v>44074</v>
      </c>
      <c r="F21" s="736">
        <v>0.54785680000000003</v>
      </c>
      <c r="G21" s="737">
        <v>1.8215781176563379</v>
      </c>
      <c r="H21" s="738">
        <v>0.24200000000000002</v>
      </c>
      <c r="I21" s="739">
        <f t="shared" si="2"/>
        <v>0.23011881559574546</v>
      </c>
      <c r="J21" s="739">
        <f t="shared" si="0"/>
        <v>0.53385773573975748</v>
      </c>
      <c r="K21" s="740" t="s">
        <v>706</v>
      </c>
      <c r="L21" s="740" t="s">
        <v>696</v>
      </c>
      <c r="M21" s="740" t="s">
        <v>725</v>
      </c>
      <c r="N21" s="740" t="s">
        <v>857</v>
      </c>
      <c r="O21" s="740">
        <f t="shared" si="1"/>
        <v>2.1651459854014599</v>
      </c>
      <c r="P21" s="740" t="s">
        <v>671</v>
      </c>
      <c r="Q21" s="712">
        <f t="shared" si="3"/>
        <v>0</v>
      </c>
      <c r="R21" s="712">
        <f t="shared" si="4"/>
        <v>7</v>
      </c>
    </row>
    <row r="22" spans="1:22" ht="12.75" thickBot="1">
      <c r="A22" s="732"/>
      <c r="B22" s="733">
        <v>13</v>
      </c>
      <c r="C22" s="733" t="s">
        <v>858</v>
      </c>
      <c r="D22" s="733" t="s">
        <v>859</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1.853102189781022</v>
      </c>
      <c r="P22" s="740"/>
      <c r="Q22" s="712">
        <f t="shared" si="3"/>
        <v>0</v>
      </c>
      <c r="R22" s="712">
        <f t="shared" si="4"/>
        <v>7</v>
      </c>
    </row>
    <row r="23" spans="1:22" ht="15.75" customHeight="1" thickBot="1">
      <c r="A23" s="732"/>
      <c r="B23" s="733">
        <v>14</v>
      </c>
      <c r="C23" s="733" t="s">
        <v>860</v>
      </c>
      <c r="D23" s="733" t="s">
        <v>861</v>
      </c>
      <c r="E23" s="744">
        <v>44435</v>
      </c>
      <c r="F23" s="736">
        <v>0.56533480000000003</v>
      </c>
      <c r="G23" s="737">
        <v>0</v>
      </c>
      <c r="H23" s="738">
        <v>0.11000000000000001</v>
      </c>
      <c r="I23" s="739">
        <f t="shared" si="2"/>
        <v>0.56533480000000003</v>
      </c>
      <c r="J23" s="739">
        <f t="shared" si="0"/>
        <v>1.3115327205276499</v>
      </c>
      <c r="K23" s="740"/>
      <c r="L23" s="740"/>
      <c r="M23" s="740"/>
      <c r="N23" s="740"/>
      <c r="O23" s="740">
        <f t="shared" si="1"/>
        <v>1.178082191780822</v>
      </c>
      <c r="P23" s="740"/>
      <c r="Q23" s="712">
        <f t="shared" si="3"/>
        <v>0</v>
      </c>
      <c r="R23" s="712">
        <f t="shared" si="4"/>
        <v>7</v>
      </c>
    </row>
    <row r="24" spans="1:22" ht="15.75" customHeight="1" thickBot="1">
      <c r="A24" s="732"/>
      <c r="B24" s="733">
        <v>15</v>
      </c>
      <c r="C24" s="733" t="s">
        <v>862</v>
      </c>
      <c r="D24" s="733" t="s">
        <v>863</v>
      </c>
      <c r="E24" s="744">
        <v>44453</v>
      </c>
      <c r="F24" s="736">
        <v>0.599549</v>
      </c>
      <c r="G24" s="737">
        <v>0</v>
      </c>
      <c r="H24" s="738" t="e">
        <v>#VALUE!</v>
      </c>
      <c r="I24" s="739" t="e">
        <f t="shared" si="2"/>
        <v>#VALUE!</v>
      </c>
      <c r="J24" s="739" t="e">
        <f t="shared" si="0"/>
        <v>#VALUE!</v>
      </c>
      <c r="K24" s="740"/>
      <c r="L24" s="740"/>
      <c r="M24" s="740"/>
      <c r="N24" s="740"/>
      <c r="O24" s="740">
        <f t="shared" si="1"/>
        <v>1.1287671232876713</v>
      </c>
      <c r="P24" s="740"/>
      <c r="Q24" s="712">
        <f t="shared" si="3"/>
        <v>0</v>
      </c>
      <c r="R24" s="712">
        <f t="shared" si="4"/>
        <v>7</v>
      </c>
    </row>
    <row r="25" spans="1:22" ht="15.75" customHeight="1" thickBot="1">
      <c r="A25" s="732"/>
      <c r="B25" s="733">
        <v>16</v>
      </c>
      <c r="C25" s="733" t="s">
        <v>864</v>
      </c>
      <c r="D25" s="733" t="s">
        <v>865</v>
      </c>
      <c r="E25" s="744">
        <v>44518</v>
      </c>
      <c r="F25" s="736">
        <v>0.53009919999999999</v>
      </c>
      <c r="G25" s="737">
        <v>0</v>
      </c>
      <c r="H25" s="738">
        <v>0.22000000000000003</v>
      </c>
      <c r="I25" s="739">
        <f t="shared" si="2"/>
        <v>0.53009919999999999</v>
      </c>
      <c r="J25" s="739">
        <f t="shared" si="0"/>
        <v>1.2297888718782759</v>
      </c>
      <c r="K25" s="740"/>
      <c r="L25" s="740"/>
      <c r="M25" s="740"/>
      <c r="N25" s="740"/>
      <c r="O25" s="740">
        <f t="shared" si="1"/>
        <v>0.9506849315068493</v>
      </c>
      <c r="P25" s="740"/>
      <c r="Q25" s="712">
        <f t="shared" si="3"/>
        <v>0</v>
      </c>
      <c r="R25" s="712">
        <f t="shared" si="4"/>
        <v>7</v>
      </c>
    </row>
    <row r="26" spans="1:22" ht="15.75" customHeight="1" thickBot="1">
      <c r="A26" s="732"/>
      <c r="B26" s="733">
        <v>17</v>
      </c>
      <c r="C26" s="733" t="s">
        <v>866</v>
      </c>
      <c r="D26" s="733" t="s">
        <v>867</v>
      </c>
      <c r="E26" s="744">
        <v>44533</v>
      </c>
      <c r="F26" s="736">
        <v>0.69400470000000003</v>
      </c>
      <c r="G26" s="737">
        <v>0</v>
      </c>
      <c r="H26" s="738">
        <v>0.11000000000000001</v>
      </c>
      <c r="I26" s="739">
        <f t="shared" si="2"/>
        <v>0.69400470000000003</v>
      </c>
      <c r="J26" s="739">
        <f t="shared" si="0"/>
        <v>1.6100368706295376</v>
      </c>
      <c r="K26" s="740"/>
      <c r="L26" s="740"/>
      <c r="M26" s="740"/>
      <c r="N26" s="740"/>
      <c r="O26" s="740">
        <f t="shared" si="1"/>
        <v>0.90958904109589045</v>
      </c>
      <c r="P26" s="740"/>
      <c r="Q26" s="712">
        <f t="shared" si="3"/>
        <v>0</v>
      </c>
      <c r="R26" s="712">
        <f t="shared" si="4"/>
        <v>7</v>
      </c>
    </row>
    <row r="27" spans="1:22" ht="15.75" customHeight="1" thickBot="1">
      <c r="A27" s="732"/>
      <c r="B27" s="733">
        <v>18</v>
      </c>
      <c r="C27" s="733" t="s">
        <v>868</v>
      </c>
      <c r="D27" s="733" t="s">
        <v>869</v>
      </c>
      <c r="E27" s="744">
        <v>44540</v>
      </c>
      <c r="F27" s="736">
        <v>0.64717060000000004</v>
      </c>
      <c r="G27" s="737">
        <v>0</v>
      </c>
      <c r="H27" s="738">
        <v>0.11000000000000001</v>
      </c>
      <c r="I27" s="739">
        <f t="shared" si="2"/>
        <v>0.64717060000000004</v>
      </c>
      <c r="J27" s="739">
        <f t="shared" si="0"/>
        <v>1.5013854050086985</v>
      </c>
      <c r="K27" s="740"/>
      <c r="L27" s="740"/>
      <c r="M27" s="740"/>
      <c r="N27" s="740"/>
      <c r="O27" s="740">
        <f t="shared" si="1"/>
        <v>0.8904109589041096</v>
      </c>
      <c r="P27" s="740"/>
      <c r="Q27" s="712">
        <f t="shared" si="3"/>
        <v>0</v>
      </c>
      <c r="R27" s="712">
        <f t="shared" si="4"/>
        <v>7</v>
      </c>
    </row>
    <row r="28" spans="1:22" ht="15.75" customHeight="1" thickBot="1">
      <c r="A28" s="732"/>
      <c r="B28" s="733">
        <v>19</v>
      </c>
      <c r="C28" s="733" t="s">
        <v>870</v>
      </c>
      <c r="D28" s="733" t="s">
        <v>871</v>
      </c>
      <c r="E28" s="744">
        <v>44648</v>
      </c>
      <c r="F28" s="736">
        <v>0.94812879999999999</v>
      </c>
      <c r="G28" s="737">
        <v>0</v>
      </c>
      <c r="H28" s="738" t="e">
        <v>#VALUE!</v>
      </c>
      <c r="I28" s="739" t="e">
        <f t="shared" si="2"/>
        <v>#VALUE!</v>
      </c>
      <c r="J28" s="739" t="e">
        <f t="shared" si="0"/>
        <v>#VALUE!</v>
      </c>
      <c r="K28" s="740"/>
      <c r="L28" s="740"/>
      <c r="M28" s="740"/>
      <c r="N28" s="740"/>
      <c r="O28" s="740">
        <f t="shared" si="1"/>
        <v>0.59452054794520548</v>
      </c>
      <c r="P28" s="740"/>
      <c r="Q28" s="712">
        <f t="shared" si="3"/>
        <v>0</v>
      </c>
      <c r="R28" s="712">
        <f t="shared" si="4"/>
        <v>7</v>
      </c>
    </row>
    <row r="29" spans="1:22" ht="15.75" customHeight="1" thickBot="1">
      <c r="A29" s="732"/>
      <c r="B29" s="733">
        <v>20</v>
      </c>
      <c r="C29" s="733" t="s">
        <v>872</v>
      </c>
      <c r="D29" s="733" t="s">
        <v>873</v>
      </c>
      <c r="E29" s="744">
        <v>44712</v>
      </c>
      <c r="F29" s="736">
        <v>0.62487150000000002</v>
      </c>
      <c r="G29" s="737">
        <v>0</v>
      </c>
      <c r="H29" s="738">
        <v>0.11000000000000001</v>
      </c>
      <c r="I29" s="747">
        <f t="shared" si="2"/>
        <v>0.62487150000000002</v>
      </c>
      <c r="J29" s="747">
        <f t="shared" si="0"/>
        <v>1.4496532291576485</v>
      </c>
      <c r="K29" s="740"/>
      <c r="L29" s="740"/>
      <c r="M29" s="740"/>
      <c r="N29" s="740"/>
      <c r="O29" s="740">
        <f t="shared" si="1"/>
        <v>0.41917808219178082</v>
      </c>
      <c r="P29" s="740"/>
      <c r="Q29" s="712">
        <f t="shared" si="3"/>
        <v>0</v>
      </c>
      <c r="R29" s="712">
        <f t="shared" si="4"/>
        <v>7</v>
      </c>
    </row>
    <row r="30" spans="1:22" ht="15.75" customHeight="1" thickBot="1">
      <c r="A30" s="748"/>
      <c r="B30" s="749" t="s">
        <v>874</v>
      </c>
      <c r="C30" s="750"/>
      <c r="D30" s="750"/>
      <c r="E30" s="751"/>
      <c r="F30" s="752">
        <f>AVERAGEIF($P$10:$P$29,"O",F10:F29)</f>
        <v>0.55630614285714297</v>
      </c>
      <c r="G30" s="753">
        <f>AVERAGEIF($P$10:$P$29,"O",G10:G29)</f>
        <v>1.6922078751855965</v>
      </c>
      <c r="H30" s="754"/>
      <c r="I30" s="755">
        <f>AVERAGEIF($P$10:$P$29,"O",I10:I29)</f>
        <v>0.26429558765279076</v>
      </c>
      <c r="J30" s="755">
        <f>AVERAGEIF($P$10:$P$29,"O",J10:J29)</f>
        <v>0.6131451859990199</v>
      </c>
      <c r="K30" s="756"/>
      <c r="N30" s="757"/>
      <c r="O30" s="757"/>
      <c r="P30" s="757"/>
    </row>
    <row r="31" spans="1:22" ht="15.75" customHeight="1">
      <c r="A31" s="748"/>
      <c r="B31" s="1034" t="s">
        <v>875</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876</v>
      </c>
    </row>
    <row r="37" spans="1:16" s="766" customFormat="1" ht="12.75" thickBot="1">
      <c r="B37" s="768" t="s">
        <v>266</v>
      </c>
      <c r="C37" s="768" t="s">
        <v>267</v>
      </c>
      <c r="D37" s="768" t="s">
        <v>877</v>
      </c>
      <c r="E37" s="768" t="s">
        <v>878</v>
      </c>
      <c r="F37" s="768" t="s">
        <v>879</v>
      </c>
      <c r="G37" s="769" t="s">
        <v>830</v>
      </c>
    </row>
    <row r="38" spans="1:16" s="766" customFormat="1" ht="12.75" thickBot="1">
      <c r="A38" s="770">
        <v>1</v>
      </c>
      <c r="B38" s="771" t="str">
        <f>IFERROR(INDEX($C$10:$C$29,MATCH(A38,$R$10:$R$29,0)),"")</f>
        <v>에이리츠</v>
      </c>
      <c r="C38" s="771" t="str">
        <f>IFERROR(INDEX($K$10:$K$29,MATCH(B38,$C$10:$C$29,0)),"")</f>
        <v>자기관리</v>
      </c>
      <c r="D38" s="772">
        <f>IFERROR(INDEX($F$10:$F$29,MATCH(B38,$C$10:$C$29,0)),"")</f>
        <v>0.6196412</v>
      </c>
      <c r="E38" s="773">
        <f>IFERROR(INDEX($G$10:$G$29,MATCH(B38,$C$10:$C$29,0)),"")</f>
        <v>2.2528488651555856</v>
      </c>
      <c r="F38" s="772">
        <f>IFERROR(INDEX($I$10:$I$29,MATCH(B38,$C$10:$C$29,0)),"")</f>
        <v>0.22473387133707479</v>
      </c>
      <c r="G38" s="772">
        <f>IFERROR(INDEX($J$10:$J$29,MATCH(B38,$C$10:$C$29,0)),"")</f>
        <v>0.52136508431715956</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0.78679140000000003</v>
      </c>
      <c r="E39" s="773">
        <f t="shared" ref="E39:E49" si="8">IFERROR(INDEX($G$10:$G$29,MATCH(B39,$C$10:$C$29,0)),"")</f>
        <v>3.1809608217306673</v>
      </c>
      <c r="F39" s="772">
        <f t="shared" ref="F39:F49" si="9">IFERROR(INDEX($I$10:$I$29,MATCH(B39,$C$10:$C$29,0)),"")</f>
        <v>0.22601483025827926</v>
      </c>
      <c r="G39" s="772">
        <f t="shared" ref="G39:G49" si="10">IFERROR(INDEX($J$10:$J$29,MATCH(B39,$C$10:$C$29,0)),"")</f>
        <v>0.52433680928228021</v>
      </c>
    </row>
    <row r="40" spans="1:16" s="766" customFormat="1" ht="12.75" thickBot="1">
      <c r="A40" s="770">
        <v>3</v>
      </c>
      <c r="B40" s="771" t="str">
        <f t="shared" si="5"/>
        <v>모두투어리츠</v>
      </c>
      <c r="C40" s="771" t="str">
        <f t="shared" si="6"/>
        <v>자기관리</v>
      </c>
      <c r="D40" s="772">
        <f t="shared" si="7"/>
        <v>0.67569429999999997</v>
      </c>
      <c r="E40" s="773">
        <f t="shared" si="8"/>
        <v>1.2957406082705445</v>
      </c>
      <c r="F40" s="772">
        <f t="shared" si="9"/>
        <v>0.33605301763967954</v>
      </c>
      <c r="G40" s="772">
        <f t="shared" si="10"/>
        <v>0.77961683672488447</v>
      </c>
    </row>
    <row r="41" spans="1:16" s="766" customFormat="1" ht="12.75" thickBot="1">
      <c r="A41" s="770">
        <v>4</v>
      </c>
      <c r="B41" s="771" t="str">
        <f t="shared" si="5"/>
        <v>이리츠코크렙</v>
      </c>
      <c r="C41" s="771" t="str">
        <f t="shared" si="6"/>
        <v>기업구조조정</v>
      </c>
      <c r="D41" s="772">
        <f t="shared" si="7"/>
        <v>0.47804289999999999</v>
      </c>
      <c r="E41" s="773">
        <f t="shared" si="8"/>
        <v>1.3088104006063905</v>
      </c>
      <c r="F41" s="772">
        <f t="shared" si="9"/>
        <v>0.23655277196883512</v>
      </c>
      <c r="G41" s="772">
        <f t="shared" si="10"/>
        <v>0.54878401359449858</v>
      </c>
    </row>
    <row r="42" spans="1:16" s="766" customFormat="1" ht="12.75" thickBot="1">
      <c r="A42" s="770">
        <v>5</v>
      </c>
      <c r="B42" s="771" t="str">
        <f t="shared" si="5"/>
        <v>신한알파리츠</v>
      </c>
      <c r="C42" s="771" t="str">
        <f t="shared" si="6"/>
        <v>위탁관리</v>
      </c>
      <c r="D42" s="772">
        <f t="shared" si="7"/>
        <v>0.40883340000000001</v>
      </c>
      <c r="E42" s="773">
        <f t="shared" si="8"/>
        <v>2.5061586774706095</v>
      </c>
      <c r="F42" s="772">
        <f t="shared" si="9"/>
        <v>0.13836228461886438</v>
      </c>
      <c r="G42" s="772">
        <f t="shared" si="10"/>
        <v>0.32098972779422069</v>
      </c>
    </row>
    <row r="43" spans="1:16" s="766" customFormat="1" ht="12.75" thickBot="1">
      <c r="A43" s="770">
        <v>6</v>
      </c>
      <c r="B43" s="771" t="str">
        <f t="shared" si="5"/>
        <v>롯데리츠</v>
      </c>
      <c r="C43" s="771" t="str">
        <f t="shared" si="6"/>
        <v>위탁관리</v>
      </c>
      <c r="D43" s="772">
        <f t="shared" si="7"/>
        <v>0.47691040000000001</v>
      </c>
      <c r="E43" s="773">
        <f t="shared" si="8"/>
        <v>1.3009357530653778</v>
      </c>
      <c r="F43" s="772">
        <f t="shared" si="9"/>
        <v>0.24012293774680238</v>
      </c>
      <c r="G43" s="772">
        <f t="shared" si="10"/>
        <v>0.55706652023571734</v>
      </c>
    </row>
    <row r="44" spans="1:16" s="766" customFormat="1" ht="12.75" thickBot="1">
      <c r="A44" s="770">
        <v>7</v>
      </c>
      <c r="B44" s="771" t="str">
        <f t="shared" si="5"/>
        <v>NH프라임리츠</v>
      </c>
      <c r="C44" s="771" t="str">
        <f t="shared" si="6"/>
        <v>위탁관리</v>
      </c>
      <c r="D44" s="772">
        <f t="shared" si="7"/>
        <v>0.4482294</v>
      </c>
      <c r="E44" s="773">
        <f t="shared" si="8"/>
        <v>0</v>
      </c>
      <c r="F44" s="772">
        <f t="shared" si="9"/>
        <v>0.4482294</v>
      </c>
      <c r="G44" s="772">
        <f t="shared" si="10"/>
        <v>1.0398573100443775</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0.55630614285714297</v>
      </c>
      <c r="E50" s="776">
        <f t="shared" ref="E50:G50" si="11">AVERAGE(E38:E49)</f>
        <v>1.6922078751855965</v>
      </c>
      <c r="F50" s="776">
        <f t="shared" si="11"/>
        <v>0.26429558765279076</v>
      </c>
      <c r="G50" s="776">
        <f t="shared" si="11"/>
        <v>0.6131451859990199</v>
      </c>
    </row>
    <row r="51" spans="1:17" s="766" customFormat="1" ht="12"/>
    <row r="52" spans="1:17" s="766" customFormat="1" ht="12"/>
    <row r="53" spans="1:17" s="766" customFormat="1" ht="17.25" thickBot="1">
      <c r="B53" s="777" t="s">
        <v>880</v>
      </c>
      <c r="C53" s="778"/>
      <c r="D53" s="778"/>
      <c r="E53" s="779"/>
    </row>
    <row r="54" spans="1:17" s="766" customFormat="1" ht="17.25" thickBot="1">
      <c r="B54" s="780" t="s">
        <v>345</v>
      </c>
      <c r="C54" s="781" t="s">
        <v>346</v>
      </c>
      <c r="D54" s="781" t="s">
        <v>881</v>
      </c>
      <c r="E54" s="778"/>
      <c r="F54" s="779"/>
      <c r="I54" s="782"/>
      <c r="J54" s="782"/>
      <c r="K54" s="782"/>
      <c r="L54" s="782"/>
      <c r="M54" s="782"/>
      <c r="N54" s="782"/>
      <c r="O54" s="782"/>
      <c r="P54" s="782"/>
      <c r="Q54" s="782"/>
    </row>
    <row r="55" spans="1:17" s="766" customFormat="1" ht="24.75" thickBot="1">
      <c r="B55" s="783" t="s">
        <v>882</v>
      </c>
      <c r="C55" s="771" t="s">
        <v>358</v>
      </c>
      <c r="D55" s="784">
        <f>F30</f>
        <v>0.55630614285714297</v>
      </c>
      <c r="F55" s="785" t="s">
        <v>883</v>
      </c>
      <c r="I55" s="786"/>
      <c r="J55" s="786"/>
      <c r="K55" s="786"/>
      <c r="L55" s="786"/>
      <c r="M55" s="786"/>
      <c r="N55" s="786"/>
      <c r="O55" s="786"/>
      <c r="P55" s="786"/>
      <c r="Q55" s="786"/>
    </row>
    <row r="56" spans="1:17" s="766" customFormat="1" ht="24.75" thickBot="1">
      <c r="B56" s="783" t="s">
        <v>360</v>
      </c>
      <c r="C56" s="771" t="s">
        <v>358</v>
      </c>
      <c r="D56" s="787">
        <f>G30</f>
        <v>1.6922078751855965</v>
      </c>
      <c r="F56" s="788">
        <v>0.22</v>
      </c>
      <c r="I56" s="789"/>
      <c r="J56" s="789"/>
      <c r="K56" s="789"/>
      <c r="L56" s="789"/>
      <c r="M56" s="789"/>
      <c r="N56" s="789"/>
      <c r="O56" s="789"/>
      <c r="P56" s="789"/>
      <c r="Q56" s="789"/>
    </row>
    <row r="57" spans="1:17" s="766" customFormat="1" ht="27.75" thickBot="1">
      <c r="B57" s="790" t="s">
        <v>362</v>
      </c>
      <c r="C57" s="791" t="s">
        <v>757</v>
      </c>
      <c r="D57" s="784">
        <f>I30</f>
        <v>0.26429558765279076</v>
      </c>
      <c r="F57" s="785" t="s">
        <v>884</v>
      </c>
      <c r="I57" s="786"/>
      <c r="J57" s="786"/>
      <c r="K57" s="786"/>
      <c r="L57" s="786"/>
      <c r="M57" s="786"/>
      <c r="N57" s="786"/>
      <c r="O57" s="786"/>
      <c r="P57" s="786"/>
      <c r="Q57" s="792"/>
    </row>
    <row r="58" spans="1:17" s="766" customFormat="1" ht="26.25" thickBot="1">
      <c r="B58" s="793" t="s">
        <v>885</v>
      </c>
      <c r="C58" s="791" t="s">
        <v>886</v>
      </c>
      <c r="D58" s="808">
        <f>D57*(1+$D$56*(1-$F$56))</f>
        <v>0.61314518599901979</v>
      </c>
      <c r="F58" s="794">
        <v>3.1052469635627522E-2</v>
      </c>
      <c r="I58" s="786"/>
      <c r="J58" s="786"/>
      <c r="K58" s="786"/>
      <c r="L58" s="786"/>
      <c r="M58" s="786"/>
      <c r="N58" s="786"/>
      <c r="O58" s="786"/>
      <c r="P58" s="786"/>
      <c r="Q58" s="786"/>
    </row>
    <row r="59" spans="1:17" s="766" customFormat="1" ht="24.75" thickBot="1">
      <c r="B59" s="793" t="s">
        <v>887</v>
      </c>
      <c r="C59" s="791" t="s">
        <v>368</v>
      </c>
      <c r="D59" s="795">
        <f>F58</f>
        <v>3.1052469635627522E-2</v>
      </c>
      <c r="F59" s="785" t="s">
        <v>888</v>
      </c>
      <c r="I59" s="796"/>
      <c r="J59" s="789"/>
      <c r="K59" s="789"/>
      <c r="L59" s="789"/>
      <c r="M59" s="789"/>
      <c r="N59" s="789"/>
      <c r="O59" s="789"/>
      <c r="P59" s="789"/>
      <c r="Q59" s="789"/>
    </row>
    <row r="60" spans="1:17" s="766" customFormat="1" ht="36.75" thickBot="1">
      <c r="B60" s="793" t="s">
        <v>889</v>
      </c>
      <c r="C60" s="791" t="s">
        <v>890</v>
      </c>
      <c r="D60" s="797">
        <f>F60</f>
        <v>0.10481437246963569</v>
      </c>
      <c r="F60" s="794">
        <v>0.10481437246963569</v>
      </c>
      <c r="I60" s="796"/>
      <c r="J60" s="789"/>
      <c r="K60" s="789"/>
      <c r="L60" s="789"/>
      <c r="M60" s="789"/>
      <c r="N60" s="789"/>
      <c r="O60" s="789"/>
      <c r="P60" s="789"/>
      <c r="Q60" s="789"/>
    </row>
    <row r="61" spans="1:17" s="766" customFormat="1" ht="12.75" thickBot="1">
      <c r="B61" s="798" t="s">
        <v>891</v>
      </c>
      <c r="C61" s="799" t="s">
        <v>373</v>
      </c>
      <c r="D61" s="1038">
        <f>D59+D58*D60</f>
        <v>9.5318897538892833E-2</v>
      </c>
      <c r="E61" s="801"/>
      <c r="F61" s="801">
        <v>9.0707297519469293E-2</v>
      </c>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12" priority="3">
      <formula>$K30="O"</formula>
    </cfRule>
  </conditionalFormatting>
  <conditionalFormatting sqref="B10:P10 K22:P29 B11:H29 I11:P21">
    <cfRule type="expression" dxfId="11" priority="4">
      <formula>$P10="O"</formula>
    </cfRule>
  </conditionalFormatting>
  <conditionalFormatting sqref="I22:J30">
    <cfRule type="expression" dxfId="10" priority="2">
      <formula>$P22="O"</formula>
    </cfRule>
  </conditionalFormatting>
  <conditionalFormatting sqref="F30">
    <cfRule type="expression" dxfId="9" priority="1">
      <formula>$K30="O"</formula>
    </cfRule>
  </conditionalFormatting>
  <dataValidations count="2">
    <dataValidation type="list" allowBlank="1" showInputMessage="1" showErrorMessage="1" sqref="P22:P29">
      <formula1>$Q$1:$Q$1</formula1>
    </dataValidation>
    <dataValidation type="list" allowBlank="1" showInputMessage="1" showErrorMessage="1" sqref="P10:P21">
      <formula1>$Q$1:$Q$2</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49"/>
  <sheetViews>
    <sheetView showGridLines="0" topLeftCell="A4"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1089</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1090</v>
      </c>
    </row>
    <row r="3" spans="1:22" ht="15.75" customHeight="1" thickBot="1">
      <c r="B3" s="714" t="s">
        <v>677</v>
      </c>
      <c r="D3" s="715"/>
      <c r="K3" s="716"/>
      <c r="M3" s="717"/>
      <c r="N3" s="718"/>
      <c r="O3" s="719"/>
      <c r="P3" s="719"/>
      <c r="Q3" s="719"/>
      <c r="R3" s="719"/>
      <c r="S3" s="719"/>
      <c r="T3" s="718"/>
    </row>
    <row r="4" spans="1:22" ht="15.75" customHeight="1" thickTop="1">
      <c r="B4" s="1787" t="s">
        <v>678</v>
      </c>
      <c r="M4" s="717"/>
      <c r="N4" s="718"/>
      <c r="O4" s="718"/>
      <c r="P4" s="718"/>
      <c r="Q4" s="718"/>
      <c r="R4" s="718"/>
      <c r="S4" s="718"/>
      <c r="T4" s="718"/>
      <c r="U4" s="717"/>
    </row>
    <row r="5" spans="1:22" ht="15.75" customHeight="1" thickBot="1">
      <c r="B5" s="1788" t="s">
        <v>1091</v>
      </c>
      <c r="M5" s="717"/>
      <c r="N5" s="718" t="s">
        <v>1138</v>
      </c>
      <c r="O5" s="718"/>
      <c r="P5" s="718"/>
      <c r="Q5" s="718"/>
      <c r="R5" s="718"/>
      <c r="S5" s="718"/>
      <c r="T5" s="718"/>
      <c r="U5" s="717"/>
    </row>
    <row r="6" spans="1:22" ht="15.75" customHeight="1" thickBot="1">
      <c r="L6" s="722" t="s">
        <v>1092</v>
      </c>
      <c r="M6" s="723">
        <v>45016</v>
      </c>
      <c r="P6" s="718"/>
      <c r="Q6" s="718"/>
      <c r="R6" s="718"/>
      <c r="S6" s="718"/>
      <c r="T6" s="718"/>
    </row>
    <row r="7" spans="1:22" ht="15.75" customHeight="1" thickBot="1">
      <c r="I7" s="724" t="s">
        <v>680</v>
      </c>
      <c r="J7" s="725">
        <f>D64</f>
        <v>0.20899999999999999</v>
      </c>
      <c r="L7" s="726" t="s">
        <v>1093</v>
      </c>
      <c r="M7" s="727">
        <v>44994</v>
      </c>
      <c r="P7" s="728"/>
      <c r="Q7" s="728"/>
      <c r="R7" s="718"/>
      <c r="S7" s="718"/>
      <c r="T7" s="718"/>
    </row>
    <row r="8" spans="1:22" ht="15.75" customHeight="1" thickBot="1">
      <c r="F8" s="729"/>
      <c r="G8" s="729"/>
      <c r="H8" s="729"/>
      <c r="I8" s="729"/>
      <c r="J8" s="729"/>
      <c r="M8" s="718"/>
      <c r="N8" s="718"/>
      <c r="O8" s="728"/>
      <c r="P8" s="730" t="s">
        <v>1094</v>
      </c>
      <c r="Q8" s="728"/>
      <c r="V8" s="718"/>
    </row>
    <row r="9" spans="1:22" ht="15.75" customHeight="1" thickTop="1" thickBot="1">
      <c r="B9" s="731" t="s">
        <v>254</v>
      </c>
      <c r="C9" s="731" t="s">
        <v>255</v>
      </c>
      <c r="D9" s="731" t="s">
        <v>257</v>
      </c>
      <c r="E9" s="731" t="s">
        <v>258</v>
      </c>
      <c r="F9" s="731" t="s">
        <v>1095</v>
      </c>
      <c r="G9" s="731" t="s">
        <v>684</v>
      </c>
      <c r="H9" s="731" t="s">
        <v>1096</v>
      </c>
      <c r="I9" s="731" t="s">
        <v>262</v>
      </c>
      <c r="J9" s="731" t="s">
        <v>1097</v>
      </c>
      <c r="K9" s="731" t="s">
        <v>687</v>
      </c>
      <c r="L9" s="731" t="s">
        <v>688</v>
      </c>
      <c r="M9" s="731" t="s">
        <v>689</v>
      </c>
      <c r="N9" s="731" t="s">
        <v>690</v>
      </c>
      <c r="O9" s="731" t="s">
        <v>264</v>
      </c>
      <c r="P9" s="731" t="s">
        <v>265</v>
      </c>
      <c r="V9" s="718"/>
    </row>
    <row r="10" spans="1:22" ht="24.75" thickBot="1">
      <c r="A10" s="732"/>
      <c r="B10" s="733">
        <v>1</v>
      </c>
      <c r="C10" s="734" t="s">
        <v>273</v>
      </c>
      <c r="D10" s="734" t="s">
        <v>275</v>
      </c>
      <c r="E10" s="735">
        <v>40738</v>
      </c>
      <c r="F10" s="736">
        <v>0.78020469999999997</v>
      </c>
      <c r="G10" s="737">
        <v>2.2671661388271973</v>
      </c>
      <c r="H10" s="738">
        <v>0.20900000000000002</v>
      </c>
      <c r="I10" s="739">
        <f>F10/(1+G10*(1-H10))</f>
        <v>0.27931005018366695</v>
      </c>
      <c r="J10" s="739">
        <f t="shared" ref="J10:J29" si="0">I10*(1+$G$30*(1-$J$7))</f>
        <v>0.65855920413392355</v>
      </c>
      <c r="K10" s="740" t="s">
        <v>1098</v>
      </c>
      <c r="L10" s="740" t="s">
        <v>693</v>
      </c>
      <c r="M10" s="740" t="s">
        <v>694</v>
      </c>
      <c r="N10" s="740" t="s">
        <v>695</v>
      </c>
      <c r="O10" s="740">
        <f t="shared" ref="O10:O29" si="1">YEARFRAC(E10,EOMONTH($M$6,-2),1)</f>
        <v>11.551600673967986</v>
      </c>
      <c r="P10" s="740" t="s">
        <v>670</v>
      </c>
      <c r="Q10" s="712">
        <f>IF(P10="O",1,0)</f>
        <v>1</v>
      </c>
      <c r="R10" s="712">
        <f>Q10</f>
        <v>1</v>
      </c>
      <c r="V10" s="718"/>
    </row>
    <row r="11" spans="1:22" ht="24.75" thickBot="1">
      <c r="A11" s="732"/>
      <c r="B11" s="733">
        <v>2</v>
      </c>
      <c r="C11" s="734" t="s">
        <v>278</v>
      </c>
      <c r="D11" s="734" t="s">
        <v>280</v>
      </c>
      <c r="E11" s="735">
        <v>40939</v>
      </c>
      <c r="F11" s="736">
        <v>1.0056590000000001</v>
      </c>
      <c r="G11" s="737">
        <v>3.120942693018768</v>
      </c>
      <c r="H11" s="738">
        <v>0.20900000000000002</v>
      </c>
      <c r="I11" s="739">
        <f t="shared" ref="I11:I29" si="2">F11/(1+G11*(1-H11))</f>
        <v>0.28992676020818053</v>
      </c>
      <c r="J11" s="739">
        <f t="shared" si="0"/>
        <v>0.68359135782716429</v>
      </c>
      <c r="K11" s="740" t="s">
        <v>1098</v>
      </c>
      <c r="L11" s="740" t="s">
        <v>696</v>
      </c>
      <c r="M11" s="740" t="s">
        <v>697</v>
      </c>
      <c r="N11" s="740" t="s">
        <v>698</v>
      </c>
      <c r="O11" s="740">
        <f t="shared" si="1"/>
        <v>11.000684462696784</v>
      </c>
      <c r="P11" s="740" t="s">
        <v>670</v>
      </c>
      <c r="Q11" s="712">
        <f t="shared" ref="Q11:Q29" si="3">IF(P11="O",1,0)</f>
        <v>1</v>
      </c>
      <c r="R11" s="712">
        <f>R10+Q11</f>
        <v>2</v>
      </c>
      <c r="V11" s="718"/>
    </row>
    <row r="12" spans="1:22" ht="12.75" thickBot="1">
      <c r="A12" s="732"/>
      <c r="B12" s="733">
        <v>3</v>
      </c>
      <c r="C12" s="734" t="s">
        <v>283</v>
      </c>
      <c r="D12" s="734" t="s">
        <v>285</v>
      </c>
      <c r="E12" s="735">
        <v>42635</v>
      </c>
      <c r="F12" s="736">
        <v>0.79244499999999995</v>
      </c>
      <c r="G12" s="737">
        <v>1.6089636455672085</v>
      </c>
      <c r="H12" s="738">
        <v>0.20900000000000002</v>
      </c>
      <c r="I12" s="739">
        <f t="shared" si="2"/>
        <v>0.34868148099651392</v>
      </c>
      <c r="J12" s="739">
        <f t="shared" si="0"/>
        <v>0.82212365244395991</v>
      </c>
      <c r="K12" s="740" t="s">
        <v>272</v>
      </c>
      <c r="L12" s="740" t="s">
        <v>696</v>
      </c>
      <c r="M12" s="740" t="s">
        <v>700</v>
      </c>
      <c r="N12" s="740" t="s">
        <v>1099</v>
      </c>
      <c r="O12" s="740">
        <f t="shared" si="1"/>
        <v>6.3572895277207389</v>
      </c>
      <c r="P12" s="740" t="s">
        <v>670</v>
      </c>
      <c r="Q12" s="712">
        <f t="shared" si="3"/>
        <v>1</v>
      </c>
      <c r="R12" s="712">
        <f t="shared" ref="R12:R29" si="4">R11+Q12</f>
        <v>3</v>
      </c>
      <c r="V12" s="741"/>
    </row>
    <row r="13" spans="1:22" ht="24.75" thickBot="1">
      <c r="A13" s="732"/>
      <c r="B13" s="733">
        <v>4</v>
      </c>
      <c r="C13" s="734" t="s">
        <v>287</v>
      </c>
      <c r="D13" s="734" t="s">
        <v>289</v>
      </c>
      <c r="E13" s="735">
        <v>43278</v>
      </c>
      <c r="F13" s="736">
        <v>0.60944980000000004</v>
      </c>
      <c r="G13" s="737">
        <v>1.2708196538239649</v>
      </c>
      <c r="H13" s="738">
        <v>0.20900000000000002</v>
      </c>
      <c r="I13" s="739">
        <f t="shared" si="2"/>
        <v>0.30393188909457847</v>
      </c>
      <c r="J13" s="739">
        <f t="shared" si="0"/>
        <v>0.716612749385235</v>
      </c>
      <c r="K13" s="740" t="s">
        <v>702</v>
      </c>
      <c r="L13" s="740" t="s">
        <v>703</v>
      </c>
      <c r="M13" s="740" t="s">
        <v>704</v>
      </c>
      <c r="N13" s="740" t="s">
        <v>1100</v>
      </c>
      <c r="O13" s="740">
        <f t="shared" si="1"/>
        <v>4.5979005020538564</v>
      </c>
      <c r="P13" s="740" t="s">
        <v>670</v>
      </c>
      <c r="Q13" s="712">
        <f t="shared" si="3"/>
        <v>1</v>
      </c>
      <c r="R13" s="712">
        <f t="shared" si="4"/>
        <v>4</v>
      </c>
      <c r="V13" s="741"/>
    </row>
    <row r="14" spans="1:22" ht="36.75" thickBot="1">
      <c r="A14" s="732"/>
      <c r="B14" s="733">
        <v>5</v>
      </c>
      <c r="C14" s="734" t="s">
        <v>292</v>
      </c>
      <c r="D14" s="734" t="s">
        <v>294</v>
      </c>
      <c r="E14" s="735">
        <v>43320</v>
      </c>
      <c r="F14" s="736">
        <v>0.49491479999999999</v>
      </c>
      <c r="G14" s="737">
        <v>2.6031736591117016</v>
      </c>
      <c r="H14" s="738">
        <v>0.20900000000000002</v>
      </c>
      <c r="I14" s="739">
        <f t="shared" si="2"/>
        <v>0.16178389827526521</v>
      </c>
      <c r="J14" s="739">
        <f t="shared" si="0"/>
        <v>0.38145521516243902</v>
      </c>
      <c r="K14" s="740" t="s">
        <v>706</v>
      </c>
      <c r="L14" s="740" t="s">
        <v>703</v>
      </c>
      <c r="M14" s="740" t="s">
        <v>708</v>
      </c>
      <c r="N14" s="740" t="s">
        <v>1101</v>
      </c>
      <c r="O14" s="740">
        <f t="shared" si="1"/>
        <v>4.4828845276129616</v>
      </c>
      <c r="P14" s="740" t="s">
        <v>670</v>
      </c>
      <c r="Q14" s="712">
        <f t="shared" si="3"/>
        <v>1</v>
      </c>
      <c r="R14" s="712">
        <f t="shared" si="4"/>
        <v>5</v>
      </c>
      <c r="V14" s="741"/>
    </row>
    <row r="15" spans="1:22" ht="12.75" thickBot="1">
      <c r="A15" s="732"/>
      <c r="B15" s="733">
        <v>6</v>
      </c>
      <c r="C15" s="734" t="s">
        <v>296</v>
      </c>
      <c r="D15" s="734" t="s">
        <v>298</v>
      </c>
      <c r="E15" s="735">
        <v>43768</v>
      </c>
      <c r="F15" s="736">
        <v>0.52657730000000003</v>
      </c>
      <c r="G15" s="737">
        <v>1.1449257605913254</v>
      </c>
      <c r="H15" s="738">
        <v>0.23100000000000001</v>
      </c>
      <c r="I15" s="739">
        <f t="shared" si="2"/>
        <v>0.28002759195253579</v>
      </c>
      <c r="J15" s="739">
        <f t="shared" si="0"/>
        <v>0.66025102917182821</v>
      </c>
      <c r="K15" s="740" t="s">
        <v>706</v>
      </c>
      <c r="L15" s="740" t="s">
        <v>696</v>
      </c>
      <c r="M15" s="740" t="s">
        <v>704</v>
      </c>
      <c r="N15" s="740" t="s">
        <v>710</v>
      </c>
      <c r="O15" s="740">
        <f t="shared" si="1"/>
        <v>3.2557502738225632</v>
      </c>
      <c r="P15" s="740" t="s">
        <v>670</v>
      </c>
      <c r="Q15" s="712">
        <f t="shared" si="3"/>
        <v>1</v>
      </c>
      <c r="R15" s="712">
        <f t="shared" si="4"/>
        <v>6</v>
      </c>
      <c r="V15" s="741"/>
    </row>
    <row r="16" spans="1:22" ht="36.75" thickBot="1">
      <c r="A16" s="732"/>
      <c r="B16" s="733">
        <v>7</v>
      </c>
      <c r="C16" s="734" t="s">
        <v>300</v>
      </c>
      <c r="D16" s="734" t="s">
        <v>302</v>
      </c>
      <c r="E16" s="735">
        <v>43804</v>
      </c>
      <c r="F16" s="736">
        <v>0.57458390000000004</v>
      </c>
      <c r="G16" s="737">
        <v>0</v>
      </c>
      <c r="H16" s="738">
        <v>0.20900000000000002</v>
      </c>
      <c r="I16" s="739">
        <f t="shared" si="2"/>
        <v>0.57458390000000004</v>
      </c>
      <c r="J16" s="739">
        <f t="shared" si="0"/>
        <v>1.3547579675108063</v>
      </c>
      <c r="K16" s="740" t="s">
        <v>706</v>
      </c>
      <c r="L16" s="740" t="s">
        <v>711</v>
      </c>
      <c r="M16" s="740" t="s">
        <v>708</v>
      </c>
      <c r="N16" s="740" t="s">
        <v>1102</v>
      </c>
      <c r="O16" s="740">
        <f t="shared" si="1"/>
        <v>3.1571741511500551</v>
      </c>
      <c r="P16" s="740" t="s">
        <v>670</v>
      </c>
      <c r="Q16" s="712">
        <f t="shared" si="3"/>
        <v>1</v>
      </c>
      <c r="R16" s="712">
        <f t="shared" si="4"/>
        <v>7</v>
      </c>
      <c r="V16" s="741"/>
    </row>
    <row r="17" spans="1:22" ht="24.75" thickBot="1">
      <c r="A17" s="732"/>
      <c r="B17" s="733">
        <v>8</v>
      </c>
      <c r="C17" s="733" t="s">
        <v>713</v>
      </c>
      <c r="D17" s="733" t="s">
        <v>1103</v>
      </c>
      <c r="E17" s="742">
        <v>44028</v>
      </c>
      <c r="F17" s="736">
        <v>0.64019329999999997</v>
      </c>
      <c r="G17" s="737">
        <v>0.19792246478980999</v>
      </c>
      <c r="H17" s="738" t="e">
        <v>#VALUE!</v>
      </c>
      <c r="I17" s="739" t="e">
        <f t="shared" si="2"/>
        <v>#VALUE!</v>
      </c>
      <c r="J17" s="739" t="e">
        <f t="shared" si="0"/>
        <v>#VALUE!</v>
      </c>
      <c r="K17" s="740" t="s">
        <v>706</v>
      </c>
      <c r="L17" s="740" t="s">
        <v>1104</v>
      </c>
      <c r="M17" s="740" t="s">
        <v>1105</v>
      </c>
      <c r="N17" s="740" t="s">
        <v>717</v>
      </c>
      <c r="O17" s="740">
        <f t="shared" si="1"/>
        <v>2.5434633812457221</v>
      </c>
      <c r="P17" s="740" t="s">
        <v>671</v>
      </c>
      <c r="Q17" s="712">
        <f t="shared" si="3"/>
        <v>0</v>
      </c>
      <c r="R17" s="712">
        <f t="shared" si="4"/>
        <v>7</v>
      </c>
      <c r="V17" s="711"/>
    </row>
    <row r="18" spans="1:22" ht="24.75" thickBot="1">
      <c r="A18" s="732"/>
      <c r="B18" s="733">
        <v>9</v>
      </c>
      <c r="C18" s="733" t="s">
        <v>307</v>
      </c>
      <c r="D18" s="733" t="s">
        <v>309</v>
      </c>
      <c r="E18" s="742">
        <v>44048</v>
      </c>
      <c r="F18" s="736">
        <v>0.65599390000000002</v>
      </c>
      <c r="G18" s="737">
        <v>1.9940022378069493</v>
      </c>
      <c r="H18" s="738">
        <v>0.20900000000000002</v>
      </c>
      <c r="I18" s="739">
        <f t="shared" si="2"/>
        <v>0.25453193571594895</v>
      </c>
      <c r="J18" s="739">
        <f t="shared" si="0"/>
        <v>0.60013719127377252</v>
      </c>
      <c r="K18" s="740" t="s">
        <v>706</v>
      </c>
      <c r="L18" s="740" t="s">
        <v>696</v>
      </c>
      <c r="M18" s="740" t="s">
        <v>704</v>
      </c>
      <c r="N18" s="740" t="s">
        <v>718</v>
      </c>
      <c r="O18" s="740">
        <f t="shared" si="1"/>
        <v>2.4887063655030799</v>
      </c>
      <c r="P18" s="740" t="s">
        <v>671</v>
      </c>
      <c r="Q18" s="712">
        <f t="shared" si="3"/>
        <v>0</v>
      </c>
      <c r="R18" s="712">
        <f t="shared" si="4"/>
        <v>7</v>
      </c>
      <c r="S18" s="717"/>
    </row>
    <row r="19" spans="1:22" ht="36.75" thickBot="1">
      <c r="A19" s="732"/>
      <c r="B19" s="733">
        <v>10</v>
      </c>
      <c r="C19" s="733" t="s">
        <v>310</v>
      </c>
      <c r="D19" s="733" t="s">
        <v>1106</v>
      </c>
      <c r="E19" s="742">
        <v>44048</v>
      </c>
      <c r="F19" s="736">
        <v>0.64341839999999995</v>
      </c>
      <c r="G19" s="737">
        <v>0.51357407913252406</v>
      </c>
      <c r="H19" s="738">
        <v>0.20900000000000002</v>
      </c>
      <c r="I19" s="739">
        <f t="shared" si="2"/>
        <v>0.457546171665135</v>
      </c>
      <c r="J19" s="739">
        <f t="shared" si="0"/>
        <v>1.0788055870820759</v>
      </c>
      <c r="K19" s="740" t="s">
        <v>706</v>
      </c>
      <c r="L19" s="740" t="s">
        <v>715</v>
      </c>
      <c r="M19" s="740" t="s">
        <v>721</v>
      </c>
      <c r="N19" s="740" t="s">
        <v>722</v>
      </c>
      <c r="O19" s="740">
        <f t="shared" si="1"/>
        <v>2.4887063655030799</v>
      </c>
      <c r="P19" s="740" t="s">
        <v>671</v>
      </c>
      <c r="Q19" s="712">
        <f t="shared" si="3"/>
        <v>0</v>
      </c>
      <c r="R19" s="712">
        <f t="shared" si="4"/>
        <v>7</v>
      </c>
    </row>
    <row r="20" spans="1:22" ht="48.75" thickBot="1">
      <c r="A20" s="732"/>
      <c r="B20" s="733">
        <v>11</v>
      </c>
      <c r="C20" s="733" t="s">
        <v>313</v>
      </c>
      <c r="D20" s="733" t="s">
        <v>1107</v>
      </c>
      <c r="E20" s="742">
        <v>44050</v>
      </c>
      <c r="F20" s="736">
        <v>0.6088192</v>
      </c>
      <c r="G20" s="737">
        <v>1.3133572322833209</v>
      </c>
      <c r="H20" s="738">
        <v>0.23100000000000001</v>
      </c>
      <c r="I20" s="739">
        <f t="shared" si="2"/>
        <v>0.30289938732895089</v>
      </c>
      <c r="J20" s="739">
        <f t="shared" si="0"/>
        <v>0.71417830944799876</v>
      </c>
      <c r="K20" s="740" t="s">
        <v>706</v>
      </c>
      <c r="L20" s="740" t="s">
        <v>1108</v>
      </c>
      <c r="M20" s="740" t="s">
        <v>708</v>
      </c>
      <c r="N20" s="740" t="s">
        <v>724</v>
      </c>
      <c r="O20" s="740">
        <f t="shared" si="1"/>
        <v>2.4832306639288158</v>
      </c>
      <c r="P20" s="740" t="s">
        <v>671</v>
      </c>
      <c r="Q20" s="712">
        <f t="shared" si="3"/>
        <v>0</v>
      </c>
      <c r="R20" s="712">
        <f t="shared" si="4"/>
        <v>7</v>
      </c>
    </row>
    <row r="21" spans="1:22" ht="24.75" thickBot="1">
      <c r="A21" s="732"/>
      <c r="B21" s="733">
        <v>12</v>
      </c>
      <c r="C21" s="733" t="s">
        <v>316</v>
      </c>
      <c r="D21" s="733" t="s">
        <v>1109</v>
      </c>
      <c r="E21" s="742">
        <v>44074</v>
      </c>
      <c r="F21" s="736">
        <v>0.67875750000000001</v>
      </c>
      <c r="G21" s="737">
        <v>1.5343311050013779</v>
      </c>
      <c r="H21" s="738">
        <v>0.23100000000000001</v>
      </c>
      <c r="I21" s="739">
        <f t="shared" si="2"/>
        <v>0.31137084592373282</v>
      </c>
      <c r="J21" s="739">
        <f t="shared" si="0"/>
        <v>0.73415237420637214</v>
      </c>
      <c r="K21" s="740" t="s">
        <v>706</v>
      </c>
      <c r="L21" s="740" t="s">
        <v>696</v>
      </c>
      <c r="M21" s="740" t="s">
        <v>725</v>
      </c>
      <c r="N21" s="740" t="s">
        <v>1110</v>
      </c>
      <c r="O21" s="740">
        <f t="shared" si="1"/>
        <v>2.4175222450376452</v>
      </c>
      <c r="P21" s="740" t="s">
        <v>671</v>
      </c>
      <c r="Q21" s="712">
        <f t="shared" si="3"/>
        <v>0</v>
      </c>
      <c r="R21" s="712">
        <f t="shared" si="4"/>
        <v>7</v>
      </c>
    </row>
    <row r="22" spans="1:22" ht="12.75" thickBot="1">
      <c r="A22" s="732"/>
      <c r="B22" s="733">
        <v>13</v>
      </c>
      <c r="C22" s="733" t="s">
        <v>727</v>
      </c>
      <c r="D22" s="733" t="s">
        <v>321</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2.1054072553045859</v>
      </c>
      <c r="P22" s="740" t="s">
        <v>671</v>
      </c>
      <c r="Q22" s="712">
        <f t="shared" si="3"/>
        <v>0</v>
      </c>
      <c r="R22" s="712">
        <f t="shared" si="4"/>
        <v>7</v>
      </c>
    </row>
    <row r="23" spans="1:22" ht="15.75" customHeight="1" thickBot="1">
      <c r="A23" s="732"/>
      <c r="B23" s="733">
        <v>14</v>
      </c>
      <c r="C23" s="733" t="s">
        <v>322</v>
      </c>
      <c r="D23" s="733" t="s">
        <v>324</v>
      </c>
      <c r="E23" s="744">
        <v>44435</v>
      </c>
      <c r="F23" s="736">
        <v>0.65114139999999998</v>
      </c>
      <c r="G23" s="737">
        <v>0</v>
      </c>
      <c r="H23" s="738">
        <v>9.9000000000000019E-2</v>
      </c>
      <c r="I23" s="739">
        <f t="shared" si="2"/>
        <v>0.65114139999999998</v>
      </c>
      <c r="J23" s="739">
        <f t="shared" si="0"/>
        <v>1.5352657803780108</v>
      </c>
      <c r="K23" s="740"/>
      <c r="L23" s="740"/>
      <c r="M23" s="740"/>
      <c r="N23" s="740"/>
      <c r="O23" s="740">
        <f t="shared" si="1"/>
        <v>1.4301369863013698</v>
      </c>
      <c r="P23" s="740" t="s">
        <v>671</v>
      </c>
      <c r="Q23" s="712">
        <f t="shared" si="3"/>
        <v>0</v>
      </c>
      <c r="R23" s="712">
        <f t="shared" si="4"/>
        <v>7</v>
      </c>
    </row>
    <row r="24" spans="1:22" ht="15.75" customHeight="1" thickBot="1">
      <c r="A24" s="732"/>
      <c r="B24" s="733">
        <v>15</v>
      </c>
      <c r="C24" s="733" t="s">
        <v>1111</v>
      </c>
      <c r="D24" s="733" t="s">
        <v>327</v>
      </c>
      <c r="E24" s="744">
        <v>44453</v>
      </c>
      <c r="F24" s="736">
        <v>0.54174690000000003</v>
      </c>
      <c r="G24" s="737">
        <v>0</v>
      </c>
      <c r="H24" s="738" t="e">
        <v>#VALUE!</v>
      </c>
      <c r="I24" s="739" t="e">
        <f t="shared" si="2"/>
        <v>#VALUE!</v>
      </c>
      <c r="J24" s="739" t="e">
        <f t="shared" si="0"/>
        <v>#VALUE!</v>
      </c>
      <c r="K24" s="740"/>
      <c r="L24" s="740"/>
      <c r="M24" s="740"/>
      <c r="N24" s="740"/>
      <c r="O24" s="740">
        <f t="shared" si="1"/>
        <v>1.3808219178082193</v>
      </c>
      <c r="P24" s="740" t="s">
        <v>671</v>
      </c>
      <c r="Q24" s="712">
        <f t="shared" si="3"/>
        <v>0</v>
      </c>
      <c r="R24" s="712">
        <f t="shared" si="4"/>
        <v>7</v>
      </c>
    </row>
    <row r="25" spans="1:22" ht="15.75" customHeight="1" thickBot="1">
      <c r="A25" s="732"/>
      <c r="B25" s="733">
        <v>16</v>
      </c>
      <c r="C25" s="733" t="s">
        <v>735</v>
      </c>
      <c r="D25" s="733" t="s">
        <v>330</v>
      </c>
      <c r="E25" s="744">
        <v>44518</v>
      </c>
      <c r="F25" s="736">
        <v>0.59811340000000002</v>
      </c>
      <c r="G25" s="737">
        <v>0</v>
      </c>
      <c r="H25" s="738">
        <v>0.20900000000000002</v>
      </c>
      <c r="I25" s="739">
        <f t="shared" si="2"/>
        <v>0.59811340000000002</v>
      </c>
      <c r="J25" s="739">
        <f t="shared" si="0"/>
        <v>1.4102359883821629</v>
      </c>
      <c r="K25" s="740"/>
      <c r="L25" s="740"/>
      <c r="M25" s="740"/>
      <c r="N25" s="740"/>
      <c r="O25" s="740">
        <f t="shared" si="1"/>
        <v>1.2027397260273973</v>
      </c>
      <c r="P25" s="740" t="s">
        <v>671</v>
      </c>
      <c r="Q25" s="712">
        <f t="shared" si="3"/>
        <v>0</v>
      </c>
      <c r="R25" s="712">
        <f t="shared" si="4"/>
        <v>7</v>
      </c>
    </row>
    <row r="26" spans="1:22" ht="15.75" customHeight="1" thickBot="1">
      <c r="A26" s="732"/>
      <c r="B26" s="733">
        <v>17</v>
      </c>
      <c r="C26" s="733" t="s">
        <v>1112</v>
      </c>
      <c r="D26" s="733" t="s">
        <v>1113</v>
      </c>
      <c r="E26" s="744">
        <v>44533</v>
      </c>
      <c r="F26" s="736">
        <v>0.65775609999999995</v>
      </c>
      <c r="G26" s="737">
        <v>0</v>
      </c>
      <c r="H26" s="738">
        <v>9.9000000000000019E-2</v>
      </c>
      <c r="I26" s="739">
        <f t="shared" si="2"/>
        <v>0.65775609999999995</v>
      </c>
      <c r="J26" s="739">
        <f t="shared" si="0"/>
        <v>1.5508619666402672</v>
      </c>
      <c r="K26" s="740"/>
      <c r="L26" s="740"/>
      <c r="M26" s="740"/>
      <c r="N26" s="740"/>
      <c r="O26" s="740">
        <f t="shared" si="1"/>
        <v>1.1616438356164382</v>
      </c>
      <c r="P26" s="740" t="s">
        <v>671</v>
      </c>
      <c r="Q26" s="712">
        <f t="shared" si="3"/>
        <v>0</v>
      </c>
      <c r="R26" s="712">
        <f t="shared" si="4"/>
        <v>7</v>
      </c>
    </row>
    <row r="27" spans="1:22" ht="15.75" customHeight="1" thickBot="1">
      <c r="A27" s="732"/>
      <c r="B27" s="733">
        <v>18</v>
      </c>
      <c r="C27" s="733" t="s">
        <v>334</v>
      </c>
      <c r="D27" s="733" t="s">
        <v>336</v>
      </c>
      <c r="E27" s="744">
        <v>44540</v>
      </c>
      <c r="F27" s="736">
        <v>0.73447430000000002</v>
      </c>
      <c r="G27" s="737">
        <v>0</v>
      </c>
      <c r="H27" s="738">
        <v>9.9000000000000019E-2</v>
      </c>
      <c r="I27" s="739">
        <f t="shared" si="2"/>
        <v>0.73447430000000002</v>
      </c>
      <c r="J27" s="739">
        <f t="shared" si="0"/>
        <v>1.7317486790996446</v>
      </c>
      <c r="K27" s="740"/>
      <c r="L27" s="740"/>
      <c r="M27" s="740"/>
      <c r="N27" s="740"/>
      <c r="O27" s="740">
        <f t="shared" si="1"/>
        <v>1.1424657534246576</v>
      </c>
      <c r="P27" s="740" t="s">
        <v>671</v>
      </c>
      <c r="Q27" s="712">
        <f t="shared" si="3"/>
        <v>0</v>
      </c>
      <c r="R27" s="712">
        <f t="shared" si="4"/>
        <v>7</v>
      </c>
    </row>
    <row r="28" spans="1:22" ht="15.75" customHeight="1" thickBot="1">
      <c r="A28" s="732"/>
      <c r="B28" s="733">
        <v>19</v>
      </c>
      <c r="C28" s="733" t="s">
        <v>1114</v>
      </c>
      <c r="D28" s="733" t="s">
        <v>339</v>
      </c>
      <c r="E28" s="744">
        <v>44648</v>
      </c>
      <c r="F28" s="736">
        <v>0.95966220000000002</v>
      </c>
      <c r="G28" s="737">
        <v>0</v>
      </c>
      <c r="H28" s="738" t="e">
        <v>#VALUE!</v>
      </c>
      <c r="I28" s="739" t="e">
        <f t="shared" si="2"/>
        <v>#VALUE!</v>
      </c>
      <c r="J28" s="739" t="e">
        <f t="shared" si="0"/>
        <v>#VALUE!</v>
      </c>
      <c r="K28" s="740"/>
      <c r="L28" s="740"/>
      <c r="M28" s="740"/>
      <c r="N28" s="740"/>
      <c r="O28" s="740">
        <f t="shared" si="1"/>
        <v>0.84657534246575339</v>
      </c>
      <c r="P28" s="740" t="s">
        <v>671</v>
      </c>
      <c r="Q28" s="712">
        <f t="shared" si="3"/>
        <v>0</v>
      </c>
      <c r="R28" s="712">
        <f t="shared" si="4"/>
        <v>7</v>
      </c>
    </row>
    <row r="29" spans="1:22" ht="15.75" customHeight="1" thickBot="1">
      <c r="A29" s="732"/>
      <c r="B29" s="733">
        <v>20</v>
      </c>
      <c r="C29" s="733" t="s">
        <v>1115</v>
      </c>
      <c r="D29" s="733" t="s">
        <v>1116</v>
      </c>
      <c r="E29" s="744">
        <v>44712</v>
      </c>
      <c r="F29" s="736">
        <v>0.71068319999999996</v>
      </c>
      <c r="G29" s="737">
        <v>0</v>
      </c>
      <c r="H29" s="738">
        <v>9.9000000000000019E-2</v>
      </c>
      <c r="I29" s="747">
        <f t="shared" si="2"/>
        <v>0.71068319999999996</v>
      </c>
      <c r="J29" s="747">
        <f t="shared" si="0"/>
        <v>1.6756538559052487</v>
      </c>
      <c r="K29" s="740"/>
      <c r="L29" s="740"/>
      <c r="M29" s="740"/>
      <c r="N29" s="740"/>
      <c r="O29" s="740">
        <f t="shared" si="1"/>
        <v>0.67123287671232879</v>
      </c>
      <c r="P29" s="740" t="s">
        <v>671</v>
      </c>
      <c r="Q29" s="712">
        <f t="shared" si="3"/>
        <v>0</v>
      </c>
      <c r="R29" s="712">
        <f t="shared" si="4"/>
        <v>7</v>
      </c>
    </row>
    <row r="30" spans="1:22" ht="15.75" customHeight="1" thickBot="1">
      <c r="A30" s="748"/>
      <c r="B30" s="749" t="s">
        <v>1117</v>
      </c>
      <c r="C30" s="750"/>
      <c r="D30" s="750"/>
      <c r="E30" s="751"/>
      <c r="F30" s="752">
        <f>AVERAGEIF($P$10:$P$29,"O",F10:F29)</f>
        <v>0.68340492857142876</v>
      </c>
      <c r="G30" s="753">
        <f>AVERAGEIF($P$10:$P$29,"O",G10:G29)</f>
        <v>1.7165702215628809</v>
      </c>
      <c r="H30" s="754"/>
      <c r="I30" s="755">
        <f>AVERAGEIF($P$10:$P$29,"O",I10:I29)</f>
        <v>0.31974936724439157</v>
      </c>
      <c r="J30" s="755">
        <f>AVERAGEIF($P$10:$P$29,"O",J10:J29)</f>
        <v>0.75390731080505091</v>
      </c>
      <c r="K30" s="756"/>
      <c r="N30" s="757"/>
      <c r="O30" s="757"/>
      <c r="P30" s="757"/>
    </row>
    <row r="31" spans="1:22" ht="15.75" customHeight="1">
      <c r="A31" s="748"/>
      <c r="B31" s="1034" t="s">
        <v>1118</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1119</v>
      </c>
    </row>
    <row r="37" spans="1:16" s="766" customFormat="1" ht="12.75" thickBot="1">
      <c r="B37" s="768" t="s">
        <v>266</v>
      </c>
      <c r="C37" s="768" t="s">
        <v>267</v>
      </c>
      <c r="D37" s="768" t="s">
        <v>1120</v>
      </c>
      <c r="E37" s="768" t="s">
        <v>1121</v>
      </c>
      <c r="F37" s="768" t="s">
        <v>1122</v>
      </c>
      <c r="G37" s="769" t="s">
        <v>1097</v>
      </c>
    </row>
    <row r="38" spans="1:16" s="766" customFormat="1" ht="12.75" thickBot="1">
      <c r="A38" s="770">
        <v>1</v>
      </c>
      <c r="B38" s="771" t="str">
        <f>IFERROR(INDEX($C$10:$C$29,MATCH(A38,$R$10:$R$29,0)),"")</f>
        <v>에이리츠</v>
      </c>
      <c r="C38" s="771" t="str">
        <f>IFERROR(INDEX($K$10:$K$29,MATCH(B38,$C$10:$C$29,0)),"")</f>
        <v>자기관리</v>
      </c>
      <c r="D38" s="772">
        <f>IFERROR(INDEX($F$10:$F$29,MATCH(B38,$C$10:$C$29,0)),"")</f>
        <v>0.78020469999999997</v>
      </c>
      <c r="E38" s="773">
        <f>IFERROR(INDEX($G$10:$G$29,MATCH(B38,$C$10:$C$29,0)),"")</f>
        <v>2.2671661388271973</v>
      </c>
      <c r="F38" s="772">
        <f>IFERROR(INDEX($I$10:$I$29,MATCH(B38,$C$10:$C$29,0)),"")</f>
        <v>0.27931005018366695</v>
      </c>
      <c r="G38" s="772">
        <f>IFERROR(INDEX($J$10:$J$29,MATCH(B38,$C$10:$C$29,0)),"")</f>
        <v>0.65855920413392355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1.0056590000000001</v>
      </c>
      <c r="E39" s="773">
        <f t="shared" ref="E39:E49" si="8">IFERROR(INDEX($G$10:$G$29,MATCH(B39,$C$10:$C$29,0)),"")</f>
        <v>3.120942693018768</v>
      </c>
      <c r="F39" s="772">
        <f t="shared" ref="F39:F49" si="9">IFERROR(INDEX($I$10:$I$29,MATCH(B39,$C$10:$C$29,0)),"")</f>
        <v>0.28992676020818053</v>
      </c>
      <c r="G39" s="772">
        <f t="shared" ref="G39:G49" si="10">IFERROR(INDEX($J$10:$J$29,MATCH(B39,$C$10:$C$29,0)),"")</f>
        <v>0.68359135782716429</v>
      </c>
    </row>
    <row r="40" spans="1:16" s="766" customFormat="1" ht="12.75" thickBot="1">
      <c r="A40" s="770">
        <v>3</v>
      </c>
      <c r="B40" s="771" t="str">
        <f t="shared" si="5"/>
        <v>모두투어리츠</v>
      </c>
      <c r="C40" s="771" t="str">
        <f t="shared" si="6"/>
        <v>자기관리</v>
      </c>
      <c r="D40" s="772">
        <f t="shared" si="7"/>
        <v>0.79244499999999995</v>
      </c>
      <c r="E40" s="773">
        <f t="shared" si="8"/>
        <v>1.6089636455672085</v>
      </c>
      <c r="F40" s="772">
        <f t="shared" si="9"/>
        <v>0.34868148099651392</v>
      </c>
      <c r="G40" s="772">
        <f t="shared" si="10"/>
        <v>0.82212365244395991</v>
      </c>
    </row>
    <row r="41" spans="1:16" s="766" customFormat="1" ht="12.75" thickBot="1">
      <c r="A41" s="770">
        <v>4</v>
      </c>
      <c r="B41" s="771" t="str">
        <f t="shared" si="5"/>
        <v>이리츠코크렙</v>
      </c>
      <c r="C41" s="771" t="str">
        <f t="shared" si="6"/>
        <v>기업구조조정</v>
      </c>
      <c r="D41" s="772">
        <f t="shared" si="7"/>
        <v>0.60944980000000004</v>
      </c>
      <c r="E41" s="773">
        <f t="shared" si="8"/>
        <v>1.2708196538239649</v>
      </c>
      <c r="F41" s="772">
        <f t="shared" si="9"/>
        <v>0.30393188909457847</v>
      </c>
      <c r="G41" s="772">
        <f t="shared" si="10"/>
        <v>0.716612749385235</v>
      </c>
    </row>
    <row r="42" spans="1:16" s="766" customFormat="1" ht="12.75" thickBot="1">
      <c r="A42" s="770">
        <v>5</v>
      </c>
      <c r="B42" s="771" t="str">
        <f t="shared" si="5"/>
        <v>신한알파리츠</v>
      </c>
      <c r="C42" s="771" t="str">
        <f t="shared" si="6"/>
        <v>위탁관리</v>
      </c>
      <c r="D42" s="772">
        <f t="shared" si="7"/>
        <v>0.49491479999999999</v>
      </c>
      <c r="E42" s="773">
        <f t="shared" si="8"/>
        <v>2.6031736591117016</v>
      </c>
      <c r="F42" s="772">
        <f t="shared" si="9"/>
        <v>0.16178389827526521</v>
      </c>
      <c r="G42" s="772">
        <f t="shared" si="10"/>
        <v>0.38145521516243902</v>
      </c>
    </row>
    <row r="43" spans="1:16" s="766" customFormat="1" ht="12.75" thickBot="1">
      <c r="A43" s="770">
        <v>6</v>
      </c>
      <c r="B43" s="771" t="str">
        <f t="shared" si="5"/>
        <v>롯데리츠</v>
      </c>
      <c r="C43" s="771" t="str">
        <f t="shared" si="6"/>
        <v>위탁관리</v>
      </c>
      <c r="D43" s="772">
        <f t="shared" si="7"/>
        <v>0.52657730000000003</v>
      </c>
      <c r="E43" s="773">
        <f t="shared" si="8"/>
        <v>1.1449257605913254</v>
      </c>
      <c r="F43" s="772">
        <f t="shared" si="9"/>
        <v>0.28002759195253579</v>
      </c>
      <c r="G43" s="772">
        <f t="shared" si="10"/>
        <v>0.66025102917182821</v>
      </c>
    </row>
    <row r="44" spans="1:16" s="766" customFormat="1" ht="12.75" thickBot="1">
      <c r="A44" s="770">
        <v>7</v>
      </c>
      <c r="B44" s="771" t="str">
        <f t="shared" si="5"/>
        <v>NH프라임리츠</v>
      </c>
      <c r="C44" s="771" t="str">
        <f t="shared" si="6"/>
        <v>위탁관리</v>
      </c>
      <c r="D44" s="772">
        <f t="shared" si="7"/>
        <v>0.57458390000000004</v>
      </c>
      <c r="E44" s="773">
        <f t="shared" si="8"/>
        <v>0</v>
      </c>
      <c r="F44" s="772">
        <f t="shared" si="9"/>
        <v>0.57458390000000004</v>
      </c>
      <c r="G44" s="772">
        <f t="shared" si="10"/>
        <v>1.3547579675108063</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0.68340492857142876</v>
      </c>
      <c r="E50" s="1789">
        <f t="shared" ref="E50:G50" si="11">AVERAGE(E38:E49)</f>
        <v>1.7165702215628809</v>
      </c>
      <c r="F50" s="776">
        <f t="shared" si="11"/>
        <v>0.31974936724439157</v>
      </c>
      <c r="G50" s="776">
        <f t="shared" si="11"/>
        <v>0.75390731080505091</v>
      </c>
    </row>
    <row r="51" spans="1:17" s="766" customFormat="1" ht="12"/>
    <row r="52" spans="1:17" s="766" customFormat="1" ht="12"/>
    <row r="53" spans="1:17" s="766" customFormat="1" ht="12"/>
    <row r="54" spans="1:17" s="766" customFormat="1" ht="17.25" thickBot="1">
      <c r="B54" s="777" t="s">
        <v>99</v>
      </c>
      <c r="C54" s="778"/>
      <c r="D54" s="778"/>
      <c r="E54" s="779"/>
      <c r="J54" s="782"/>
      <c r="K54" s="782"/>
      <c r="L54" s="782"/>
      <c r="M54" s="782"/>
      <c r="N54" s="782"/>
      <c r="O54" s="782"/>
      <c r="P54" s="782"/>
      <c r="Q54" s="782"/>
    </row>
    <row r="55" spans="1:17" s="766" customFormat="1" ht="17.25" thickBot="1">
      <c r="B55" s="780" t="s">
        <v>345</v>
      </c>
      <c r="C55" s="781" t="s">
        <v>346</v>
      </c>
      <c r="D55" s="1790">
        <f>M6</f>
        <v>45016</v>
      </c>
      <c r="E55" s="778"/>
      <c r="F55" s="1791" t="s">
        <v>1132</v>
      </c>
      <c r="J55" s="786"/>
      <c r="K55" s="786"/>
      <c r="L55" s="786"/>
      <c r="M55" s="786"/>
      <c r="N55" s="786"/>
      <c r="O55" s="786"/>
      <c r="P55" s="786"/>
      <c r="Q55" s="786"/>
    </row>
    <row r="56" spans="1:17" s="766" customFormat="1" ht="24.75" thickBot="1">
      <c r="B56" s="783" t="s">
        <v>1123</v>
      </c>
      <c r="C56" s="771" t="s">
        <v>358</v>
      </c>
      <c r="D56" s="784">
        <f>F30</f>
        <v>0.68340492857142876</v>
      </c>
      <c r="F56" s="1792">
        <v>0.5986675714285713</v>
      </c>
      <c r="J56" s="789"/>
      <c r="K56" s="789"/>
      <c r="L56" s="789"/>
      <c r="M56" s="789"/>
      <c r="N56" s="789"/>
      <c r="O56" s="789"/>
      <c r="P56" s="789"/>
      <c r="Q56" s="789"/>
    </row>
    <row r="57" spans="1:17" s="766" customFormat="1" ht="24.75" thickBot="1">
      <c r="B57" s="783" t="s">
        <v>360</v>
      </c>
      <c r="C57" s="771" t="s">
        <v>358</v>
      </c>
      <c r="D57" s="787">
        <f>G30</f>
        <v>1.7165702215628809</v>
      </c>
      <c r="F57" s="1793">
        <v>1.7475451376872362</v>
      </c>
      <c r="J57" s="786"/>
      <c r="K57" s="786"/>
      <c r="L57" s="786"/>
      <c r="M57" s="786"/>
      <c r="N57" s="786"/>
      <c r="O57" s="786"/>
      <c r="P57" s="786"/>
      <c r="Q57" s="792"/>
    </row>
    <row r="58" spans="1:17" s="766" customFormat="1" ht="27.75" thickBot="1">
      <c r="B58" s="790" t="s">
        <v>362</v>
      </c>
      <c r="C58" s="791" t="s">
        <v>757</v>
      </c>
      <c r="D58" s="784">
        <f>I30</f>
        <v>0.31974936724439157</v>
      </c>
      <c r="F58" s="1792">
        <v>0.28291323511254501</v>
      </c>
      <c r="J58" s="786"/>
      <c r="K58" s="786"/>
      <c r="L58" s="786"/>
      <c r="M58" s="786"/>
      <c r="N58" s="786"/>
      <c r="O58" s="786"/>
      <c r="P58" s="786"/>
      <c r="Q58" s="786"/>
    </row>
    <row r="59" spans="1:17" s="766" customFormat="1" ht="26.25" thickBot="1">
      <c r="B59" s="793" t="s">
        <v>1124</v>
      </c>
      <c r="C59" s="791" t="s">
        <v>1125</v>
      </c>
      <c r="D59" s="1796">
        <f>D58*(1+$D$57*(1-$D$64))</f>
        <v>0.75390731080505091</v>
      </c>
      <c r="F59" s="1792">
        <v>0.66854808087101425</v>
      </c>
      <c r="J59" s="789"/>
      <c r="K59" s="789"/>
      <c r="L59" s="789"/>
      <c r="M59" s="789"/>
      <c r="N59" s="789"/>
      <c r="O59" s="789"/>
      <c r="P59" s="789"/>
      <c r="Q59" s="789"/>
    </row>
    <row r="60" spans="1:17" s="766" customFormat="1" ht="24.75" thickBot="1">
      <c r="B60" s="793" t="s">
        <v>1126</v>
      </c>
      <c r="C60" s="791" t="s">
        <v>368</v>
      </c>
      <c r="D60" s="795">
        <f>D65</f>
        <v>3.4374430894308937E-2</v>
      </c>
      <c r="F60" s="1794">
        <v>3.363E-2</v>
      </c>
      <c r="J60" s="789"/>
      <c r="K60" s="789"/>
      <c r="L60" s="789"/>
      <c r="M60" s="789"/>
      <c r="N60" s="789"/>
      <c r="O60" s="789"/>
      <c r="P60" s="789"/>
      <c r="Q60" s="789"/>
    </row>
    <row r="61" spans="1:17" s="766" customFormat="1" ht="21" customHeight="1" thickBot="1">
      <c r="B61" s="793" t="s">
        <v>370</v>
      </c>
      <c r="C61" s="791" t="s">
        <v>1127</v>
      </c>
      <c r="D61" s="797">
        <f>D66</f>
        <v>0.10982109756097566</v>
      </c>
      <c r="F61" s="1794">
        <v>0.10968</v>
      </c>
      <c r="J61" s="789"/>
      <c r="K61" s="789"/>
      <c r="L61" s="789"/>
      <c r="M61" s="789"/>
      <c r="N61" s="789"/>
      <c r="O61" s="789"/>
      <c r="P61" s="789"/>
      <c r="Q61" s="789"/>
    </row>
    <row r="62" spans="1:17" ht="15.75" customHeight="1" thickBot="1">
      <c r="B62" s="798" t="s">
        <v>1128</v>
      </c>
      <c r="C62" s="799" t="s">
        <v>373</v>
      </c>
      <c r="D62" s="1038">
        <f>D60+D59*D61</f>
        <v>0.11716935922616323</v>
      </c>
      <c r="E62" s="801"/>
      <c r="F62" s="1795">
        <v>0.10695635350993285</v>
      </c>
      <c r="G62" s="801">
        <f>D62-F62</f>
        <v>1.0213005716230378E-2</v>
      </c>
      <c r="I62" s="711"/>
      <c r="J62" s="789"/>
      <c r="K62" s="789"/>
      <c r="L62" s="711"/>
      <c r="M62" s="711"/>
      <c r="N62" s="711"/>
      <c r="O62" s="711"/>
      <c r="P62" s="711"/>
      <c r="Q62" s="711"/>
    </row>
    <row r="64" spans="1:17" ht="15.75" customHeight="1">
      <c r="C64" s="785" t="s">
        <v>1129</v>
      </c>
      <c r="D64" s="788">
        <v>0.20899999999999999</v>
      </c>
    </row>
    <row r="65" spans="3:4" ht="15.75" customHeight="1">
      <c r="C65" s="785" t="s">
        <v>1130</v>
      </c>
      <c r="D65" s="794">
        <v>3.4374430894308937E-2</v>
      </c>
    </row>
    <row r="66" spans="3:4" ht="15.75" customHeight="1">
      <c r="C66" s="785" t="s">
        <v>1131</v>
      </c>
      <c r="D66" s="794">
        <v>0.10982109756097566</v>
      </c>
    </row>
    <row r="497" spans="2:10" ht="15.75" customHeight="1">
      <c r="B497" s="716"/>
      <c r="C497" s="716"/>
      <c r="D497" s="716"/>
      <c r="E497" s="716"/>
      <c r="F497" s="716"/>
      <c r="G497" s="716"/>
      <c r="H497" s="716"/>
      <c r="I497" s="716"/>
      <c r="J497" s="716"/>
    </row>
    <row r="498" spans="2:10" s="716" customFormat="1" ht="15.75" customHeight="1">
      <c r="B498" s="712"/>
      <c r="C498" s="712"/>
      <c r="D498" s="712"/>
      <c r="E498" s="712"/>
      <c r="F498" s="712"/>
      <c r="G498" s="712"/>
      <c r="H498" s="712"/>
      <c r="I498" s="712"/>
      <c r="J498" s="712"/>
    </row>
    <row r="740" spans="2:10" ht="15.75" customHeight="1">
      <c r="B740" s="807"/>
      <c r="C740" s="807"/>
      <c r="D740" s="807"/>
      <c r="E740" s="807"/>
      <c r="F740" s="807"/>
      <c r="G740" s="807"/>
      <c r="H740" s="807"/>
      <c r="I740" s="807"/>
      <c r="J740" s="807"/>
    </row>
    <row r="741" spans="2:10" s="807" customFormat="1" ht="15.75" customHeight="1"/>
    <row r="742" spans="2:10" s="807" customFormat="1" ht="15.75" customHeight="1">
      <c r="B742" s="712"/>
      <c r="C742" s="712"/>
      <c r="D742" s="712"/>
      <c r="E742" s="712"/>
      <c r="F742" s="712"/>
      <c r="G742" s="712"/>
      <c r="H742" s="712"/>
      <c r="I742" s="712"/>
      <c r="J742" s="712"/>
    </row>
    <row r="743" spans="2:10" ht="15.75" customHeight="1">
      <c r="B743" s="716"/>
      <c r="C743" s="716"/>
      <c r="D743" s="716"/>
      <c r="E743" s="716"/>
      <c r="F743" s="716"/>
      <c r="G743" s="716"/>
      <c r="H743" s="716"/>
      <c r="I743" s="716"/>
      <c r="J743" s="716"/>
    </row>
    <row r="744" spans="2:10" s="716" customFormat="1" ht="15.75" customHeight="1"/>
    <row r="745" spans="2:10" s="716" customFormat="1" ht="15.75" customHeight="1"/>
    <row r="746" spans="2:10" s="716" customFormat="1" ht="15.75" customHeight="1">
      <c r="B746" s="712"/>
      <c r="C746" s="712"/>
      <c r="D746" s="712"/>
      <c r="E746" s="712"/>
      <c r="F746" s="712"/>
      <c r="G746" s="712"/>
      <c r="H746" s="712"/>
      <c r="I746" s="712"/>
      <c r="J746" s="712"/>
    </row>
    <row r="747" spans="2:10" ht="15.75" customHeight="1">
      <c r="B747" s="716"/>
      <c r="C747" s="716"/>
      <c r="D747" s="716"/>
      <c r="E747" s="716"/>
      <c r="F747" s="716"/>
      <c r="G747" s="716"/>
      <c r="H747" s="716"/>
      <c r="I747" s="716"/>
      <c r="J747" s="716"/>
    </row>
    <row r="748" spans="2:10" s="716" customFormat="1" ht="15.75" customHeight="1"/>
    <row r="749" spans="2:10" s="716" customFormat="1" ht="15.75" customHeight="1">
      <c r="B749" s="712"/>
      <c r="C749" s="712"/>
      <c r="D749" s="712"/>
      <c r="E749" s="712"/>
      <c r="F749" s="712"/>
      <c r="G749" s="712"/>
      <c r="H749" s="712"/>
      <c r="I749" s="712"/>
      <c r="J749" s="712"/>
    </row>
  </sheetData>
  <autoFilter ref="B9:K9">
    <sortState ref="B13:L28">
      <sortCondition ref="B12"/>
    </sortState>
  </autoFilter>
  <phoneticPr fontId="3" type="noConversion"/>
  <conditionalFormatting sqref="G30:H30">
    <cfRule type="expression" dxfId="8" priority="3">
      <formula>$K30="O"</formula>
    </cfRule>
  </conditionalFormatting>
  <conditionalFormatting sqref="B10:P10 K22:P29 B11:H29 I11:P21">
    <cfRule type="expression" dxfId="7" priority="4">
      <formula>$P10="O"</formula>
    </cfRule>
  </conditionalFormatting>
  <conditionalFormatting sqref="I22:J30">
    <cfRule type="expression" dxfId="6" priority="2">
      <formula>$P22="O"</formula>
    </cfRule>
  </conditionalFormatting>
  <conditionalFormatting sqref="F30">
    <cfRule type="expression" dxfId="5" priority="1">
      <formula>$K30="O"</formula>
    </cfRule>
  </conditionalFormatting>
  <dataValidations count="1">
    <dataValidation type="list" allowBlank="1" showInputMessage="1" showErrorMessage="1" sqref="P10:P29">
      <formula1>$Q$1:$Q$2</formula1>
    </dataValidation>
  </dataValidations>
  <hyperlinks>
    <hyperlink ref="B31" r:id="rId1"/>
    <hyperlink ref="B4" location="'23.1Q_230131'!J7" display="1. 평가대상기업 법인세율"/>
    <hyperlink ref="B5" location="'23.1Q_230131'!P10" display="2. 적용기업 선택"/>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40"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676</v>
      </c>
    </row>
    <row r="3" spans="1:22" ht="15.75" customHeight="1" thickBot="1">
      <c r="B3" s="714" t="s">
        <v>677</v>
      </c>
      <c r="D3" s="715"/>
      <c r="K3" s="716"/>
      <c r="M3" s="717"/>
      <c r="N3" s="718"/>
      <c r="O3" s="719"/>
      <c r="P3" s="719"/>
      <c r="Q3" s="719"/>
      <c r="R3" s="719"/>
      <c r="S3" s="719"/>
      <c r="T3" s="718"/>
    </row>
    <row r="4" spans="1:22" ht="15.75" customHeight="1" thickTop="1">
      <c r="B4" s="720" t="s">
        <v>678</v>
      </c>
      <c r="M4" s="717"/>
      <c r="N4" s="718"/>
      <c r="O4" s="718"/>
      <c r="P4" s="718"/>
      <c r="Q4" s="718"/>
      <c r="R4" s="718"/>
      <c r="S4" s="718"/>
      <c r="T4" s="718"/>
      <c r="U4" s="717"/>
    </row>
    <row r="5" spans="1:22" ht="15.75" customHeight="1" thickBot="1">
      <c r="B5" s="721" t="s">
        <v>679</v>
      </c>
      <c r="M5" s="717"/>
      <c r="N5" s="718"/>
      <c r="O5" s="718"/>
      <c r="P5" s="718"/>
      <c r="Q5" s="718"/>
      <c r="R5" s="718"/>
      <c r="S5" s="718"/>
      <c r="T5" s="718"/>
      <c r="U5" s="717"/>
    </row>
    <row r="6" spans="1:22" ht="15.75" customHeight="1" thickBot="1">
      <c r="L6" s="722" t="s">
        <v>249</v>
      </c>
      <c r="M6" s="723">
        <v>44834</v>
      </c>
      <c r="P6" s="718"/>
      <c r="Q6" s="718"/>
      <c r="R6" s="718"/>
      <c r="S6" s="718"/>
      <c r="T6" s="718"/>
    </row>
    <row r="7" spans="1:22" ht="15.75" customHeight="1" thickBot="1">
      <c r="I7" s="724" t="s">
        <v>680</v>
      </c>
      <c r="J7" s="725">
        <f>F56</f>
        <v>0.22</v>
      </c>
      <c r="L7" s="726" t="s">
        <v>681</v>
      </c>
      <c r="M7" s="727">
        <v>44797</v>
      </c>
      <c r="P7" s="728"/>
      <c r="Q7" s="728"/>
      <c r="R7" s="718"/>
      <c r="S7" s="718"/>
      <c r="T7" s="718"/>
    </row>
    <row r="8" spans="1:22" ht="15.75" customHeight="1" thickBot="1">
      <c r="F8" s="729"/>
      <c r="G8" s="729"/>
      <c r="H8" s="729"/>
      <c r="I8" s="729"/>
      <c r="J8" s="729"/>
      <c r="M8" s="718"/>
      <c r="N8" s="718"/>
      <c r="O8" s="728"/>
      <c r="P8" s="730" t="s">
        <v>682</v>
      </c>
      <c r="Q8" s="728"/>
      <c r="V8" s="718"/>
    </row>
    <row r="9" spans="1:22" ht="15.75" customHeight="1" thickTop="1" thickBot="1">
      <c r="B9" s="731" t="s">
        <v>254</v>
      </c>
      <c r="C9" s="731" t="s">
        <v>255</v>
      </c>
      <c r="D9" s="731" t="s">
        <v>257</v>
      </c>
      <c r="E9" s="731" t="s">
        <v>258</v>
      </c>
      <c r="F9" s="731" t="s">
        <v>683</v>
      </c>
      <c r="G9" s="731" t="s">
        <v>684</v>
      </c>
      <c r="H9" s="731" t="s">
        <v>685</v>
      </c>
      <c r="I9" s="731" t="s">
        <v>262</v>
      </c>
      <c r="J9" s="731" t="s">
        <v>686</v>
      </c>
      <c r="K9" s="731" t="s">
        <v>687</v>
      </c>
      <c r="L9" s="731" t="s">
        <v>688</v>
      </c>
      <c r="M9" s="731" t="s">
        <v>689</v>
      </c>
      <c r="N9" s="731" t="s">
        <v>690</v>
      </c>
      <c r="O9" s="731" t="s">
        <v>691</v>
      </c>
      <c r="P9" s="731" t="s">
        <v>265</v>
      </c>
      <c r="V9" s="718"/>
    </row>
    <row r="10" spans="1:22" ht="24.75" thickBot="1">
      <c r="A10" s="732"/>
      <c r="B10" s="733">
        <v>1</v>
      </c>
      <c r="C10" s="734" t="s">
        <v>273</v>
      </c>
      <c r="D10" s="734" t="s">
        <v>275</v>
      </c>
      <c r="E10" s="735">
        <v>40738</v>
      </c>
      <c r="F10" s="736">
        <v>0.44740679999999999</v>
      </c>
      <c r="G10" s="737">
        <v>1.70564172372566</v>
      </c>
      <c r="H10" s="738">
        <v>0.22000000000000003</v>
      </c>
      <c r="I10" s="739">
        <f>F10/(1+G10*(1-H10))</f>
        <v>0.19198708181508717</v>
      </c>
      <c r="J10" s="739">
        <f t="shared" ref="J10:J29" si="0">I10*(1+$G$30*(1-$J$7))</f>
        <v>0.3986788506856655</v>
      </c>
      <c r="K10" s="740" t="s">
        <v>692</v>
      </c>
      <c r="L10" s="740" t="s">
        <v>693</v>
      </c>
      <c r="M10" s="740" t="s">
        <v>694</v>
      </c>
      <c r="N10" s="740" t="s">
        <v>695</v>
      </c>
      <c r="O10" s="740">
        <f t="shared" ref="O10:O29" si="1">YEARFRAC(E10,EOMONTH($M$6,-2),1)</f>
        <v>11.047227926078028</v>
      </c>
      <c r="P10" s="740" t="s">
        <v>675</v>
      </c>
      <c r="Q10" s="712">
        <f>IF(P10="O",1,0)</f>
        <v>1</v>
      </c>
      <c r="R10" s="712">
        <f>Q10</f>
        <v>1</v>
      </c>
      <c r="V10" s="718"/>
    </row>
    <row r="11" spans="1:22" ht="24.75" thickBot="1">
      <c r="A11" s="732"/>
      <c r="B11" s="733">
        <v>2</v>
      </c>
      <c r="C11" s="734" t="s">
        <v>278</v>
      </c>
      <c r="D11" s="734" t="s">
        <v>280</v>
      </c>
      <c r="E11" s="735">
        <v>40939</v>
      </c>
      <c r="F11" s="736">
        <v>0.67281760000000002</v>
      </c>
      <c r="G11" s="737">
        <v>2.2767684458330897</v>
      </c>
      <c r="H11" s="738">
        <v>0.22000000000000003</v>
      </c>
      <c r="I11" s="739">
        <f t="shared" ref="I11:I29" si="2">F11/(1+G11*(1-H11))</f>
        <v>0.24237998342766653</v>
      </c>
      <c r="J11" s="739">
        <f t="shared" si="0"/>
        <v>0.50332435030823519</v>
      </c>
      <c r="K11" s="740" t="s">
        <v>692</v>
      </c>
      <c r="L11" s="740" t="s">
        <v>696</v>
      </c>
      <c r="M11" s="740" t="s">
        <v>697</v>
      </c>
      <c r="N11" s="740" t="s">
        <v>698</v>
      </c>
      <c r="O11" s="740">
        <f t="shared" si="1"/>
        <v>10.496266799402688</v>
      </c>
      <c r="P11" s="740" t="s">
        <v>675</v>
      </c>
      <c r="Q11" s="712">
        <f t="shared" ref="Q11:Q29" si="3">IF(P11="O",1,0)</f>
        <v>1</v>
      </c>
      <c r="R11" s="712">
        <f>R10+Q11</f>
        <v>2</v>
      </c>
      <c r="V11" s="718"/>
    </row>
    <row r="12" spans="1:22" ht="12.75" thickBot="1">
      <c r="A12" s="732"/>
      <c r="B12" s="733">
        <v>3</v>
      </c>
      <c r="C12" s="734" t="s">
        <v>283</v>
      </c>
      <c r="D12" s="734" t="s">
        <v>285</v>
      </c>
      <c r="E12" s="735">
        <v>42635</v>
      </c>
      <c r="F12" s="736">
        <v>0.70777049999999997</v>
      </c>
      <c r="G12" s="737">
        <v>1.2322333451315095</v>
      </c>
      <c r="H12" s="738">
        <v>0.22000000000000003</v>
      </c>
      <c r="I12" s="739">
        <f t="shared" si="2"/>
        <v>0.36089711845384792</v>
      </c>
      <c r="J12" s="739">
        <f t="shared" si="0"/>
        <v>0.74943609247380993</v>
      </c>
      <c r="K12" s="740" t="s">
        <v>699</v>
      </c>
      <c r="L12" s="740" t="s">
        <v>696</v>
      </c>
      <c r="M12" s="740" t="s">
        <v>700</v>
      </c>
      <c r="N12" s="740" t="s">
        <v>701</v>
      </c>
      <c r="O12" s="740">
        <f t="shared" si="1"/>
        <v>5.8529526789206106</v>
      </c>
      <c r="P12" s="740" t="s">
        <v>675</v>
      </c>
      <c r="Q12" s="712">
        <f t="shared" si="3"/>
        <v>1</v>
      </c>
      <c r="R12" s="712">
        <f t="shared" ref="R12:R29" si="4">R11+Q12</f>
        <v>3</v>
      </c>
      <c r="V12" s="741"/>
    </row>
    <row r="13" spans="1:22" ht="24.75" thickBot="1">
      <c r="A13" s="732"/>
      <c r="B13" s="733">
        <v>4</v>
      </c>
      <c r="C13" s="734" t="s">
        <v>287</v>
      </c>
      <c r="D13" s="734" t="s">
        <v>289</v>
      </c>
      <c r="E13" s="735">
        <v>43278</v>
      </c>
      <c r="F13" s="736">
        <v>0.42325499999999999</v>
      </c>
      <c r="G13" s="737">
        <v>1.201911150002035</v>
      </c>
      <c r="H13" s="738">
        <v>0.22000000000000003</v>
      </c>
      <c r="I13" s="739">
        <f t="shared" si="2"/>
        <v>0.21845524247162526</v>
      </c>
      <c r="J13" s="739">
        <f t="shared" si="0"/>
        <v>0.45364242308099795</v>
      </c>
      <c r="K13" s="740" t="s">
        <v>702</v>
      </c>
      <c r="L13" s="740" t="s">
        <v>703</v>
      </c>
      <c r="M13" s="740" t="s">
        <v>704</v>
      </c>
      <c r="N13" s="740" t="s">
        <v>705</v>
      </c>
      <c r="O13" s="740">
        <f t="shared" si="1"/>
        <v>4.0936473165388829</v>
      </c>
      <c r="P13" s="740" t="s">
        <v>675</v>
      </c>
      <c r="Q13" s="712">
        <f t="shared" si="3"/>
        <v>1</v>
      </c>
      <c r="R13" s="712">
        <f t="shared" si="4"/>
        <v>4</v>
      </c>
      <c r="V13" s="741"/>
    </row>
    <row r="14" spans="1:22" ht="36.75" thickBot="1">
      <c r="A14" s="732"/>
      <c r="B14" s="733">
        <v>5</v>
      </c>
      <c r="C14" s="734" t="s">
        <v>292</v>
      </c>
      <c r="D14" s="734" t="s">
        <v>294</v>
      </c>
      <c r="E14" s="735">
        <v>43320</v>
      </c>
      <c r="F14" s="736">
        <v>0.39336140000000003</v>
      </c>
      <c r="G14" s="737">
        <v>2.3264597198030623</v>
      </c>
      <c r="H14" s="738">
        <v>0.22000000000000003</v>
      </c>
      <c r="I14" s="739">
        <f t="shared" si="2"/>
        <v>0.13975556314511231</v>
      </c>
      <c r="J14" s="739">
        <f t="shared" si="0"/>
        <v>0.29021529347107772</v>
      </c>
      <c r="K14" s="740" t="s">
        <v>706</v>
      </c>
      <c r="L14" s="740" t="s">
        <v>707</v>
      </c>
      <c r="M14" s="740" t="s">
        <v>708</v>
      </c>
      <c r="N14" s="740" t="s">
        <v>709</v>
      </c>
      <c r="O14" s="740">
        <f t="shared" si="1"/>
        <v>3.9786418400876236</v>
      </c>
      <c r="P14" s="740" t="s">
        <v>675</v>
      </c>
      <c r="Q14" s="712">
        <f t="shared" si="3"/>
        <v>1</v>
      </c>
      <c r="R14" s="712">
        <f t="shared" si="4"/>
        <v>5</v>
      </c>
      <c r="V14" s="741"/>
    </row>
    <row r="15" spans="1:22" ht="12.75" thickBot="1">
      <c r="A15" s="732"/>
      <c r="B15" s="733">
        <v>6</v>
      </c>
      <c r="C15" s="734" t="s">
        <v>296</v>
      </c>
      <c r="D15" s="734" t="s">
        <v>298</v>
      </c>
      <c r="E15" s="735">
        <v>43768</v>
      </c>
      <c r="F15" s="736">
        <v>0.46348309999999998</v>
      </c>
      <c r="G15" s="737">
        <v>0.91870927603916985</v>
      </c>
      <c r="H15" s="738">
        <v>0.24200000000000002</v>
      </c>
      <c r="I15" s="739">
        <f t="shared" si="2"/>
        <v>0.27321865048835725</v>
      </c>
      <c r="J15" s="739">
        <f t="shared" si="0"/>
        <v>0.56736368162259809</v>
      </c>
      <c r="K15" s="740" t="s">
        <v>706</v>
      </c>
      <c r="L15" s="740" t="s">
        <v>696</v>
      </c>
      <c r="M15" s="740" t="s">
        <v>704</v>
      </c>
      <c r="N15" s="740" t="s">
        <v>710</v>
      </c>
      <c r="O15" s="740">
        <f t="shared" si="1"/>
        <v>2.751540041067762</v>
      </c>
      <c r="P15" s="740" t="s">
        <v>675</v>
      </c>
      <c r="Q15" s="712">
        <f t="shared" si="3"/>
        <v>1</v>
      </c>
      <c r="R15" s="712">
        <f t="shared" si="4"/>
        <v>6</v>
      </c>
      <c r="V15" s="741"/>
    </row>
    <row r="16" spans="1:22" ht="36.75" thickBot="1">
      <c r="A16" s="732"/>
      <c r="B16" s="733">
        <v>7</v>
      </c>
      <c r="C16" s="734" t="s">
        <v>300</v>
      </c>
      <c r="D16" s="734" t="s">
        <v>302</v>
      </c>
      <c r="E16" s="735">
        <v>43804</v>
      </c>
      <c r="F16" s="736">
        <v>0.4201085</v>
      </c>
      <c r="G16" s="737">
        <v>0</v>
      </c>
      <c r="H16" s="738">
        <v>0.22000000000000003</v>
      </c>
      <c r="I16" s="739">
        <f t="shared" si="2"/>
        <v>0.4201085</v>
      </c>
      <c r="J16" s="739">
        <f t="shared" si="0"/>
        <v>0.87239397755207171</v>
      </c>
      <c r="K16" s="740" t="s">
        <v>706</v>
      </c>
      <c r="L16" s="740" t="s">
        <v>711</v>
      </c>
      <c r="M16" s="740" t="s">
        <v>708</v>
      </c>
      <c r="N16" s="740" t="s">
        <v>712</v>
      </c>
      <c r="O16" s="740">
        <f t="shared" si="1"/>
        <v>2.6529774127310062</v>
      </c>
      <c r="P16" s="740" t="s">
        <v>675</v>
      </c>
      <c r="Q16" s="712">
        <f t="shared" si="3"/>
        <v>1</v>
      </c>
      <c r="R16" s="712">
        <f t="shared" si="4"/>
        <v>7</v>
      </c>
      <c r="V16" s="741"/>
    </row>
    <row r="17" spans="1:22" ht="24.75" thickBot="1">
      <c r="A17" s="732"/>
      <c r="B17" s="733">
        <v>8</v>
      </c>
      <c r="C17" s="733" t="s">
        <v>713</v>
      </c>
      <c r="D17" s="733" t="s">
        <v>714</v>
      </c>
      <c r="E17" s="742">
        <v>44028</v>
      </c>
      <c r="F17" s="736">
        <v>0.4468124</v>
      </c>
      <c r="G17" s="737">
        <v>0.25994202856166565</v>
      </c>
      <c r="H17" s="738">
        <v>0.22000000000000003</v>
      </c>
      <c r="I17" s="739">
        <f t="shared" si="2"/>
        <v>0.37149085298476797</v>
      </c>
      <c r="J17" s="739">
        <f t="shared" si="0"/>
        <v>0.77143495753976332</v>
      </c>
      <c r="K17" s="740" t="s">
        <v>706</v>
      </c>
      <c r="L17" s="740" t="s">
        <v>715</v>
      </c>
      <c r="M17" s="740" t="s">
        <v>716</v>
      </c>
      <c r="N17" s="740" t="s">
        <v>717</v>
      </c>
      <c r="O17" s="740">
        <f t="shared" si="1"/>
        <v>2.039233576642336</v>
      </c>
      <c r="P17" s="740" t="s">
        <v>671</v>
      </c>
      <c r="Q17" s="712">
        <f t="shared" si="3"/>
        <v>0</v>
      </c>
      <c r="R17" s="712">
        <f t="shared" si="4"/>
        <v>7</v>
      </c>
      <c r="V17" s="711"/>
    </row>
    <row r="18" spans="1:22" ht="24.75" thickBot="1">
      <c r="A18" s="732"/>
      <c r="B18" s="733">
        <v>9</v>
      </c>
      <c r="C18" s="733" t="s">
        <v>307</v>
      </c>
      <c r="D18" s="733" t="s">
        <v>309</v>
      </c>
      <c r="E18" s="742">
        <v>44048</v>
      </c>
      <c r="F18" s="736">
        <v>0.40116049999999998</v>
      </c>
      <c r="G18" s="737">
        <v>1.685828702293521</v>
      </c>
      <c r="H18" s="738">
        <v>0.22000000000000003</v>
      </c>
      <c r="I18" s="739">
        <f t="shared" si="2"/>
        <v>0.17329148619426848</v>
      </c>
      <c r="J18" s="739">
        <f t="shared" si="0"/>
        <v>0.35985572516844533</v>
      </c>
      <c r="K18" s="740" t="s">
        <v>706</v>
      </c>
      <c r="L18" s="740" t="s">
        <v>696</v>
      </c>
      <c r="M18" s="740" t="s">
        <v>704</v>
      </c>
      <c r="N18" s="740" t="s">
        <v>718</v>
      </c>
      <c r="O18" s="740">
        <f t="shared" si="1"/>
        <v>1.9844890510948907</v>
      </c>
      <c r="P18" s="740" t="s">
        <v>671</v>
      </c>
      <c r="Q18" s="712">
        <f t="shared" si="3"/>
        <v>0</v>
      </c>
      <c r="R18" s="712">
        <f t="shared" si="4"/>
        <v>7</v>
      </c>
      <c r="S18" s="717"/>
    </row>
    <row r="19" spans="1:22" ht="36.75" thickBot="1">
      <c r="A19" s="732"/>
      <c r="B19" s="733">
        <v>10</v>
      </c>
      <c r="C19" s="733" t="s">
        <v>310</v>
      </c>
      <c r="D19" s="733" t="s">
        <v>719</v>
      </c>
      <c r="E19" s="742">
        <v>44048</v>
      </c>
      <c r="F19" s="736">
        <v>0.45011240000000002</v>
      </c>
      <c r="G19" s="737">
        <v>0.41122734433875874</v>
      </c>
      <c r="H19" s="738">
        <v>0.22000000000000003</v>
      </c>
      <c r="I19" s="739">
        <f t="shared" si="2"/>
        <v>0.34079871469082973</v>
      </c>
      <c r="J19" s="739">
        <f t="shared" si="0"/>
        <v>0.70769990669973737</v>
      </c>
      <c r="K19" s="740" t="s">
        <v>706</v>
      </c>
      <c r="L19" s="740" t="s">
        <v>720</v>
      </c>
      <c r="M19" s="740" t="s">
        <v>721</v>
      </c>
      <c r="N19" s="740" t="s">
        <v>722</v>
      </c>
      <c r="O19" s="740">
        <f t="shared" si="1"/>
        <v>1.9844890510948907</v>
      </c>
      <c r="P19" s="740" t="s">
        <v>671</v>
      </c>
      <c r="Q19" s="712">
        <f t="shared" si="3"/>
        <v>0</v>
      </c>
      <c r="R19" s="712">
        <f t="shared" si="4"/>
        <v>7</v>
      </c>
    </row>
    <row r="20" spans="1:22" ht="48.75" thickBot="1">
      <c r="A20" s="732"/>
      <c r="B20" s="733">
        <v>11</v>
      </c>
      <c r="C20" s="733" t="s">
        <v>313</v>
      </c>
      <c r="D20" s="733" t="s">
        <v>315</v>
      </c>
      <c r="E20" s="742">
        <v>44050</v>
      </c>
      <c r="F20" s="736">
        <v>0.37848779999999999</v>
      </c>
      <c r="G20" s="737">
        <v>1.548034926508377</v>
      </c>
      <c r="H20" s="738">
        <v>0.24200000000000002</v>
      </c>
      <c r="I20" s="739">
        <f t="shared" si="2"/>
        <v>0.1741446470773356</v>
      </c>
      <c r="J20" s="739">
        <f t="shared" si="0"/>
        <v>0.36162739228841728</v>
      </c>
      <c r="K20" s="740" t="s">
        <v>706</v>
      </c>
      <c r="L20" s="740" t="s">
        <v>723</v>
      </c>
      <c r="M20" s="740" t="s">
        <v>708</v>
      </c>
      <c r="N20" s="740" t="s">
        <v>724</v>
      </c>
      <c r="O20" s="740">
        <f t="shared" si="1"/>
        <v>1.9790145985401462</v>
      </c>
      <c r="P20" s="740" t="s">
        <v>671</v>
      </c>
      <c r="Q20" s="712">
        <f t="shared" si="3"/>
        <v>0</v>
      </c>
      <c r="R20" s="712">
        <f t="shared" si="4"/>
        <v>7</v>
      </c>
    </row>
    <row r="21" spans="1:22" ht="24.75" thickBot="1">
      <c r="A21" s="732"/>
      <c r="B21" s="733">
        <v>12</v>
      </c>
      <c r="C21" s="733" t="s">
        <v>316</v>
      </c>
      <c r="D21" s="733" t="s">
        <v>318</v>
      </c>
      <c r="E21" s="742">
        <v>44074</v>
      </c>
      <c r="F21" s="736">
        <v>0.47570829999999997</v>
      </c>
      <c r="G21" s="737">
        <v>1.4667614419142856</v>
      </c>
      <c r="H21" s="738">
        <v>0.24200000000000002</v>
      </c>
      <c r="I21" s="739">
        <f t="shared" si="2"/>
        <v>0.22526145218724972</v>
      </c>
      <c r="J21" s="739">
        <f t="shared" si="0"/>
        <v>0.46777614416940055</v>
      </c>
      <c r="K21" s="740" t="s">
        <v>706</v>
      </c>
      <c r="L21" s="740" t="s">
        <v>696</v>
      </c>
      <c r="M21" s="740" t="s">
        <v>725</v>
      </c>
      <c r="N21" s="740" t="s">
        <v>726</v>
      </c>
      <c r="O21" s="740">
        <f t="shared" si="1"/>
        <v>1.9133211678832118</v>
      </c>
      <c r="P21" s="740" t="s">
        <v>671</v>
      </c>
      <c r="Q21" s="712">
        <f t="shared" si="3"/>
        <v>0</v>
      </c>
      <c r="R21" s="712">
        <f t="shared" si="4"/>
        <v>7</v>
      </c>
    </row>
    <row r="22" spans="1:22" ht="12.75" thickBot="1">
      <c r="A22" s="732"/>
      <c r="B22" s="733">
        <v>13</v>
      </c>
      <c r="C22" s="733" t="s">
        <v>727</v>
      </c>
      <c r="D22" s="733" t="s">
        <v>728</v>
      </c>
      <c r="E22" s="742">
        <v>44188</v>
      </c>
      <c r="F22" s="736" t="s">
        <v>816</v>
      </c>
      <c r="G22" s="743"/>
      <c r="H22" s="738" t="e">
        <v>#VALUE!</v>
      </c>
      <c r="I22" s="739" t="e">
        <f t="shared" si="2"/>
        <v>#VALUE!</v>
      </c>
      <c r="J22" s="739" t="e">
        <f t="shared" si="0"/>
        <v>#VALUE!</v>
      </c>
      <c r="K22" s="740" t="s">
        <v>706</v>
      </c>
      <c r="L22" s="740" t="s">
        <v>711</v>
      </c>
      <c r="M22" s="740" t="s">
        <v>729</v>
      </c>
      <c r="N22" s="740" t="s">
        <v>730</v>
      </c>
      <c r="O22" s="740">
        <f t="shared" si="1"/>
        <v>1.6012773722627738</v>
      </c>
      <c r="P22" s="740"/>
      <c r="Q22" s="712">
        <f t="shared" si="3"/>
        <v>0</v>
      </c>
      <c r="R22" s="712">
        <f t="shared" si="4"/>
        <v>7</v>
      </c>
    </row>
    <row r="23" spans="1:22" ht="15.75" customHeight="1" thickBot="1">
      <c r="A23" s="732"/>
      <c r="B23" s="733">
        <v>14</v>
      </c>
      <c r="C23" s="733" t="s">
        <v>731</v>
      </c>
      <c r="D23" s="733" t="s">
        <v>732</v>
      </c>
      <c r="E23" s="744">
        <v>44435</v>
      </c>
      <c r="F23" s="736">
        <v>0.5118222</v>
      </c>
      <c r="G23" s="745"/>
      <c r="H23" s="738">
        <v>0.11000000000000001</v>
      </c>
      <c r="I23" s="739">
        <f t="shared" si="2"/>
        <v>0.5118222</v>
      </c>
      <c r="J23" s="739">
        <f t="shared" si="0"/>
        <v>1.0628459192267043</v>
      </c>
      <c r="K23" s="740"/>
      <c r="L23" s="740"/>
      <c r="M23" s="740"/>
      <c r="N23" s="740"/>
      <c r="O23" s="740">
        <f t="shared" si="1"/>
        <v>0.92602739726027394</v>
      </c>
      <c r="P23" s="740"/>
      <c r="Q23" s="712">
        <f t="shared" si="3"/>
        <v>0</v>
      </c>
      <c r="R23" s="712">
        <f t="shared" si="4"/>
        <v>7</v>
      </c>
    </row>
    <row r="24" spans="1:22" ht="15.75" customHeight="1" thickBot="1">
      <c r="A24" s="732"/>
      <c r="B24" s="733">
        <v>15</v>
      </c>
      <c r="C24" s="733" t="s">
        <v>733</v>
      </c>
      <c r="D24" s="733" t="s">
        <v>734</v>
      </c>
      <c r="E24" s="744">
        <v>44453</v>
      </c>
      <c r="F24" s="736">
        <v>0.50268869999999999</v>
      </c>
      <c r="G24" s="745"/>
      <c r="H24" s="738" t="e">
        <v>#VALUE!</v>
      </c>
      <c r="I24" s="739" t="e">
        <f t="shared" si="2"/>
        <v>#VALUE!</v>
      </c>
      <c r="J24" s="739" t="e">
        <f t="shared" si="0"/>
        <v>#VALUE!</v>
      </c>
      <c r="K24" s="740"/>
      <c r="L24" s="740"/>
      <c r="M24" s="740"/>
      <c r="N24" s="740"/>
      <c r="O24" s="740">
        <f t="shared" si="1"/>
        <v>0.87671232876712324</v>
      </c>
      <c r="P24" s="740"/>
      <c r="Q24" s="712">
        <f t="shared" si="3"/>
        <v>0</v>
      </c>
      <c r="R24" s="712">
        <f t="shared" si="4"/>
        <v>7</v>
      </c>
    </row>
    <row r="25" spans="1:22" ht="15.75" customHeight="1" thickBot="1">
      <c r="A25" s="732"/>
      <c r="B25" s="733">
        <v>16</v>
      </c>
      <c r="C25" s="733" t="s">
        <v>735</v>
      </c>
      <c r="D25" s="733" t="s">
        <v>736</v>
      </c>
      <c r="E25" s="744">
        <v>44518</v>
      </c>
      <c r="F25" s="736">
        <v>0.45474360000000003</v>
      </c>
      <c r="G25" s="745"/>
      <c r="H25" s="738">
        <v>0.22000000000000003</v>
      </c>
      <c r="I25" s="739">
        <f t="shared" si="2"/>
        <v>0.45474360000000003</v>
      </c>
      <c r="J25" s="739">
        <f t="shared" si="0"/>
        <v>0.94431695138362659</v>
      </c>
      <c r="K25" s="740"/>
      <c r="L25" s="740"/>
      <c r="M25" s="740"/>
      <c r="N25" s="740"/>
      <c r="O25" s="740">
        <f t="shared" si="1"/>
        <v>0.69863013698630139</v>
      </c>
      <c r="P25" s="740"/>
      <c r="Q25" s="712">
        <f t="shared" si="3"/>
        <v>0</v>
      </c>
      <c r="R25" s="712">
        <f t="shared" si="4"/>
        <v>7</v>
      </c>
    </row>
    <row r="26" spans="1:22" ht="15.75" customHeight="1" thickBot="1">
      <c r="A26" s="732"/>
      <c r="B26" s="733">
        <v>17</v>
      </c>
      <c r="C26" s="733" t="s">
        <v>737</v>
      </c>
      <c r="D26" s="733" t="s">
        <v>738</v>
      </c>
      <c r="E26" s="744">
        <v>44533</v>
      </c>
      <c r="F26" s="736">
        <v>0.74861560000000005</v>
      </c>
      <c r="G26" s="745"/>
      <c r="H26" s="738">
        <v>0.11000000000000001</v>
      </c>
      <c r="I26" s="739">
        <f t="shared" si="2"/>
        <v>0.74861560000000005</v>
      </c>
      <c r="J26" s="739">
        <f t="shared" si="0"/>
        <v>1.5545692147184138</v>
      </c>
      <c r="K26" s="740"/>
      <c r="L26" s="740"/>
      <c r="M26" s="740"/>
      <c r="N26" s="740"/>
      <c r="O26" s="740">
        <f t="shared" si="1"/>
        <v>0.65753424657534243</v>
      </c>
      <c r="P26" s="740"/>
      <c r="Q26" s="712">
        <f t="shared" si="3"/>
        <v>0</v>
      </c>
      <c r="R26" s="712">
        <f t="shared" si="4"/>
        <v>7</v>
      </c>
    </row>
    <row r="27" spans="1:22" ht="15.75" customHeight="1" thickBot="1">
      <c r="A27" s="732"/>
      <c r="B27" s="733">
        <v>18</v>
      </c>
      <c r="C27" s="733" t="s">
        <v>739</v>
      </c>
      <c r="D27" s="733" t="s">
        <v>740</v>
      </c>
      <c r="E27" s="744">
        <v>44540</v>
      </c>
      <c r="F27" s="736">
        <v>0.66929609999999995</v>
      </c>
      <c r="G27" s="745"/>
      <c r="H27" s="738">
        <v>0.11000000000000001</v>
      </c>
      <c r="I27" s="739">
        <f t="shared" si="2"/>
        <v>0.66929609999999995</v>
      </c>
      <c r="J27" s="739">
        <f t="shared" si="0"/>
        <v>1.389854970416188</v>
      </c>
      <c r="K27" s="740"/>
      <c r="L27" s="740"/>
      <c r="M27" s="740"/>
      <c r="N27" s="740"/>
      <c r="O27" s="740">
        <f t="shared" si="1"/>
        <v>0.63835616438356169</v>
      </c>
      <c r="P27" s="740"/>
      <c r="Q27" s="712">
        <f t="shared" si="3"/>
        <v>0</v>
      </c>
      <c r="R27" s="712">
        <f t="shared" si="4"/>
        <v>7</v>
      </c>
    </row>
    <row r="28" spans="1:22" ht="15.75" customHeight="1" thickBot="1">
      <c r="A28" s="732"/>
      <c r="B28" s="733">
        <v>19</v>
      </c>
      <c r="C28" s="733" t="s">
        <v>741</v>
      </c>
      <c r="D28" s="733" t="s">
        <v>742</v>
      </c>
      <c r="E28" s="744">
        <v>44648</v>
      </c>
      <c r="F28" s="736">
        <v>0.9016554</v>
      </c>
      <c r="G28" s="745"/>
      <c r="H28" s="738" t="e">
        <v>#VALUE!</v>
      </c>
      <c r="I28" s="739" t="e">
        <f t="shared" si="2"/>
        <v>#VALUE!</v>
      </c>
      <c r="J28" s="739" t="e">
        <f t="shared" si="0"/>
        <v>#VALUE!</v>
      </c>
      <c r="K28" s="740"/>
      <c r="L28" s="740"/>
      <c r="M28" s="740"/>
      <c r="N28" s="740"/>
      <c r="O28" s="740">
        <f t="shared" si="1"/>
        <v>0.34246575342465752</v>
      </c>
      <c r="P28" s="740"/>
      <c r="Q28" s="712">
        <f t="shared" si="3"/>
        <v>0</v>
      </c>
      <c r="R28" s="712">
        <f t="shared" si="4"/>
        <v>7</v>
      </c>
    </row>
    <row r="29" spans="1:22" ht="15.75" customHeight="1" thickBot="1">
      <c r="A29" s="732"/>
      <c r="B29" s="733">
        <v>20</v>
      </c>
      <c r="C29" s="733" t="s">
        <v>743</v>
      </c>
      <c r="D29" s="733" t="s">
        <v>744</v>
      </c>
      <c r="E29" s="744">
        <v>44712</v>
      </c>
      <c r="F29" s="736">
        <v>0.56545559999999995</v>
      </c>
      <c r="G29" s="746"/>
      <c r="H29" s="738">
        <v>0.11000000000000001</v>
      </c>
      <c r="I29" s="747">
        <f t="shared" si="2"/>
        <v>0.56545559999999995</v>
      </c>
      <c r="J29" s="747">
        <f t="shared" si="0"/>
        <v>1.1742206120873375</v>
      </c>
      <c r="K29" s="740"/>
      <c r="L29" s="740"/>
      <c r="M29" s="740"/>
      <c r="N29" s="740"/>
      <c r="O29" s="740">
        <f t="shared" si="1"/>
        <v>0.16712328767123288</v>
      </c>
      <c r="P29" s="740"/>
      <c r="Q29" s="712">
        <f t="shared" si="3"/>
        <v>0</v>
      </c>
      <c r="R29" s="712">
        <f t="shared" si="4"/>
        <v>7</v>
      </c>
    </row>
    <row r="30" spans="1:22" ht="15.75" customHeight="1" thickBot="1">
      <c r="A30" s="748"/>
      <c r="B30" s="749" t="s">
        <v>745</v>
      </c>
      <c r="C30" s="750"/>
      <c r="D30" s="750"/>
      <c r="E30" s="751"/>
      <c r="F30" s="752">
        <f>AVERAGEIF($P$10:$P$29,"O",F10:F29)</f>
        <v>0.50402898571428578</v>
      </c>
      <c r="G30" s="753">
        <f>AVERAGEIF($P$10:$P$29,"O",G10:G29)</f>
        <v>1.3802462372192181</v>
      </c>
      <c r="H30" s="754"/>
      <c r="I30" s="755">
        <f>AVERAGEIF($P$10:$P$29,"O",I10:I29)</f>
        <v>0.26382887711452813</v>
      </c>
      <c r="J30" s="755">
        <f>AVERAGEIF($P$10:$P$29,"O",J10:J29)</f>
        <v>0.54786495274206515</v>
      </c>
      <c r="K30" s="756"/>
      <c r="N30" s="757"/>
      <c r="O30" s="757"/>
      <c r="P30" s="757"/>
    </row>
    <row r="31" spans="1:22" ht="15.75" customHeight="1">
      <c r="A31" s="748"/>
      <c r="B31" s="758" t="s">
        <v>746</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747</v>
      </c>
    </row>
    <row r="37" spans="1:16" s="766" customFormat="1" ht="12.75" thickBot="1">
      <c r="B37" s="768" t="s">
        <v>266</v>
      </c>
      <c r="C37" s="768" t="s">
        <v>267</v>
      </c>
      <c r="D37" s="768" t="s">
        <v>748</v>
      </c>
      <c r="E37" s="768" t="s">
        <v>749</v>
      </c>
      <c r="F37" s="768" t="s">
        <v>750</v>
      </c>
      <c r="G37" s="769" t="s">
        <v>751</v>
      </c>
    </row>
    <row r="38" spans="1:16" s="766" customFormat="1" ht="12.75" thickBot="1">
      <c r="A38" s="770">
        <v>1</v>
      </c>
      <c r="B38" s="771" t="str">
        <f>IFERROR(INDEX($C$10:$C$29,MATCH(A38,$R$10:$R$29,0)),"")</f>
        <v>에이리츠</v>
      </c>
      <c r="C38" s="771" t="str">
        <f>IFERROR(INDEX($K$10:$K$29,MATCH(B38,$C$10:$C$29,0)),"")</f>
        <v>자기관리</v>
      </c>
      <c r="D38" s="772">
        <f>IFERROR(INDEX($F$10:$F$29,MATCH(B38,$C$10:$C$29,0)),"")</f>
        <v>0.44740679999999999</v>
      </c>
      <c r="E38" s="773">
        <f>IFERROR(INDEX($G$10:$G$29,MATCH(B38,$C$10:$C$29,0)),"")</f>
        <v>1.70564172372566</v>
      </c>
      <c r="F38" s="772">
        <f>IFERROR(INDEX($I$10:$I$29,MATCH(B38,$C$10:$C$29,0)),"")</f>
        <v>0.19198708181508717</v>
      </c>
      <c r="G38" s="772">
        <f>IFERROR(INDEX($J$10:$J$29,MATCH(B38,$C$10:$C$29,0)),"")</f>
        <v>0.3986788506856655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0.67281760000000002</v>
      </c>
      <c r="E39" s="773">
        <f t="shared" ref="E39:E49" si="8">IFERROR(INDEX($G$10:$G$29,MATCH(B39,$C$10:$C$29,0)),"")</f>
        <v>2.2767684458330897</v>
      </c>
      <c r="F39" s="772">
        <f t="shared" ref="F39:F49" si="9">IFERROR(INDEX($I$10:$I$29,MATCH(B39,$C$10:$C$29,0)),"")</f>
        <v>0.24237998342766653</v>
      </c>
      <c r="G39" s="772">
        <f t="shared" ref="G39:G49" si="10">IFERROR(INDEX($J$10:$J$29,MATCH(B39,$C$10:$C$29,0)),"")</f>
        <v>0.50332435030823519</v>
      </c>
    </row>
    <row r="40" spans="1:16" s="766" customFormat="1" ht="12.75" thickBot="1">
      <c r="A40" s="770">
        <v>3</v>
      </c>
      <c r="B40" s="771" t="str">
        <f t="shared" si="5"/>
        <v>모두투어리츠</v>
      </c>
      <c r="C40" s="771" t="str">
        <f t="shared" si="6"/>
        <v>자기관리</v>
      </c>
      <c r="D40" s="772">
        <f t="shared" si="7"/>
        <v>0.70777049999999997</v>
      </c>
      <c r="E40" s="773">
        <f t="shared" si="8"/>
        <v>1.2322333451315095</v>
      </c>
      <c r="F40" s="772">
        <f t="shared" si="9"/>
        <v>0.36089711845384792</v>
      </c>
      <c r="G40" s="772">
        <f t="shared" si="10"/>
        <v>0.74943609247380993</v>
      </c>
    </row>
    <row r="41" spans="1:16" s="766" customFormat="1" ht="12.75" thickBot="1">
      <c r="A41" s="770">
        <v>4</v>
      </c>
      <c r="B41" s="771" t="str">
        <f t="shared" si="5"/>
        <v>이리츠코크렙</v>
      </c>
      <c r="C41" s="771" t="str">
        <f t="shared" si="6"/>
        <v>기업구조조정</v>
      </c>
      <c r="D41" s="772">
        <f t="shared" si="7"/>
        <v>0.42325499999999999</v>
      </c>
      <c r="E41" s="773">
        <f t="shared" si="8"/>
        <v>1.201911150002035</v>
      </c>
      <c r="F41" s="772">
        <f t="shared" si="9"/>
        <v>0.21845524247162526</v>
      </c>
      <c r="G41" s="772">
        <f t="shared" si="10"/>
        <v>0.45364242308099795</v>
      </c>
    </row>
    <row r="42" spans="1:16" s="766" customFormat="1" ht="12.75" thickBot="1">
      <c r="A42" s="770">
        <v>5</v>
      </c>
      <c r="B42" s="771" t="str">
        <f t="shared" si="5"/>
        <v>신한알파리츠</v>
      </c>
      <c r="C42" s="771" t="str">
        <f t="shared" si="6"/>
        <v>위탁관리</v>
      </c>
      <c r="D42" s="772">
        <f t="shared" si="7"/>
        <v>0.39336140000000003</v>
      </c>
      <c r="E42" s="773">
        <f t="shared" si="8"/>
        <v>2.3264597198030623</v>
      </c>
      <c r="F42" s="772">
        <f t="shared" si="9"/>
        <v>0.13975556314511231</v>
      </c>
      <c r="G42" s="772">
        <f t="shared" si="10"/>
        <v>0.29021529347107772</v>
      </c>
    </row>
    <row r="43" spans="1:16" s="766" customFormat="1" ht="12.75" thickBot="1">
      <c r="A43" s="770">
        <v>6</v>
      </c>
      <c r="B43" s="771" t="str">
        <f t="shared" si="5"/>
        <v>롯데리츠</v>
      </c>
      <c r="C43" s="771" t="str">
        <f t="shared" si="6"/>
        <v>위탁관리</v>
      </c>
      <c r="D43" s="772">
        <f t="shared" si="7"/>
        <v>0.46348309999999998</v>
      </c>
      <c r="E43" s="773">
        <f t="shared" si="8"/>
        <v>0.91870927603916985</v>
      </c>
      <c r="F43" s="772">
        <f t="shared" si="9"/>
        <v>0.27321865048835725</v>
      </c>
      <c r="G43" s="772">
        <f t="shared" si="10"/>
        <v>0.56736368162259809</v>
      </c>
    </row>
    <row r="44" spans="1:16" s="766" customFormat="1" ht="12.75" thickBot="1">
      <c r="A44" s="770">
        <v>7</v>
      </c>
      <c r="B44" s="771" t="str">
        <f t="shared" si="5"/>
        <v>NH프라임리츠</v>
      </c>
      <c r="C44" s="771" t="str">
        <f t="shared" si="6"/>
        <v>위탁관리</v>
      </c>
      <c r="D44" s="772">
        <f t="shared" si="7"/>
        <v>0.4201085</v>
      </c>
      <c r="E44" s="773">
        <f t="shared" si="8"/>
        <v>0</v>
      </c>
      <c r="F44" s="772">
        <f t="shared" si="9"/>
        <v>0.4201085</v>
      </c>
      <c r="G44" s="772">
        <f t="shared" si="10"/>
        <v>0.87239397755207171</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0.50402898571428578</v>
      </c>
      <c r="E50" s="776">
        <f t="shared" ref="E50:G50" si="11">AVERAGE(E38:E49)</f>
        <v>1.3802462372192181</v>
      </c>
      <c r="F50" s="776">
        <f t="shared" si="11"/>
        <v>0.26382887711452813</v>
      </c>
      <c r="G50" s="776">
        <f t="shared" si="11"/>
        <v>0.54786495274206515</v>
      </c>
    </row>
    <row r="51" spans="1:17" s="766" customFormat="1" ht="12"/>
    <row r="52" spans="1:17" s="766" customFormat="1" ht="12"/>
    <row r="53" spans="1:17" s="766" customFormat="1" ht="17.25" thickBot="1">
      <c r="B53" s="777" t="s">
        <v>752</v>
      </c>
      <c r="C53" s="778"/>
      <c r="D53" s="778"/>
      <c r="E53" s="779"/>
    </row>
    <row r="54" spans="1:17" s="766" customFormat="1" ht="17.25" thickBot="1">
      <c r="B54" s="780" t="s">
        <v>345</v>
      </c>
      <c r="C54" s="781" t="s">
        <v>346</v>
      </c>
      <c r="D54" s="781" t="s">
        <v>753</v>
      </c>
      <c r="E54" s="778"/>
      <c r="F54" s="779"/>
      <c r="I54" s="782"/>
      <c r="J54" s="782"/>
      <c r="K54" s="782"/>
      <c r="L54" s="782"/>
      <c r="M54" s="782"/>
      <c r="N54" s="782"/>
      <c r="O54" s="782"/>
      <c r="P54" s="782"/>
      <c r="Q54" s="782"/>
    </row>
    <row r="55" spans="1:17" s="766" customFormat="1" ht="24.75" thickBot="1">
      <c r="B55" s="783" t="s">
        <v>754</v>
      </c>
      <c r="C55" s="771" t="s">
        <v>358</v>
      </c>
      <c r="D55" s="784">
        <f>F30</f>
        <v>0.50402898571428578</v>
      </c>
      <c r="F55" s="785" t="s">
        <v>755</v>
      </c>
      <c r="I55" s="786"/>
      <c r="J55" s="786"/>
      <c r="K55" s="786"/>
      <c r="L55" s="786"/>
      <c r="M55" s="786"/>
      <c r="N55" s="786"/>
      <c r="O55" s="786"/>
      <c r="P55" s="786"/>
      <c r="Q55" s="786"/>
    </row>
    <row r="56" spans="1:17" s="766" customFormat="1" ht="24.75" thickBot="1">
      <c r="B56" s="783" t="s">
        <v>360</v>
      </c>
      <c r="C56" s="771" t="s">
        <v>358</v>
      </c>
      <c r="D56" s="787">
        <f>G30</f>
        <v>1.3802462372192181</v>
      </c>
      <c r="F56" s="788">
        <v>0.22</v>
      </c>
      <c r="I56" s="789"/>
      <c r="J56" s="789"/>
      <c r="K56" s="789"/>
      <c r="L56" s="789"/>
      <c r="M56" s="789"/>
      <c r="N56" s="789"/>
      <c r="O56" s="789"/>
      <c r="P56" s="789"/>
      <c r="Q56" s="789"/>
    </row>
    <row r="57" spans="1:17" s="766" customFormat="1" ht="27.75" thickBot="1">
      <c r="B57" s="790" t="s">
        <v>756</v>
      </c>
      <c r="C57" s="791" t="s">
        <v>757</v>
      </c>
      <c r="D57" s="784">
        <f>I30</f>
        <v>0.26382887711452813</v>
      </c>
      <c r="F57" s="785" t="s">
        <v>758</v>
      </c>
      <c r="I57" s="786"/>
      <c r="J57" s="786"/>
      <c r="K57" s="786"/>
      <c r="L57" s="786"/>
      <c r="M57" s="786"/>
      <c r="N57" s="786"/>
      <c r="O57" s="786"/>
      <c r="P57" s="786"/>
      <c r="Q57" s="792"/>
    </row>
    <row r="58" spans="1:17" s="766" customFormat="1" ht="26.25" thickBot="1">
      <c r="B58" s="793" t="s">
        <v>759</v>
      </c>
      <c r="C58" s="791" t="s">
        <v>760</v>
      </c>
      <c r="D58" s="808">
        <f>D57*(1+$D$56*(1-$F$56))</f>
        <v>0.54786495274206526</v>
      </c>
      <c r="F58" s="794">
        <v>2.6930979591836747E-2</v>
      </c>
      <c r="I58" s="786"/>
      <c r="J58" s="786"/>
      <c r="K58" s="786"/>
      <c r="L58" s="786"/>
      <c r="M58" s="786"/>
      <c r="N58" s="786"/>
      <c r="O58" s="786"/>
      <c r="P58" s="786"/>
      <c r="Q58" s="786"/>
    </row>
    <row r="59" spans="1:17" s="766" customFormat="1" ht="24.75" thickBot="1">
      <c r="B59" s="793" t="s">
        <v>761</v>
      </c>
      <c r="C59" s="791" t="s">
        <v>762</v>
      </c>
      <c r="D59" s="795">
        <f>F58</f>
        <v>2.6930979591836747E-2</v>
      </c>
      <c r="F59" s="785" t="s">
        <v>763</v>
      </c>
      <c r="I59" s="796"/>
      <c r="J59" s="789"/>
      <c r="K59" s="789"/>
      <c r="L59" s="789"/>
      <c r="M59" s="789"/>
      <c r="N59" s="789"/>
      <c r="O59" s="789"/>
      <c r="P59" s="789"/>
      <c r="Q59" s="789"/>
    </row>
    <row r="60" spans="1:17" s="766" customFormat="1" ht="36.75" thickBot="1">
      <c r="B60" s="793" t="s">
        <v>764</v>
      </c>
      <c r="C60" s="791" t="s">
        <v>765</v>
      </c>
      <c r="D60" s="797">
        <f>F60</f>
        <v>0.11294457142857144</v>
      </c>
      <c r="F60" s="794">
        <v>0.11294457142857144</v>
      </c>
      <c r="I60" s="796"/>
      <c r="J60" s="789"/>
      <c r="K60" s="789"/>
      <c r="L60" s="789"/>
      <c r="M60" s="789"/>
      <c r="N60" s="789"/>
      <c r="O60" s="789"/>
      <c r="P60" s="789"/>
      <c r="Q60" s="789"/>
    </row>
    <row r="61" spans="1:17" s="766" customFormat="1" ht="12.75" thickBot="1">
      <c r="B61" s="798" t="s">
        <v>766</v>
      </c>
      <c r="C61" s="799" t="s">
        <v>373</v>
      </c>
      <c r="D61" s="800">
        <f>D59+D58*D60</f>
        <v>8.8809351880023854E-2</v>
      </c>
      <c r="E61" s="801"/>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4" priority="3">
      <formula>$K30="O"</formula>
    </cfRule>
  </conditionalFormatting>
  <conditionalFormatting sqref="B22:H29 K22:P29 B10:P21">
    <cfRule type="expression" dxfId="3" priority="4">
      <formula>$P10="O"</formula>
    </cfRule>
  </conditionalFormatting>
  <conditionalFormatting sqref="I22:J30">
    <cfRule type="expression" dxfId="2" priority="2">
      <formula>$P22="O"</formula>
    </cfRule>
  </conditionalFormatting>
  <conditionalFormatting sqref="F30">
    <cfRule type="expression" dxfId="1" priority="1">
      <formula>$K30="O"</formula>
    </cfRule>
  </conditionalFormatting>
  <dataValidations count="2">
    <dataValidation type="list" allowBlank="1" showInputMessage="1" showErrorMessage="1" sqref="P10:P21">
      <formula1>$Q$1:$Q$2</formula1>
    </dataValidation>
    <dataValidation type="list" allowBlank="1" showInputMessage="1" showErrorMessage="1" sqref="P22:P29">
      <formula1>$Q$1:$Q$1</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736"/>
  <sheetViews>
    <sheetView showGridLines="0" topLeftCell="A10" zoomScale="85" zoomScaleNormal="85" workbookViewId="0">
      <selection activeCell="E65" sqref="E65"/>
    </sheetView>
  </sheetViews>
  <sheetFormatPr defaultRowHeight="15.75" customHeight="1"/>
  <cols>
    <col min="1" max="1" width="13.375" style="406" customWidth="1"/>
    <col min="2" max="2" width="19.25" style="406" customWidth="1"/>
    <col min="3" max="3" width="15.5" style="406" bestFit="1" customWidth="1"/>
    <col min="4" max="4" width="36.375" style="406" customWidth="1"/>
    <col min="5" max="5" width="14.375" style="406" bestFit="1" customWidth="1"/>
    <col min="6" max="6" width="13.375" style="406" customWidth="1"/>
    <col min="7" max="7" width="17.25" style="406" bestFit="1" customWidth="1"/>
    <col min="8" max="8" width="15.125" style="406" bestFit="1" customWidth="1"/>
    <col min="9" max="11" width="15.125" style="406" customWidth="1"/>
    <col min="12" max="13" width="13.375" style="406" customWidth="1"/>
    <col min="14" max="14" width="18" style="406" customWidth="1"/>
    <col min="15" max="15" width="33.5" style="406" bestFit="1" customWidth="1"/>
    <col min="16" max="16" width="16.125" style="406" customWidth="1"/>
    <col min="17" max="21" width="15.125" style="406" customWidth="1"/>
    <col min="22" max="22" width="17.875" style="406" customWidth="1"/>
    <col min="23" max="23" width="9" style="406"/>
    <col min="24" max="24" width="17.125" style="406" bestFit="1" customWidth="1"/>
    <col min="25" max="16384" width="9" style="406"/>
  </cols>
  <sheetData>
    <row r="1" spans="1:24" ht="15.75" customHeight="1">
      <c r="A1" s="403"/>
      <c r="B1" s="404"/>
      <c r="C1" s="405"/>
      <c r="D1" s="405"/>
      <c r="E1" s="405"/>
      <c r="F1" s="405"/>
      <c r="G1" s="405"/>
      <c r="H1" s="405"/>
      <c r="I1" s="405"/>
      <c r="J1" s="405"/>
      <c r="K1" s="405"/>
      <c r="L1" s="405"/>
    </row>
    <row r="2" spans="1:24" ht="15.75" customHeight="1">
      <c r="B2" s="407" t="s">
        <v>243</v>
      </c>
      <c r="C2" s="408"/>
      <c r="D2" s="409"/>
      <c r="E2" s="409"/>
      <c r="F2" s="409"/>
      <c r="G2" s="409"/>
      <c r="H2" s="405"/>
      <c r="I2" s="405"/>
      <c r="J2" s="405"/>
      <c r="K2" s="405"/>
      <c r="L2" s="405"/>
      <c r="M2" s="405"/>
      <c r="N2" s="405"/>
      <c r="O2" s="405"/>
    </row>
    <row r="3" spans="1:24" ht="15.75" customHeight="1" thickBot="1">
      <c r="D3" s="409"/>
      <c r="E3" s="409"/>
      <c r="L3" s="405"/>
      <c r="M3" s="410"/>
      <c r="O3" s="411"/>
      <c r="P3" s="412"/>
      <c r="Q3" s="413"/>
      <c r="R3" s="413"/>
      <c r="S3" s="413"/>
      <c r="T3" s="413"/>
      <c r="U3" s="413"/>
      <c r="V3" s="412"/>
    </row>
    <row r="4" spans="1:24" ht="15.75" customHeight="1" thickTop="1">
      <c r="B4" s="414"/>
      <c r="C4" s="414" t="s">
        <v>244</v>
      </c>
      <c r="D4" s="415" t="s">
        <v>245</v>
      </c>
      <c r="E4" s="416"/>
      <c r="L4" s="405"/>
      <c r="O4" s="417"/>
      <c r="P4" s="418"/>
      <c r="Q4" s="419"/>
      <c r="R4" s="419"/>
      <c r="S4" s="419"/>
      <c r="T4" s="419"/>
      <c r="U4" s="419"/>
      <c r="V4" s="412"/>
      <c r="W4" s="411"/>
    </row>
    <row r="5" spans="1:24" ht="15.75" customHeight="1">
      <c r="B5" s="420">
        <v>0</v>
      </c>
      <c r="C5" s="420" t="s">
        <v>246</v>
      </c>
      <c r="D5" s="421">
        <v>0.45503337142857136</v>
      </c>
      <c r="E5" s="422"/>
      <c r="L5" s="405"/>
      <c r="O5" s="417"/>
      <c r="P5" s="418"/>
      <c r="Q5" s="419"/>
      <c r="R5" s="419"/>
      <c r="S5" s="419"/>
      <c r="T5" s="419"/>
      <c r="U5" s="419"/>
      <c r="V5" s="412"/>
      <c r="W5" s="411"/>
    </row>
    <row r="6" spans="1:24" ht="15.75" customHeight="1">
      <c r="B6" s="423">
        <v>0</v>
      </c>
      <c r="C6" s="423" t="s">
        <v>247</v>
      </c>
      <c r="D6" s="424">
        <v>1.2334557062930973</v>
      </c>
      <c r="E6" s="425"/>
      <c r="L6" s="405"/>
      <c r="P6" s="426"/>
      <c r="Q6" s="427"/>
      <c r="R6" s="427"/>
      <c r="S6" s="427"/>
      <c r="T6" s="427"/>
      <c r="U6" s="427"/>
      <c r="V6" s="412"/>
      <c r="W6" s="411"/>
    </row>
    <row r="7" spans="1:24" ht="15.75" customHeight="1" thickBot="1">
      <c r="D7" s="428" t="s">
        <v>248</v>
      </c>
      <c r="E7" s="413"/>
      <c r="L7" s="429"/>
      <c r="P7" s="426"/>
      <c r="Q7" s="427"/>
      <c r="R7" s="427"/>
      <c r="S7" s="427"/>
      <c r="T7" s="427"/>
      <c r="U7" s="427"/>
      <c r="V7" s="412"/>
      <c r="W7" s="411"/>
    </row>
    <row r="8" spans="1:24" ht="15.75" customHeight="1" thickTop="1">
      <c r="O8" s="411"/>
      <c r="P8" s="412"/>
      <c r="Q8" s="412"/>
      <c r="R8" s="412"/>
      <c r="S8" s="412"/>
      <c r="T8" s="412"/>
      <c r="U8" s="412"/>
      <c r="V8" s="412"/>
      <c r="W8" s="411"/>
    </row>
    <row r="9" spans="1:24" ht="15.75" customHeight="1" thickBot="1">
      <c r="L9" s="430" t="s">
        <v>249</v>
      </c>
      <c r="M9" s="431">
        <v>44742</v>
      </c>
      <c r="O9" s="411"/>
      <c r="P9" s="412"/>
      <c r="Q9" s="412"/>
      <c r="R9" s="412"/>
      <c r="S9" s="412"/>
      <c r="T9" s="412"/>
      <c r="U9" s="412"/>
      <c r="V9" s="412"/>
    </row>
    <row r="10" spans="1:24" ht="15.75" customHeight="1" thickBot="1">
      <c r="B10" s="432" t="s">
        <v>250</v>
      </c>
      <c r="H10" s="406" t="s">
        <v>251</v>
      </c>
      <c r="I10" s="433">
        <v>0.22</v>
      </c>
      <c r="L10" s="430" t="s">
        <v>252</v>
      </c>
      <c r="M10" s="431">
        <v>44720</v>
      </c>
      <c r="O10" s="411"/>
      <c r="P10" s="412"/>
      <c r="Q10" s="434"/>
      <c r="R10" s="434"/>
      <c r="S10" s="434"/>
      <c r="T10" s="412"/>
      <c r="U10" s="412"/>
      <c r="V10" s="412"/>
    </row>
    <row r="11" spans="1:24" ht="15.75" customHeight="1" thickBot="1">
      <c r="B11" s="435" t="s">
        <v>253</v>
      </c>
      <c r="G11" s="436"/>
      <c r="H11" s="436"/>
      <c r="I11" s="436"/>
      <c r="J11" s="436"/>
      <c r="K11" s="436"/>
      <c r="O11" s="412"/>
      <c r="P11" s="412"/>
      <c r="Q11" s="434"/>
      <c r="R11" s="434"/>
      <c r="S11" s="434"/>
      <c r="X11" s="412"/>
    </row>
    <row r="12" spans="1:24" ht="15.75" customHeight="1" thickTop="1" thickBot="1">
      <c r="B12" s="437" t="s">
        <v>254</v>
      </c>
      <c r="C12" s="438" t="s">
        <v>255</v>
      </c>
      <c r="D12" s="438" t="s">
        <v>256</v>
      </c>
      <c r="E12" s="437" t="s">
        <v>257</v>
      </c>
      <c r="F12" s="438" t="s">
        <v>258</v>
      </c>
      <c r="G12" s="438" t="s">
        <v>259</v>
      </c>
      <c r="H12" s="438" t="s">
        <v>260</v>
      </c>
      <c r="I12" s="438" t="s">
        <v>261</v>
      </c>
      <c r="J12" s="438" t="s">
        <v>262</v>
      </c>
      <c r="K12" s="437" t="s">
        <v>263</v>
      </c>
      <c r="L12" s="437" t="s">
        <v>264</v>
      </c>
      <c r="M12" s="437" t="s">
        <v>265</v>
      </c>
      <c r="P12" s="439" t="s">
        <v>266</v>
      </c>
      <c r="Q12" s="439" t="s">
        <v>267</v>
      </c>
      <c r="R12" s="439" t="s">
        <v>268</v>
      </c>
      <c r="S12" s="439" t="s">
        <v>269</v>
      </c>
      <c r="T12" s="439" t="s">
        <v>270</v>
      </c>
      <c r="U12" s="440" t="s">
        <v>271</v>
      </c>
      <c r="X12" s="412"/>
    </row>
    <row r="13" spans="1:24" ht="15.75" customHeight="1" thickTop="1" thickBot="1">
      <c r="A13" s="441" t="s">
        <v>272</v>
      </c>
      <c r="B13" s="442">
        <v>1</v>
      </c>
      <c r="C13" s="443" t="s">
        <v>273</v>
      </c>
      <c r="D13" s="443" t="s">
        <v>274</v>
      </c>
      <c r="E13" s="443" t="s">
        <v>275</v>
      </c>
      <c r="F13" s="444">
        <v>40738</v>
      </c>
      <c r="G13" s="445">
        <v>0.3374143</v>
      </c>
      <c r="H13" s="446">
        <v>1.2004787111768074</v>
      </c>
      <c r="I13" s="447">
        <v>0.22000000000000003</v>
      </c>
      <c r="J13" s="448">
        <v>0.17425063829135826</v>
      </c>
      <c r="K13" s="448">
        <v>0.34189638470939671</v>
      </c>
      <c r="L13" s="449">
        <v>10.795345653661876</v>
      </c>
      <c r="M13" s="449" t="s">
        <v>670</v>
      </c>
      <c r="N13" s="406">
        <v>0.39900000000000002</v>
      </c>
      <c r="O13" s="450">
        <v>-0.15435012531328329</v>
      </c>
      <c r="P13" s="451" t="s">
        <v>273</v>
      </c>
      <c r="Q13" s="451" t="s">
        <v>276</v>
      </c>
      <c r="R13" s="452">
        <v>0.3374143</v>
      </c>
      <c r="S13" s="453">
        <v>1.2004787111768074</v>
      </c>
      <c r="T13" s="452">
        <v>0.17425063829135826</v>
      </c>
      <c r="U13" s="452">
        <v>0.34189638470939671</v>
      </c>
      <c r="X13" s="412"/>
    </row>
    <row r="14" spans="1:24" ht="15.75" customHeight="1" thickTop="1" thickBot="1">
      <c r="A14" s="441" t="s">
        <v>277</v>
      </c>
      <c r="B14" s="442">
        <v>2</v>
      </c>
      <c r="C14" s="443" t="s">
        <v>278</v>
      </c>
      <c r="D14" s="443" t="s">
        <v>279</v>
      </c>
      <c r="E14" s="443" t="s">
        <v>280</v>
      </c>
      <c r="F14" s="444">
        <v>40939</v>
      </c>
      <c r="G14" s="445">
        <v>0.5922482</v>
      </c>
      <c r="H14" s="446">
        <v>1.6736509767382313</v>
      </c>
      <c r="I14" s="447">
        <v>0.22000000000000003</v>
      </c>
      <c r="J14" s="448">
        <v>0.2568907479921631</v>
      </c>
      <c r="K14" s="448">
        <v>0.50404416801593488</v>
      </c>
      <c r="L14" s="449">
        <v>10.244400199104032</v>
      </c>
      <c r="M14" s="449" t="s">
        <v>670</v>
      </c>
      <c r="N14" s="406">
        <v>0.71</v>
      </c>
      <c r="O14" s="450">
        <v>-0.16584760563380274</v>
      </c>
      <c r="P14" s="451" t="s">
        <v>278</v>
      </c>
      <c r="Q14" s="451" t="s">
        <v>281</v>
      </c>
      <c r="R14" s="452">
        <v>0.5922482</v>
      </c>
      <c r="S14" s="453">
        <v>1.6736509767382313</v>
      </c>
      <c r="T14" s="452">
        <v>0.2568907479921631</v>
      </c>
      <c r="U14" s="452">
        <v>0.50404416801593488</v>
      </c>
      <c r="X14" s="412"/>
    </row>
    <row r="15" spans="1:24" ht="15.75" customHeight="1" thickBot="1">
      <c r="A15" s="441" t="s">
        <v>282</v>
      </c>
      <c r="B15" s="442">
        <v>3</v>
      </c>
      <c r="C15" s="443" t="s">
        <v>283</v>
      </c>
      <c r="D15" s="443" t="s">
        <v>284</v>
      </c>
      <c r="E15" s="443" t="s">
        <v>285</v>
      </c>
      <c r="F15" s="454">
        <v>42635</v>
      </c>
      <c r="G15" s="445">
        <v>0.69710439999999996</v>
      </c>
      <c r="H15" s="446">
        <v>1.5105073215943077</v>
      </c>
      <c r="I15" s="447">
        <v>0.22000000000000003</v>
      </c>
      <c r="J15" s="448">
        <v>0.32003754140624446</v>
      </c>
      <c r="K15" s="448">
        <v>0.62794420411317009</v>
      </c>
      <c r="L15" s="449">
        <v>5.601095033242081</v>
      </c>
      <c r="M15" s="449" t="s">
        <v>670</v>
      </c>
      <c r="N15" s="406">
        <v>0.59399999999999997</v>
      </c>
      <c r="O15" s="450">
        <v>0.17357643097643094</v>
      </c>
      <c r="P15" s="451" t="s">
        <v>283</v>
      </c>
      <c r="Q15" s="451" t="s">
        <v>286</v>
      </c>
      <c r="R15" s="452">
        <v>0.69710439999999996</v>
      </c>
      <c r="S15" s="453">
        <v>1.5105073215943077</v>
      </c>
      <c r="T15" s="452">
        <v>0.32003754140624446</v>
      </c>
      <c r="U15" s="452">
        <v>0.62794420411317009</v>
      </c>
      <c r="X15" s="455"/>
    </row>
    <row r="16" spans="1:24" ht="15.75" customHeight="1" thickBot="1">
      <c r="A16" s="441" t="s">
        <v>286</v>
      </c>
      <c r="B16" s="442">
        <v>4</v>
      </c>
      <c r="C16" s="443" t="s">
        <v>287</v>
      </c>
      <c r="D16" s="443" t="s">
        <v>288</v>
      </c>
      <c r="E16" s="443" t="s">
        <v>289</v>
      </c>
      <c r="F16" s="454">
        <v>43278</v>
      </c>
      <c r="G16" s="445">
        <v>0.38559939999999998</v>
      </c>
      <c r="H16" s="446">
        <v>0.99219211431532883</v>
      </c>
      <c r="I16" s="447">
        <v>0.22000000000000003</v>
      </c>
      <c r="J16" s="448">
        <v>0.21737260221047772</v>
      </c>
      <c r="K16" s="448">
        <v>0.42650579394934646</v>
      </c>
      <c r="L16" s="449">
        <v>3.8417305585980288</v>
      </c>
      <c r="M16" s="449" t="s">
        <v>670</v>
      </c>
      <c r="N16" s="406">
        <v>0.57999999999999996</v>
      </c>
      <c r="O16" s="450">
        <v>-0.33517344827586204</v>
      </c>
      <c r="P16" s="451" t="s">
        <v>287</v>
      </c>
      <c r="Q16" s="451" t="s">
        <v>290</v>
      </c>
      <c r="R16" s="452">
        <v>0.38559939999999998</v>
      </c>
      <c r="S16" s="453">
        <v>0.99219211431532883</v>
      </c>
      <c r="T16" s="452">
        <v>0.21737260221047772</v>
      </c>
      <c r="U16" s="452">
        <v>0.42650579394934646</v>
      </c>
      <c r="X16" s="455"/>
    </row>
    <row r="17" spans="1:24" ht="15.75" customHeight="1" thickBot="1">
      <c r="A17" s="441" t="s">
        <v>291</v>
      </c>
      <c r="B17" s="442">
        <v>5</v>
      </c>
      <c r="C17" s="443" t="s">
        <v>292</v>
      </c>
      <c r="D17" s="443" t="s">
        <v>293</v>
      </c>
      <c r="E17" s="443" t="s">
        <v>294</v>
      </c>
      <c r="F17" s="454">
        <v>43320</v>
      </c>
      <c r="G17" s="445">
        <v>0.35713729999999999</v>
      </c>
      <c r="H17" s="446">
        <v>2.4951609458515165</v>
      </c>
      <c r="I17" s="447">
        <v>0.22000000000000003</v>
      </c>
      <c r="J17" s="448">
        <v>0.12121858812988995</v>
      </c>
      <c r="K17" s="448">
        <v>0.23784244033522223</v>
      </c>
      <c r="L17" s="449">
        <v>3.726725082146769</v>
      </c>
      <c r="M17" s="449" t="s">
        <v>670</v>
      </c>
      <c r="N17" s="406">
        <v>0.56200000000000006</v>
      </c>
      <c r="O17" s="450">
        <v>-0.36452437722419939</v>
      </c>
      <c r="P17" s="451" t="s">
        <v>292</v>
      </c>
      <c r="Q17" s="451" t="s">
        <v>290</v>
      </c>
      <c r="R17" s="452">
        <v>0.35713729999999999</v>
      </c>
      <c r="S17" s="453">
        <v>2.4951609458515165</v>
      </c>
      <c r="T17" s="452">
        <v>0.12121858812988995</v>
      </c>
      <c r="U17" s="452">
        <v>0.23784244033522223</v>
      </c>
      <c r="X17" s="455"/>
    </row>
    <row r="18" spans="1:24" ht="15.75" customHeight="1" thickBot="1">
      <c r="A18" s="441" t="s">
        <v>295</v>
      </c>
      <c r="B18" s="442">
        <v>6</v>
      </c>
      <c r="C18" s="443" t="s">
        <v>296</v>
      </c>
      <c r="D18" s="443" t="s">
        <v>297</v>
      </c>
      <c r="E18" s="443" t="s">
        <v>298</v>
      </c>
      <c r="F18" s="454">
        <v>43768</v>
      </c>
      <c r="G18" s="445">
        <v>0.43163390000000001</v>
      </c>
      <c r="H18" s="446">
        <v>0.76219987437548942</v>
      </c>
      <c r="I18" s="447">
        <v>0.24200000000000002</v>
      </c>
      <c r="J18" s="448">
        <v>0.27357603082447035</v>
      </c>
      <c r="K18" s="448">
        <v>0.53678228555832852</v>
      </c>
      <c r="L18" s="449">
        <v>2.4996577686516086</v>
      </c>
      <c r="M18" s="449" t="s">
        <v>670</v>
      </c>
      <c r="N18" s="406">
        <v>0.57099999999999995</v>
      </c>
      <c r="O18" s="450">
        <v>-0.24407373029772317</v>
      </c>
      <c r="P18" s="451" t="s">
        <v>296</v>
      </c>
      <c r="Q18" s="451" t="s">
        <v>299</v>
      </c>
      <c r="R18" s="452">
        <v>0.43163390000000001</v>
      </c>
      <c r="S18" s="453">
        <v>0.76219987437548942</v>
      </c>
      <c r="T18" s="452">
        <v>0.27357603082447035</v>
      </c>
      <c r="U18" s="452">
        <v>0.53678228555832852</v>
      </c>
      <c r="X18" s="455"/>
    </row>
    <row r="19" spans="1:24" ht="15.75" customHeight="1" thickBot="1">
      <c r="A19" s="441" t="s">
        <v>276</v>
      </c>
      <c r="B19" s="442">
        <v>7</v>
      </c>
      <c r="C19" s="443" t="s">
        <v>300</v>
      </c>
      <c r="D19" s="443" t="s">
        <v>301</v>
      </c>
      <c r="E19" s="443" t="s">
        <v>302</v>
      </c>
      <c r="F19" s="454">
        <v>43804</v>
      </c>
      <c r="G19" s="445">
        <v>0.3840961</v>
      </c>
      <c r="H19" s="446">
        <v>0</v>
      </c>
      <c r="I19" s="447">
        <v>0.22000000000000003</v>
      </c>
      <c r="J19" s="448">
        <v>0.3840961</v>
      </c>
      <c r="K19" s="448">
        <v>0.75363321052174082</v>
      </c>
      <c r="L19" s="449">
        <v>2.4010951403148528</v>
      </c>
      <c r="M19" s="449" t="s">
        <v>670</v>
      </c>
      <c r="N19" s="406">
        <v>0.46899999999999997</v>
      </c>
      <c r="O19" s="450">
        <v>-0.18103176972281443</v>
      </c>
      <c r="P19" s="451" t="s">
        <v>300</v>
      </c>
      <c r="Q19" s="451" t="s">
        <v>276</v>
      </c>
      <c r="R19" s="452">
        <v>0.3840961</v>
      </c>
      <c r="S19" s="453">
        <v>0</v>
      </c>
      <c r="T19" s="452">
        <v>0.3840961</v>
      </c>
      <c r="U19" s="452">
        <v>0.75363321052174082</v>
      </c>
      <c r="X19" s="455"/>
    </row>
    <row r="20" spans="1:24" ht="15.75" customHeight="1" thickBot="1">
      <c r="A20" s="441" t="s">
        <v>291</v>
      </c>
      <c r="B20" s="442">
        <v>8</v>
      </c>
      <c r="C20" s="456" t="s">
        <v>303</v>
      </c>
      <c r="D20" s="456" t="s">
        <v>304</v>
      </c>
      <c r="E20" s="456" t="s">
        <v>305</v>
      </c>
      <c r="F20" s="457">
        <v>44028</v>
      </c>
      <c r="G20" s="458"/>
      <c r="H20" s="459"/>
      <c r="I20" s="459"/>
      <c r="J20" s="459"/>
      <c r="K20" s="459"/>
      <c r="L20" s="449">
        <v>1.7874087591240877</v>
      </c>
      <c r="M20" s="449" t="s">
        <v>671</v>
      </c>
      <c r="N20" s="436"/>
      <c r="P20" s="460" t="s">
        <v>306</v>
      </c>
      <c r="Q20" s="461" t="s">
        <v>236</v>
      </c>
      <c r="R20" s="462">
        <v>0.45503337142857136</v>
      </c>
      <c r="S20" s="463">
        <v>1.2334557062930973</v>
      </c>
      <c r="T20" s="462">
        <v>0.2496346069792291</v>
      </c>
      <c r="U20" s="462">
        <v>0.48980692674330567</v>
      </c>
      <c r="X20" s="405"/>
    </row>
    <row r="21" spans="1:24" ht="15.75" customHeight="1" thickBot="1">
      <c r="A21" s="441" t="s">
        <v>276</v>
      </c>
      <c r="B21" s="442">
        <v>9</v>
      </c>
      <c r="C21" s="442" t="s">
        <v>307</v>
      </c>
      <c r="D21" s="442" t="s">
        <v>308</v>
      </c>
      <c r="E21" s="456" t="s">
        <v>309</v>
      </c>
      <c r="F21" s="457">
        <v>44048</v>
      </c>
      <c r="G21" s="458"/>
      <c r="H21" s="459"/>
      <c r="I21" s="459"/>
      <c r="J21" s="459"/>
      <c r="K21" s="459"/>
      <c r="L21" s="449">
        <v>1.7326642335766425</v>
      </c>
      <c r="M21" s="449" t="s">
        <v>671</v>
      </c>
      <c r="U21" s="411"/>
    </row>
    <row r="22" spans="1:24" ht="15.75" customHeight="1" thickBot="1">
      <c r="A22" s="441" t="s">
        <v>291</v>
      </c>
      <c r="B22" s="442">
        <v>10</v>
      </c>
      <c r="C22" s="442" t="s">
        <v>310</v>
      </c>
      <c r="D22" s="442" t="s">
        <v>311</v>
      </c>
      <c r="E22" s="456" t="s">
        <v>312</v>
      </c>
      <c r="F22" s="457">
        <v>44048</v>
      </c>
      <c r="G22" s="458"/>
      <c r="H22" s="459"/>
      <c r="I22" s="459"/>
      <c r="J22" s="459"/>
      <c r="K22" s="459"/>
      <c r="L22" s="449">
        <v>1.7326642335766425</v>
      </c>
      <c r="M22" s="449" t="s">
        <v>671</v>
      </c>
    </row>
    <row r="23" spans="1:24" ht="15.75" customHeight="1" thickBot="1">
      <c r="A23" s="441" t="s">
        <v>276</v>
      </c>
      <c r="B23" s="442">
        <v>11</v>
      </c>
      <c r="C23" s="442" t="s">
        <v>313</v>
      </c>
      <c r="D23" s="442" t="s">
        <v>314</v>
      </c>
      <c r="E23" s="456" t="s">
        <v>315</v>
      </c>
      <c r="F23" s="457">
        <v>44050</v>
      </c>
      <c r="G23" s="458"/>
      <c r="H23" s="459"/>
      <c r="I23" s="459"/>
      <c r="J23" s="459"/>
      <c r="K23" s="459"/>
      <c r="L23" s="449">
        <v>1.7271897810218979</v>
      </c>
      <c r="M23" s="449" t="s">
        <v>671</v>
      </c>
      <c r="P23" s="464"/>
      <c r="Q23" s="464"/>
      <c r="R23" s="464"/>
    </row>
    <row r="24" spans="1:24" ht="15.75" customHeight="1" thickBot="1">
      <c r="A24" s="441" t="s">
        <v>276</v>
      </c>
      <c r="B24" s="442">
        <v>12</v>
      </c>
      <c r="C24" s="442" t="s">
        <v>316</v>
      </c>
      <c r="D24" s="442" t="s">
        <v>317</v>
      </c>
      <c r="E24" s="456" t="s">
        <v>318</v>
      </c>
      <c r="F24" s="457">
        <v>44074</v>
      </c>
      <c r="G24" s="458"/>
      <c r="H24" s="459"/>
      <c r="I24" s="459"/>
      <c r="J24" s="459"/>
      <c r="K24" s="459"/>
      <c r="L24" s="449">
        <v>1.6614963503649636</v>
      </c>
      <c r="M24" s="449" t="s">
        <v>671</v>
      </c>
      <c r="P24" s="464"/>
      <c r="Q24" s="464"/>
      <c r="R24" s="464"/>
    </row>
    <row r="25" spans="1:24" ht="15.75" customHeight="1" thickBot="1">
      <c r="A25" s="441" t="s">
        <v>276</v>
      </c>
      <c r="B25" s="442">
        <v>13</v>
      </c>
      <c r="C25" s="442" t="s">
        <v>319</v>
      </c>
      <c r="D25" s="456" t="s">
        <v>320</v>
      </c>
      <c r="E25" s="456" t="s">
        <v>321</v>
      </c>
      <c r="F25" s="457">
        <v>44188</v>
      </c>
      <c r="G25" s="458"/>
      <c r="H25" s="459"/>
      <c r="I25" s="459"/>
      <c r="J25" s="459"/>
      <c r="K25" s="459"/>
      <c r="L25" s="449">
        <v>1.3494525547445255</v>
      </c>
      <c r="M25" s="449" t="s">
        <v>671</v>
      </c>
      <c r="P25" s="464"/>
      <c r="Q25" s="464"/>
      <c r="R25" s="464"/>
    </row>
    <row r="26" spans="1:24" ht="15.75" customHeight="1" thickBot="1">
      <c r="A26" s="441" t="s">
        <v>276</v>
      </c>
      <c r="B26" s="442">
        <v>14</v>
      </c>
      <c r="C26" s="442" t="s">
        <v>322</v>
      </c>
      <c r="D26" s="456" t="s">
        <v>323</v>
      </c>
      <c r="E26" s="456" t="s">
        <v>324</v>
      </c>
      <c r="F26" s="465">
        <v>44435</v>
      </c>
      <c r="G26" s="466"/>
      <c r="H26" s="466"/>
      <c r="I26" s="466"/>
      <c r="J26" s="466"/>
      <c r="K26" s="467"/>
      <c r="L26" s="449">
        <v>0.67397260273972603</v>
      </c>
      <c r="M26" s="449" t="s">
        <v>671</v>
      </c>
      <c r="P26" s="464"/>
      <c r="Q26" s="464"/>
      <c r="R26" s="464"/>
    </row>
    <row r="27" spans="1:24" ht="15.75" customHeight="1" thickBot="1">
      <c r="A27" s="441" t="s">
        <v>276</v>
      </c>
      <c r="B27" s="442">
        <v>15</v>
      </c>
      <c r="C27" s="442" t="s">
        <v>325</v>
      </c>
      <c r="D27" s="456" t="s">
        <v>326</v>
      </c>
      <c r="E27" s="456" t="s">
        <v>327</v>
      </c>
      <c r="F27" s="465">
        <v>44453</v>
      </c>
      <c r="G27" s="466"/>
      <c r="H27" s="466"/>
      <c r="I27" s="466"/>
      <c r="J27" s="466"/>
      <c r="K27" s="467"/>
      <c r="L27" s="449">
        <v>0.62465753424657533</v>
      </c>
      <c r="M27" s="449" t="s">
        <v>671</v>
      </c>
      <c r="P27" s="464"/>
      <c r="Q27" s="464"/>
      <c r="R27" s="464"/>
    </row>
    <row r="28" spans="1:24" ht="15.75" customHeight="1" thickBot="1">
      <c r="A28" s="441"/>
      <c r="B28" s="442">
        <v>16</v>
      </c>
      <c r="C28" s="442" t="s">
        <v>328</v>
      </c>
      <c r="D28" s="456" t="s">
        <v>329</v>
      </c>
      <c r="E28" s="456" t="s">
        <v>330</v>
      </c>
      <c r="F28" s="465">
        <v>44518</v>
      </c>
      <c r="G28" s="466"/>
      <c r="H28" s="466"/>
      <c r="I28" s="466"/>
      <c r="J28" s="466"/>
      <c r="K28" s="467"/>
      <c r="L28" s="449">
        <v>0.44657534246575342</v>
      </c>
      <c r="M28" s="449" t="s">
        <v>671</v>
      </c>
      <c r="P28" s="464"/>
      <c r="Q28" s="464"/>
      <c r="R28" s="464"/>
    </row>
    <row r="29" spans="1:24" ht="15.75" customHeight="1" thickBot="1">
      <c r="A29" s="441"/>
      <c r="B29" s="442">
        <v>17</v>
      </c>
      <c r="C29" s="456" t="s">
        <v>331</v>
      </c>
      <c r="D29" s="456" t="s">
        <v>332</v>
      </c>
      <c r="E29" s="456" t="s">
        <v>333</v>
      </c>
      <c r="F29" s="465">
        <v>44533</v>
      </c>
      <c r="G29" s="466"/>
      <c r="H29" s="466"/>
      <c r="I29" s="466"/>
      <c r="J29" s="466"/>
      <c r="K29" s="467"/>
      <c r="L29" s="449">
        <v>0.40547945205479452</v>
      </c>
      <c r="M29" s="449" t="s">
        <v>671</v>
      </c>
      <c r="P29" s="464"/>
      <c r="Q29" s="464"/>
      <c r="R29" s="464"/>
    </row>
    <row r="30" spans="1:24" ht="15.75" customHeight="1" thickBot="1">
      <c r="A30" s="441"/>
      <c r="B30" s="442">
        <v>18</v>
      </c>
      <c r="C30" s="456" t="s">
        <v>334</v>
      </c>
      <c r="D30" s="456" t="s">
        <v>335</v>
      </c>
      <c r="E30" s="456" t="s">
        <v>336</v>
      </c>
      <c r="F30" s="465">
        <v>44540</v>
      </c>
      <c r="G30" s="466"/>
      <c r="H30" s="466"/>
      <c r="I30" s="466"/>
      <c r="J30" s="466"/>
      <c r="K30" s="467"/>
      <c r="L30" s="449">
        <v>0.38630136986301372</v>
      </c>
      <c r="M30" s="449" t="s">
        <v>671</v>
      </c>
      <c r="P30" s="464"/>
      <c r="Q30" s="464"/>
      <c r="R30" s="464"/>
    </row>
    <row r="31" spans="1:24" ht="15.75" customHeight="1" thickBot="1">
      <c r="A31" s="441"/>
      <c r="B31" s="442">
        <v>19</v>
      </c>
      <c r="C31" s="456" t="s">
        <v>337</v>
      </c>
      <c r="D31" s="456" t="s">
        <v>338</v>
      </c>
      <c r="E31" s="456" t="s">
        <v>339</v>
      </c>
      <c r="F31" s="465">
        <v>44648</v>
      </c>
      <c r="G31" s="466"/>
      <c r="H31" s="466"/>
      <c r="I31" s="466"/>
      <c r="J31" s="466"/>
      <c r="K31" s="467"/>
      <c r="L31" s="449">
        <v>9.0410958904109592E-2</v>
      </c>
      <c r="M31" s="449" t="s">
        <v>671</v>
      </c>
      <c r="P31" s="464"/>
      <c r="Q31" s="464"/>
      <c r="R31" s="464"/>
    </row>
    <row r="32" spans="1:24" ht="15.75" customHeight="1" thickBot="1">
      <c r="A32" s="441"/>
      <c r="B32" s="442">
        <v>20</v>
      </c>
      <c r="C32" s="456" t="s">
        <v>340</v>
      </c>
      <c r="D32" s="456" t="s">
        <v>341</v>
      </c>
      <c r="E32" s="456" t="s">
        <v>342</v>
      </c>
      <c r="F32" s="465">
        <v>44712</v>
      </c>
      <c r="G32" s="466"/>
      <c r="H32" s="466"/>
      <c r="I32" s="466"/>
      <c r="J32" s="466"/>
      <c r="K32" s="467"/>
      <c r="L32" s="449">
        <v>8.4931506849315067E-2</v>
      </c>
      <c r="M32" s="449" t="s">
        <v>671</v>
      </c>
      <c r="P32" s="464"/>
      <c r="Q32" s="464"/>
      <c r="R32" s="464"/>
    </row>
    <row r="33" spans="1:19" ht="15.75" customHeight="1">
      <c r="A33" s="468"/>
      <c r="B33" s="469"/>
      <c r="C33" s="470"/>
      <c r="D33" s="470"/>
      <c r="E33" s="470"/>
      <c r="F33" s="471"/>
      <c r="G33" s="472"/>
      <c r="H33" s="473">
        <v>1.2334557062930973</v>
      </c>
      <c r="I33" s="473"/>
      <c r="J33" s="474">
        <v>0.2496346069792291</v>
      </c>
      <c r="K33" s="474">
        <v>0.48980692674330567</v>
      </c>
      <c r="L33" s="475"/>
      <c r="M33" s="476"/>
      <c r="P33" s="464"/>
      <c r="Q33" s="464"/>
      <c r="R33" s="464"/>
    </row>
    <row r="34" spans="1:19" ht="15.75" customHeight="1">
      <c r="A34" s="468"/>
      <c r="B34" s="477" t="s">
        <v>343</v>
      </c>
      <c r="C34" s="470"/>
      <c r="D34" s="470"/>
      <c r="E34" s="470"/>
      <c r="F34" s="471"/>
      <c r="G34" s="472"/>
      <c r="H34" s="478"/>
      <c r="I34" s="478"/>
      <c r="J34" s="479"/>
      <c r="K34" s="479"/>
      <c r="L34" s="475"/>
      <c r="M34" s="476"/>
      <c r="P34" s="464"/>
      <c r="Q34" s="464"/>
      <c r="R34" s="464"/>
    </row>
    <row r="35" spans="1:19" s="480" customFormat="1" ht="15.75" customHeight="1">
      <c r="O35" s="481"/>
      <c r="P35" s="481"/>
      <c r="Q35" s="481"/>
      <c r="R35" s="482"/>
    </row>
    <row r="36" spans="1:19" s="483" customFormat="1" ht="30" customHeight="1"/>
    <row r="37" spans="1:19" s="483" customFormat="1" ht="30" customHeight="1" thickBot="1">
      <c r="B37" s="484" t="s">
        <v>344</v>
      </c>
      <c r="C37" s="485"/>
      <c r="D37" s="485"/>
      <c r="E37" s="485"/>
      <c r="F37" s="486"/>
    </row>
    <row r="38" spans="1:19" s="483" customFormat="1" ht="30" customHeight="1" thickBot="1">
      <c r="B38" s="487" t="s">
        <v>345</v>
      </c>
      <c r="C38" s="488" t="s">
        <v>346</v>
      </c>
      <c r="D38" s="488" t="s">
        <v>347</v>
      </c>
      <c r="E38" s="485"/>
      <c r="F38" s="486"/>
      <c r="J38" s="488" t="s">
        <v>347</v>
      </c>
      <c r="K38" s="488" t="s">
        <v>348</v>
      </c>
      <c r="L38" s="488" t="s">
        <v>349</v>
      </c>
      <c r="M38" s="488" t="s">
        <v>350</v>
      </c>
      <c r="N38" s="488" t="s">
        <v>351</v>
      </c>
      <c r="O38" s="488" t="s">
        <v>352</v>
      </c>
      <c r="P38" s="488" t="s">
        <v>353</v>
      </c>
      <c r="Q38" s="488" t="s">
        <v>354</v>
      </c>
      <c r="R38" s="488" t="s">
        <v>355</v>
      </c>
      <c r="S38" s="487" t="s">
        <v>356</v>
      </c>
    </row>
    <row r="39" spans="1:19" s="483" customFormat="1" ht="30" customHeight="1" thickBot="1">
      <c r="B39" s="489" t="s">
        <v>357</v>
      </c>
      <c r="C39" s="451" t="s">
        <v>358</v>
      </c>
      <c r="D39" s="490">
        <v>0.45503337142857136</v>
      </c>
      <c r="F39" s="491" t="s">
        <v>359</v>
      </c>
      <c r="G39" s="492"/>
      <c r="J39" s="490">
        <v>0.55499999999999994</v>
      </c>
      <c r="K39" s="490">
        <v>0.55628261666666667</v>
      </c>
      <c r="L39" s="490">
        <v>0.55985817999999998</v>
      </c>
      <c r="M39" s="490">
        <v>0.53820000000000001</v>
      </c>
      <c r="N39" s="490">
        <v>0.53839999999999999</v>
      </c>
      <c r="O39" s="490">
        <v>0.52079999999999993</v>
      </c>
      <c r="P39" s="490">
        <v>0.5756</v>
      </c>
      <c r="Q39" s="490">
        <v>0.57139999999999991</v>
      </c>
      <c r="R39" s="490">
        <v>0.59724999999999995</v>
      </c>
      <c r="S39" s="493">
        <v>0.52200000000000002</v>
      </c>
    </row>
    <row r="40" spans="1:19" s="483" customFormat="1" ht="30" customHeight="1" thickBot="1">
      <c r="B40" s="489" t="s">
        <v>360</v>
      </c>
      <c r="C40" s="451" t="s">
        <v>358</v>
      </c>
      <c r="D40" s="494">
        <v>1.2334557062930973</v>
      </c>
      <c r="F40" s="495">
        <v>0.22</v>
      </c>
      <c r="G40" s="496" t="s">
        <v>361</v>
      </c>
      <c r="J40" s="494">
        <v>1.5090997275401419</v>
      </c>
      <c r="K40" s="494">
        <v>1.5111218424887278</v>
      </c>
      <c r="L40" s="494">
        <v>1.6819815777924569</v>
      </c>
      <c r="M40" s="494">
        <v>1.6884786880051963</v>
      </c>
      <c r="N40" s="494">
        <v>1.3672614067560775</v>
      </c>
      <c r="O40" s="494">
        <v>2.0141789568815684</v>
      </c>
      <c r="P40" s="494">
        <v>1.7437</v>
      </c>
      <c r="Q40" s="494">
        <v>1.7194617535241321</v>
      </c>
      <c r="R40" s="494">
        <v>1.8862999999999999</v>
      </c>
      <c r="S40" s="497">
        <v>2.3692666666666669</v>
      </c>
    </row>
    <row r="41" spans="1:19" s="483" customFormat="1" ht="30" customHeight="1" thickBot="1">
      <c r="B41" s="498" t="s">
        <v>362</v>
      </c>
      <c r="C41" s="499" t="s">
        <v>363</v>
      </c>
      <c r="D41" s="490">
        <v>0.2496346069792291</v>
      </c>
      <c r="F41" s="500" t="s">
        <v>364</v>
      </c>
      <c r="G41" s="501"/>
      <c r="J41" s="490">
        <v>0.28513166437389542</v>
      </c>
      <c r="K41" s="490">
        <v>0.26459892670489377</v>
      </c>
      <c r="L41" s="490">
        <v>0.24747320316170715</v>
      </c>
      <c r="M41" s="490">
        <v>0.23665033493622706</v>
      </c>
      <c r="N41" s="490">
        <v>0.26054169187825948</v>
      </c>
      <c r="O41" s="490">
        <v>0.20256239986090047</v>
      </c>
      <c r="P41" s="490">
        <v>0.24388941758902008</v>
      </c>
      <c r="Q41" s="490">
        <v>0.24406494120844754</v>
      </c>
      <c r="R41" s="490">
        <v>0.24167305328258568</v>
      </c>
      <c r="S41" s="502">
        <v>0.18328471489746589</v>
      </c>
    </row>
    <row r="42" spans="1:19" s="483" customFormat="1" ht="30" customHeight="1" thickBot="1">
      <c r="B42" s="503" t="s">
        <v>365</v>
      </c>
      <c r="C42" s="499" t="s">
        <v>366</v>
      </c>
      <c r="D42" s="490">
        <v>0.48980692674330562</v>
      </c>
      <c r="E42" s="483" t="b">
        <v>1</v>
      </c>
      <c r="F42" s="504">
        <v>2.3528536585365856E-2</v>
      </c>
      <c r="G42" s="505"/>
      <c r="J42" s="490">
        <v>0.62075951564927134</v>
      </c>
      <c r="K42" s="490">
        <v>0.57647507646630813</v>
      </c>
      <c r="L42" s="490">
        <v>0.57214459075962665</v>
      </c>
      <c r="M42" s="490">
        <v>0.54832199163453355</v>
      </c>
      <c r="N42" s="490">
        <v>0.53839999999999999</v>
      </c>
      <c r="O42" s="490">
        <v>0.52079999999999993</v>
      </c>
      <c r="P42" s="490">
        <v>0.5756</v>
      </c>
      <c r="Q42" s="490">
        <v>0.57139999999999991</v>
      </c>
      <c r="R42" s="490">
        <v>0.59724999999999995</v>
      </c>
      <c r="S42" s="493">
        <v>0.52200000000000002</v>
      </c>
    </row>
    <row r="43" spans="1:19" s="483" customFormat="1" ht="30" customHeight="1" thickBot="1">
      <c r="B43" s="503" t="s">
        <v>367</v>
      </c>
      <c r="C43" s="499" t="s">
        <v>368</v>
      </c>
      <c r="D43" s="506">
        <v>2.3528536585365856E-2</v>
      </c>
      <c r="F43" s="491" t="s">
        <v>369</v>
      </c>
      <c r="J43" s="507">
        <v>2.1270000000000001E-2</v>
      </c>
      <c r="K43" s="506">
        <v>1.9571341463414625E-2</v>
      </c>
      <c r="L43" s="506">
        <v>1.8882764227642273E-2</v>
      </c>
      <c r="M43" s="506">
        <v>1.7969798387096777E-2</v>
      </c>
      <c r="N43" s="506">
        <v>1.6229072580645161E-2</v>
      </c>
      <c r="O43" s="506">
        <v>1.5049999999999999E-2</v>
      </c>
      <c r="P43" s="506">
        <v>1.508E-2</v>
      </c>
      <c r="Q43" s="506">
        <v>1.5100000000000001E-2</v>
      </c>
      <c r="R43" s="506">
        <v>1.5699999999999999E-2</v>
      </c>
      <c r="S43" s="497">
        <v>1.67E-2</v>
      </c>
    </row>
    <row r="44" spans="1:19" s="483" customFormat="1" ht="30" customHeight="1" thickBot="1">
      <c r="B44" s="503" t="s">
        <v>370</v>
      </c>
      <c r="C44" s="499" t="s">
        <v>371</v>
      </c>
      <c r="D44" s="497">
        <v>0.12268939024390246</v>
      </c>
      <c r="F44" s="504">
        <v>0.12268939024390246</v>
      </c>
      <c r="J44" s="508">
        <v>0.12938</v>
      </c>
      <c r="K44" s="497">
        <v>0.13349508130081292</v>
      </c>
      <c r="L44" s="497">
        <v>0.13320093495934957</v>
      </c>
      <c r="M44" s="497">
        <v>0.1330851612903225</v>
      </c>
      <c r="N44" s="497">
        <v>0.13202508064516133</v>
      </c>
      <c r="O44" s="497">
        <v>0.13025999999999999</v>
      </c>
      <c r="P44" s="497">
        <v>0.12272</v>
      </c>
      <c r="Q44" s="497">
        <v>0.12039999999999999</v>
      </c>
      <c r="R44" s="497">
        <v>0.1077</v>
      </c>
      <c r="S44" s="497">
        <v>9.9699999999999997E-2</v>
      </c>
    </row>
    <row r="45" spans="1:19" s="483" customFormat="1" ht="30" customHeight="1" thickBot="1">
      <c r="B45" s="509" t="s">
        <v>372</v>
      </c>
      <c r="C45" s="510" t="s">
        <v>373</v>
      </c>
      <c r="D45" s="511">
        <v>8.3622649764741819E-2</v>
      </c>
      <c r="E45" s="512"/>
      <c r="J45" s="511">
        <v>0.10158386613470272</v>
      </c>
      <c r="K45" s="511">
        <v>9.6527928664176782E-2</v>
      </c>
      <c r="L45" s="511">
        <v>9.5092958648758982E-2</v>
      </c>
      <c r="M45" s="511">
        <v>9.0943319082809546E-2</v>
      </c>
      <c r="N45" s="511">
        <v>8.7311376000000024E-2</v>
      </c>
      <c r="O45" s="511">
        <v>8.2889407999999984E-2</v>
      </c>
      <c r="P45" s="511">
        <v>8.5717631999999988E-2</v>
      </c>
      <c r="Q45" s="511">
        <v>8.3896559999999995E-2</v>
      </c>
      <c r="R45" s="511">
        <v>8.0023825000000007E-2</v>
      </c>
      <c r="S45" s="497">
        <v>6.874340000000001E-2</v>
      </c>
    </row>
    <row r="46" spans="1:19" s="483" customFormat="1" ht="30" customHeight="1" thickBot="1">
      <c r="B46" s="489" t="s">
        <v>374</v>
      </c>
      <c r="C46" s="2450" t="s">
        <v>375</v>
      </c>
      <c r="D46" s="2451"/>
      <c r="F46" s="491" t="s">
        <v>376</v>
      </c>
      <c r="G46" s="491" t="s">
        <v>377</v>
      </c>
    </row>
    <row r="47" spans="1:19" ht="32.25" customHeight="1" thickBot="1">
      <c r="B47" s="489" t="s">
        <v>378</v>
      </c>
      <c r="C47" s="2452" t="s">
        <v>379</v>
      </c>
      <c r="D47" s="2453"/>
      <c r="E47" s="483"/>
      <c r="F47" s="504">
        <v>-1.7961216369960897E-2</v>
      </c>
      <c r="G47" s="504">
        <v>-0.44852587149935963</v>
      </c>
      <c r="H47" s="483"/>
      <c r="I47" s="483"/>
      <c r="J47" s="483"/>
      <c r="K47" s="513" t="s">
        <v>672</v>
      </c>
      <c r="L47" s="514" t="s">
        <v>348</v>
      </c>
      <c r="M47" s="514" t="s">
        <v>380</v>
      </c>
    </row>
    <row r="48" spans="1:19" ht="15.75" customHeight="1" thickBot="1">
      <c r="K48" s="515">
        <v>8.3622649764741819E-2</v>
      </c>
      <c r="L48" s="516">
        <v>0.10158386613470272</v>
      </c>
      <c r="M48" s="516">
        <v>-1.7961216369960897E-2</v>
      </c>
    </row>
    <row r="484" spans="2:11" ht="15.75" customHeight="1">
      <c r="B484" s="410"/>
      <c r="C484" s="410"/>
      <c r="D484" s="410"/>
      <c r="E484" s="410"/>
      <c r="F484" s="410"/>
      <c r="G484" s="410"/>
      <c r="H484" s="410"/>
      <c r="I484" s="410"/>
      <c r="J484" s="410"/>
      <c r="K484" s="410"/>
    </row>
    <row r="485" spans="2:11" s="410" customFormat="1" ht="15.75" customHeight="1">
      <c r="B485" s="406"/>
      <c r="C485" s="406"/>
      <c r="D485" s="406"/>
      <c r="E485" s="406"/>
      <c r="F485" s="406"/>
      <c r="G485" s="406"/>
      <c r="H485" s="406"/>
      <c r="I485" s="406"/>
      <c r="J485" s="406"/>
      <c r="K485" s="406"/>
    </row>
    <row r="727" spans="2:11" ht="15.75" customHeight="1">
      <c r="B727" s="517"/>
      <c r="C727" s="517"/>
      <c r="D727" s="517"/>
      <c r="E727" s="517"/>
      <c r="F727" s="517"/>
      <c r="G727" s="517"/>
      <c r="H727" s="517"/>
      <c r="I727" s="517"/>
      <c r="J727" s="517"/>
      <c r="K727" s="517"/>
    </row>
    <row r="728" spans="2:11" s="517" customFormat="1" ht="15.75" customHeight="1"/>
    <row r="729" spans="2:11" s="517" customFormat="1" ht="15.75" customHeight="1">
      <c r="B729" s="406"/>
      <c r="C729" s="406"/>
      <c r="D729" s="406"/>
      <c r="E729" s="406"/>
      <c r="F729" s="406"/>
      <c r="G729" s="406"/>
      <c r="H729" s="406"/>
      <c r="I729" s="406"/>
      <c r="J729" s="406"/>
      <c r="K729" s="406"/>
    </row>
    <row r="730" spans="2:11" ht="15.75" customHeight="1">
      <c r="B730" s="410"/>
      <c r="C730" s="410"/>
      <c r="D730" s="410"/>
      <c r="E730" s="410"/>
      <c r="F730" s="410"/>
      <c r="G730" s="410"/>
      <c r="H730" s="410"/>
      <c r="I730" s="410"/>
      <c r="J730" s="410"/>
      <c r="K730" s="410"/>
    </row>
    <row r="731" spans="2:11" s="410" customFormat="1" ht="15.75" customHeight="1"/>
    <row r="732" spans="2:11" s="410" customFormat="1" ht="15.75" customHeight="1"/>
    <row r="733" spans="2:11" s="410" customFormat="1" ht="15.75" customHeight="1">
      <c r="B733" s="406"/>
      <c r="C733" s="406"/>
      <c r="D733" s="406"/>
      <c r="E733" s="406"/>
      <c r="F733" s="406"/>
      <c r="G733" s="406"/>
      <c r="H733" s="406"/>
      <c r="I733" s="406"/>
      <c r="J733" s="406"/>
      <c r="K733" s="406"/>
    </row>
    <row r="734" spans="2:11" ht="15.75" customHeight="1">
      <c r="B734" s="410"/>
      <c r="C734" s="410"/>
      <c r="D734" s="410"/>
      <c r="E734" s="410"/>
      <c r="F734" s="410"/>
      <c r="G734" s="410"/>
      <c r="H734" s="410"/>
      <c r="I734" s="410"/>
      <c r="J734" s="410"/>
      <c r="K734" s="410"/>
    </row>
    <row r="735" spans="2:11" s="410" customFormat="1" ht="15.75" customHeight="1"/>
    <row r="736" spans="2:11" s="410" customFormat="1" ht="15.75" customHeight="1">
      <c r="B736" s="406"/>
      <c r="C736" s="406"/>
      <c r="D736" s="406"/>
      <c r="E736" s="406"/>
      <c r="F736" s="406"/>
      <c r="G736" s="406"/>
      <c r="H736" s="406"/>
      <c r="I736" s="406"/>
      <c r="J736" s="406"/>
      <c r="K736" s="406"/>
    </row>
  </sheetData>
  <autoFilter ref="B12:M12">
    <sortState ref="B13:L28">
      <sortCondition ref="B12"/>
    </sortState>
  </autoFilter>
  <mergeCells count="2">
    <mergeCell ref="C46:D46"/>
    <mergeCell ref="C47:D47"/>
  </mergeCells>
  <phoneticPr fontId="3" type="noConversion"/>
  <conditionalFormatting sqref="B13:M32">
    <cfRule type="expression" dxfId="0" priority="1">
      <formula>$M13="O"</formula>
    </cfRule>
  </conditionalFormatting>
  <hyperlinks>
    <hyperlink ref="B11"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20</vt:i4>
      </vt:variant>
    </vt:vector>
  </HeadingPairs>
  <TitlesOfParts>
    <vt:vector size="20" baseType="lpstr">
      <vt:lpstr>케이원15호정리</vt:lpstr>
      <vt:lpstr>리츠분석</vt:lpstr>
      <vt:lpstr>평가_DDM</vt:lpstr>
      <vt:lpstr>RE</vt:lpstr>
      <vt:lpstr>IS(Y)</vt:lpstr>
      <vt:lpstr>IS(M)</vt:lpstr>
      <vt:lpstr>CF(M)</vt:lpstr>
      <vt:lpstr>Key</vt:lpstr>
      <vt:lpstr>처분</vt:lpstr>
      <vt:lpstr>할인율</vt:lpstr>
      <vt:lpstr>24.2Q</vt:lpstr>
      <vt:lpstr>24.3Q</vt:lpstr>
      <vt:lpstr>24.1Q</vt:lpstr>
      <vt:lpstr>23.4Q</vt:lpstr>
      <vt:lpstr>23.3Q</vt:lpstr>
      <vt:lpstr>23.2Q</vt:lpstr>
      <vt:lpstr>22.4Q</vt:lpstr>
      <vt:lpstr>23.1Q</vt:lpstr>
      <vt:lpstr>22.3Q</vt:lpstr>
      <vt:lpstr>리츠 베타_22.2Q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다.김수현</dc:creator>
  <cp:lastModifiedBy>다.변혜진</cp:lastModifiedBy>
  <dcterms:created xsi:type="dcterms:W3CDTF">2022-10-04T08:33:29Z</dcterms:created>
  <dcterms:modified xsi:type="dcterms:W3CDTF">2024-11-26T01:52:56Z</dcterms:modified>
</cp:coreProperties>
</file>