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wchae23\QuantifyPro\workplace\부동산 강의\엑셀로 만드는 부동산 Financial Modeling\"/>
    </mc:Choice>
  </mc:AlternateContent>
  <bookViews>
    <workbookView xWindow="-120" yWindow="-120" windowWidth="29040" windowHeight="15720" activeTab="1"/>
  </bookViews>
  <sheets>
    <sheet name="A&amp;R" sheetId="5" r:id="rId1"/>
    <sheet name="투자비 및 재원조달" sheetId="11" r:id="rId2"/>
    <sheet name="운영수입" sheetId="12" r:id="rId3"/>
    <sheet name="운영비용" sheetId="13" r:id="rId4"/>
    <sheet name="보유세" sheetId="14" r:id="rId5"/>
    <sheet name="펀드비용" sheetId="15" r:id="rId6"/>
    <sheet name="현금흐름" sheetId="16" r:id="rId7"/>
    <sheet name="매각가치" sheetId="17" r:id="rId8"/>
    <sheet name="배당" sheetId="18" r:id="rId9"/>
    <sheet name="민감도 분석" sheetId="19" r:id="rId10"/>
  </sheets>
  <definedNames>
    <definedName name="acq">'A&amp;R'!$D$13</definedName>
    <definedName name="exit">'A&amp;R'!$D$16</definedName>
    <definedName name="period">'A&amp;R'!$D$17</definedName>
    <definedName name="py">'A&amp;R'!$D$11</definedName>
    <definedName name="start">'A&amp;R'!$D$14</definedName>
    <definedName name="unit">'A&amp;R'!$D$10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8" i="12" l="1"/>
  <c r="U38" i="12"/>
  <c r="BU19" i="12"/>
  <c r="AU19" i="12"/>
  <c r="AU32" i="12" s="1"/>
  <c r="AU33" i="12" s="1"/>
  <c r="U19" i="12"/>
  <c r="U32" i="12" s="1"/>
  <c r="U33" i="12" s="1"/>
  <c r="F25" i="12"/>
  <c r="H36" i="12" s="1"/>
  <c r="F24" i="12"/>
  <c r="F23" i="12"/>
  <c r="F22" i="12"/>
  <c r="F21" i="12"/>
  <c r="F20" i="12"/>
  <c r="BO38" i="12" s="1"/>
  <c r="B17" i="12"/>
  <c r="H11" i="12"/>
  <c r="H12" i="12" s="1"/>
  <c r="H13" i="12" s="1"/>
  <c r="H16" i="12" s="1"/>
  <c r="I10" i="12"/>
  <c r="J9" i="12" s="1"/>
  <c r="I9" i="12"/>
  <c r="I14" i="12"/>
  <c r="H14" i="12"/>
  <c r="G49" i="11"/>
  <c r="F49" i="11"/>
  <c r="L48" i="11"/>
  <c r="H48" i="11"/>
  <c r="G48" i="11"/>
  <c r="F48" i="11"/>
  <c r="L47" i="11"/>
  <c r="H47" i="11"/>
  <c r="G47" i="11"/>
  <c r="F47" i="11"/>
  <c r="E49" i="11"/>
  <c r="E26" i="11"/>
  <c r="J45" i="11"/>
  <c r="J44" i="11"/>
  <c r="J43" i="11"/>
  <c r="H43" i="11"/>
  <c r="F44" i="11"/>
  <c r="F43" i="11"/>
  <c r="E45" i="11"/>
  <c r="AV19" i="12" l="1"/>
  <c r="AV32" i="12" s="1"/>
  <c r="AV33" i="12" s="1"/>
  <c r="BD38" i="12"/>
  <c r="W19" i="12"/>
  <c r="W32" i="12" s="1"/>
  <c r="W33" i="12" s="1"/>
  <c r="AW19" i="12"/>
  <c r="AW32" i="12" s="1"/>
  <c r="AW33" i="12" s="1"/>
  <c r="L27" i="12"/>
  <c r="L28" i="12" s="1"/>
  <c r="L29" i="12" s="1"/>
  <c r="BE38" i="12"/>
  <c r="X19" i="12"/>
  <c r="X32" i="12" s="1"/>
  <c r="X33" i="12" s="1"/>
  <c r="BE19" i="12"/>
  <c r="BE32" i="12" s="1"/>
  <c r="BE33" i="12" s="1"/>
  <c r="BF38" i="12"/>
  <c r="AG19" i="12"/>
  <c r="AG32" i="12" s="1"/>
  <c r="AG33" i="12" s="1"/>
  <c r="BG19" i="12"/>
  <c r="BG32" i="12" s="1"/>
  <c r="BG33" i="12" s="1"/>
  <c r="AG38" i="12"/>
  <c r="BH38" i="12"/>
  <c r="AH19" i="12"/>
  <c r="AH32" i="12" s="1"/>
  <c r="AH33" i="12" s="1"/>
  <c r="H38" i="12"/>
  <c r="H39" i="12" s="1"/>
  <c r="I36" i="12" s="1"/>
  <c r="I39" i="12" s="1"/>
  <c r="J36" i="12" s="1"/>
  <c r="J39" i="12" s="1"/>
  <c r="K36" i="12" s="1"/>
  <c r="BP38" i="12"/>
  <c r="AI19" i="12"/>
  <c r="AI32" i="12" s="1"/>
  <c r="AI33" i="12" s="1"/>
  <c r="AI38" i="12"/>
  <c r="J19" i="12"/>
  <c r="J32" i="12" s="1"/>
  <c r="J33" i="12" s="1"/>
  <c r="BQ19" i="12"/>
  <c r="BQ32" i="12" s="1"/>
  <c r="BQ33" i="12" s="1"/>
  <c r="AR38" i="12"/>
  <c r="BU27" i="12"/>
  <c r="BU28" i="12" s="1"/>
  <c r="BU29" i="12" s="1"/>
  <c r="K38" i="12"/>
  <c r="BS38" i="12"/>
  <c r="L19" i="12"/>
  <c r="L32" i="12" s="1"/>
  <c r="L33" i="12" s="1"/>
  <c r="AS19" i="12"/>
  <c r="AS32" i="12" s="1"/>
  <c r="AS33" i="12" s="1"/>
  <c r="BS19" i="12"/>
  <c r="BS32" i="12" s="1"/>
  <c r="BS33" i="12" s="1"/>
  <c r="S38" i="12"/>
  <c r="AT38" i="12"/>
  <c r="BT38" i="12"/>
  <c r="V19" i="12"/>
  <c r="V32" i="12" s="1"/>
  <c r="V33" i="12" s="1"/>
  <c r="V38" i="12"/>
  <c r="W38" i="12"/>
  <c r="AE38" i="12"/>
  <c r="Y19" i="12"/>
  <c r="BF19" i="12"/>
  <c r="BF32" i="12" s="1"/>
  <c r="BF33" i="12" s="1"/>
  <c r="Y27" i="12"/>
  <c r="Y28" i="12" s="1"/>
  <c r="Y29" i="12" s="1"/>
  <c r="AF38" i="12"/>
  <c r="BG38" i="12"/>
  <c r="BH19" i="12"/>
  <c r="BH32" i="12" s="1"/>
  <c r="BH33" i="12" s="1"/>
  <c r="AW27" i="12"/>
  <c r="AW28" i="12" s="1"/>
  <c r="AW29" i="12" s="1"/>
  <c r="AH38" i="12"/>
  <c r="I19" i="12"/>
  <c r="I32" i="12" s="1"/>
  <c r="I33" i="12" s="1"/>
  <c r="BI19" i="12"/>
  <c r="BI27" i="12" s="1"/>
  <c r="BI28" i="12" s="1"/>
  <c r="BI29" i="12" s="1"/>
  <c r="I38" i="12"/>
  <c r="BQ38" i="12"/>
  <c r="AJ19" i="12"/>
  <c r="AJ32" i="12" s="1"/>
  <c r="AJ33" i="12" s="1"/>
  <c r="J38" i="12"/>
  <c r="BR38" i="12"/>
  <c r="K19" i="12"/>
  <c r="AK19" i="12"/>
  <c r="AK27" i="12" s="1"/>
  <c r="AK28" i="12" s="1"/>
  <c r="AK29" i="12" s="1"/>
  <c r="BR19" i="12"/>
  <c r="BR32" i="12" s="1"/>
  <c r="BR33" i="12" s="1"/>
  <c r="AS38" i="12"/>
  <c r="M19" i="12"/>
  <c r="M32" i="12" s="1"/>
  <c r="M33" i="12" s="1"/>
  <c r="AT19" i="12"/>
  <c r="AT32" i="12" s="1"/>
  <c r="AT33" i="12" s="1"/>
  <c r="BT19" i="12"/>
  <c r="BT32" i="12" s="1"/>
  <c r="BT33" i="12" s="1"/>
  <c r="T38" i="12"/>
  <c r="AU38" i="12"/>
  <c r="AU27" i="12"/>
  <c r="AU28" i="12" s="1"/>
  <c r="AU29" i="12" s="1"/>
  <c r="AV27" i="12"/>
  <c r="AV28" i="12" s="1"/>
  <c r="AV29" i="12" s="1"/>
  <c r="W27" i="12"/>
  <c r="W28" i="12" s="1"/>
  <c r="W29" i="12" s="1"/>
  <c r="BG27" i="12"/>
  <c r="BG28" i="12" s="1"/>
  <c r="BG29" i="12" s="1"/>
  <c r="X27" i="12"/>
  <c r="X28" i="12" s="1"/>
  <c r="X29" i="12" s="1"/>
  <c r="AI27" i="12"/>
  <c r="AI28" i="12" s="1"/>
  <c r="AI29" i="12" s="1"/>
  <c r="BH27" i="12"/>
  <c r="BH28" i="12" s="1"/>
  <c r="BH29" i="12" s="1"/>
  <c r="AJ27" i="12"/>
  <c r="AJ28" i="12" s="1"/>
  <c r="AJ29" i="12" s="1"/>
  <c r="X38" i="12"/>
  <c r="AL38" i="12"/>
  <c r="P19" i="12"/>
  <c r="P27" i="12" s="1"/>
  <c r="P28" i="12" s="1"/>
  <c r="P29" i="12" s="1"/>
  <c r="AB19" i="12"/>
  <c r="AB27" i="12" s="1"/>
  <c r="AB28" i="12" s="1"/>
  <c r="AB29" i="12" s="1"/>
  <c r="AN19" i="12"/>
  <c r="AN27" i="12" s="1"/>
  <c r="AN28" i="12" s="1"/>
  <c r="AN29" i="12" s="1"/>
  <c r="AZ19" i="12"/>
  <c r="AZ27" i="12" s="1"/>
  <c r="AZ28" i="12" s="1"/>
  <c r="AZ29" i="12" s="1"/>
  <c r="BL19" i="12"/>
  <c r="BL27" i="12" s="1"/>
  <c r="BL28" i="12" s="1"/>
  <c r="BL29" i="12" s="1"/>
  <c r="BX19" i="12"/>
  <c r="BX27" i="12" s="1"/>
  <c r="BX28" i="12" s="1"/>
  <c r="BX29" i="12" s="1"/>
  <c r="R27" i="12"/>
  <c r="R28" i="12" s="1"/>
  <c r="R29" i="12" s="1"/>
  <c r="AD27" i="12"/>
  <c r="AD28" i="12" s="1"/>
  <c r="AD29" i="12" s="1"/>
  <c r="AP27" i="12"/>
  <c r="AP28" i="12" s="1"/>
  <c r="AP29" i="12" s="1"/>
  <c r="N38" i="12"/>
  <c r="Z38" i="12"/>
  <c r="AM38" i="12"/>
  <c r="AY38" i="12"/>
  <c r="BK38" i="12"/>
  <c r="BW38" i="12"/>
  <c r="AJ38" i="12"/>
  <c r="O19" i="12"/>
  <c r="O27" i="12" s="1"/>
  <c r="O28" i="12" s="1"/>
  <c r="O29" i="12" s="1"/>
  <c r="BY27" i="12"/>
  <c r="BY28" i="12" s="1"/>
  <c r="BY29" i="12" s="1"/>
  <c r="BV38" i="12"/>
  <c r="Q19" i="12"/>
  <c r="Q32" i="12" s="1"/>
  <c r="Q33" i="12" s="1"/>
  <c r="AC19" i="12"/>
  <c r="AC32" i="12" s="1"/>
  <c r="AC33" i="12" s="1"/>
  <c r="AO19" i="12"/>
  <c r="AO32" i="12" s="1"/>
  <c r="AO33" i="12" s="1"/>
  <c r="BA19" i="12"/>
  <c r="BA32" i="12" s="1"/>
  <c r="BA33" i="12" s="1"/>
  <c r="BM19" i="12"/>
  <c r="BM32" i="12" s="1"/>
  <c r="BM33" i="12" s="1"/>
  <c r="BY19" i="12"/>
  <c r="BY32" i="12" s="1"/>
  <c r="BY33" i="12" s="1"/>
  <c r="Y32" i="12"/>
  <c r="Y33" i="12" s="1"/>
  <c r="AK32" i="12"/>
  <c r="AK33" i="12" s="1"/>
  <c r="BU32" i="12"/>
  <c r="BU33" i="12" s="1"/>
  <c r="O38" i="12"/>
  <c r="AA38" i="12"/>
  <c r="AN38" i="12"/>
  <c r="AZ38" i="12"/>
  <c r="BL38" i="12"/>
  <c r="BX38" i="12"/>
  <c r="Z19" i="12"/>
  <c r="Z27" i="12" s="1"/>
  <c r="Z28" i="12" s="1"/>
  <c r="Z29" i="12" s="1"/>
  <c r="AX19" i="12"/>
  <c r="AX27" i="12" s="1"/>
  <c r="AX28" i="12" s="1"/>
  <c r="AX29" i="12" s="1"/>
  <c r="BV19" i="12"/>
  <c r="BV27" i="12" s="1"/>
  <c r="BV28" i="12" s="1"/>
  <c r="BV29" i="12" s="1"/>
  <c r="L38" i="12"/>
  <c r="BI38" i="12"/>
  <c r="AM19" i="12"/>
  <c r="AM27" i="12" s="1"/>
  <c r="AM28" i="12" s="1"/>
  <c r="AM29" i="12" s="1"/>
  <c r="BW19" i="12"/>
  <c r="BW27" i="12" s="1"/>
  <c r="BW28" i="12" s="1"/>
  <c r="BW29" i="12" s="1"/>
  <c r="Y38" i="12"/>
  <c r="R19" i="12"/>
  <c r="R32" i="12" s="1"/>
  <c r="R33" i="12" s="1"/>
  <c r="AD19" i="12"/>
  <c r="AD32" i="12" s="1"/>
  <c r="AD33" i="12" s="1"/>
  <c r="AP19" i="12"/>
  <c r="AP32" i="12" s="1"/>
  <c r="AP33" i="12" s="1"/>
  <c r="BB19" i="12"/>
  <c r="BB32" i="12" s="1"/>
  <c r="BB33" i="12" s="1"/>
  <c r="BN19" i="12"/>
  <c r="BN32" i="12" s="1"/>
  <c r="BN33" i="12" s="1"/>
  <c r="H27" i="12"/>
  <c r="H28" i="12" s="1"/>
  <c r="H29" i="12" s="1"/>
  <c r="T27" i="12"/>
  <c r="T28" i="12" s="1"/>
  <c r="T29" i="12" s="1"/>
  <c r="P38" i="12"/>
  <c r="AB38" i="12"/>
  <c r="AO38" i="12"/>
  <c r="BA38" i="12"/>
  <c r="BM38" i="12"/>
  <c r="BY38" i="12"/>
  <c r="N19" i="12"/>
  <c r="N27" i="12" s="1"/>
  <c r="N28" i="12" s="1"/>
  <c r="N29" i="12" s="1"/>
  <c r="AL19" i="12"/>
  <c r="AL27" i="12" s="1"/>
  <c r="AL28" i="12" s="1"/>
  <c r="AL29" i="12" s="1"/>
  <c r="BJ19" i="12"/>
  <c r="BJ27" i="12" s="1"/>
  <c r="BJ28" i="12" s="1"/>
  <c r="BJ29" i="12" s="1"/>
  <c r="BU38" i="12"/>
  <c r="AY19" i="12"/>
  <c r="AY27" i="12" s="1"/>
  <c r="AY28" i="12" s="1"/>
  <c r="AY29" i="12" s="1"/>
  <c r="Q27" i="12"/>
  <c r="Q28" i="12" s="1"/>
  <c r="Q29" i="12" s="1"/>
  <c r="BJ38" i="12"/>
  <c r="S19" i="12"/>
  <c r="S32" i="12" s="1"/>
  <c r="S33" i="12" s="1"/>
  <c r="AE19" i="12"/>
  <c r="AE32" i="12" s="1"/>
  <c r="AE33" i="12" s="1"/>
  <c r="AQ19" i="12"/>
  <c r="AQ32" i="12" s="1"/>
  <c r="AQ33" i="12" s="1"/>
  <c r="BC19" i="12"/>
  <c r="BC32" i="12" s="1"/>
  <c r="BC33" i="12" s="1"/>
  <c r="BO19" i="12"/>
  <c r="BO32" i="12" s="1"/>
  <c r="BO33" i="12" s="1"/>
  <c r="U27" i="12"/>
  <c r="U28" i="12" s="1"/>
  <c r="U29" i="12" s="1"/>
  <c r="AG27" i="12"/>
  <c r="AG28" i="12" s="1"/>
  <c r="AG29" i="12" s="1"/>
  <c r="AM32" i="12"/>
  <c r="AM33" i="12" s="1"/>
  <c r="BW32" i="12"/>
  <c r="BW33" i="12" s="1"/>
  <c r="Q38" i="12"/>
  <c r="AC38" i="12"/>
  <c r="AP38" i="12"/>
  <c r="BB38" i="12"/>
  <c r="BN38" i="12"/>
  <c r="AK38" i="12"/>
  <c r="AW38" i="12"/>
  <c r="AA19" i="12"/>
  <c r="AA27" i="12" s="1"/>
  <c r="AA28" i="12" s="1"/>
  <c r="AA29" i="12" s="1"/>
  <c r="BK19" i="12"/>
  <c r="BK27" i="12" s="1"/>
  <c r="BK28" i="12" s="1"/>
  <c r="BK29" i="12" s="1"/>
  <c r="M38" i="12"/>
  <c r="AX38" i="12"/>
  <c r="H19" i="12"/>
  <c r="H32" i="12" s="1"/>
  <c r="H33" i="12" s="1"/>
  <c r="T19" i="12"/>
  <c r="T32" i="12" s="1"/>
  <c r="T33" i="12" s="1"/>
  <c r="AF19" i="12"/>
  <c r="AF32" i="12" s="1"/>
  <c r="AF33" i="12" s="1"/>
  <c r="AR19" i="12"/>
  <c r="AR32" i="12" s="1"/>
  <c r="AR33" i="12" s="1"/>
  <c r="BD19" i="12"/>
  <c r="BD32" i="12" s="1"/>
  <c r="BD33" i="12" s="1"/>
  <c r="BP19" i="12"/>
  <c r="BP32" i="12" s="1"/>
  <c r="BP33" i="12" s="1"/>
  <c r="J27" i="12"/>
  <c r="J28" i="12" s="1"/>
  <c r="J29" i="12" s="1"/>
  <c r="AT27" i="12"/>
  <c r="AT28" i="12" s="1"/>
  <c r="AT29" i="12" s="1"/>
  <c r="BF27" i="12"/>
  <c r="BF28" i="12" s="1"/>
  <c r="BF29" i="12" s="1"/>
  <c r="P32" i="12"/>
  <c r="P33" i="12" s="1"/>
  <c r="AB32" i="12"/>
  <c r="AB33" i="12" s="1"/>
  <c r="AN32" i="12"/>
  <c r="AN33" i="12" s="1"/>
  <c r="AZ32" i="12"/>
  <c r="AZ33" i="12" s="1"/>
  <c r="BL32" i="12"/>
  <c r="BL33" i="12" s="1"/>
  <c r="R38" i="12"/>
  <c r="AD38" i="12"/>
  <c r="AQ38" i="12"/>
  <c r="BC38" i="12"/>
  <c r="J10" i="12"/>
  <c r="K9" i="12" s="1"/>
  <c r="K10" i="12" s="1"/>
  <c r="L9" i="12" s="1"/>
  <c r="L10" i="12" s="1"/>
  <c r="M9" i="12" s="1"/>
  <c r="M10" i="12" s="1"/>
  <c r="N9" i="12" s="1"/>
  <c r="N10" i="12" s="1"/>
  <c r="O9" i="12" s="1"/>
  <c r="O10" i="12" s="1"/>
  <c r="P9" i="12" s="1"/>
  <c r="P10" i="12" s="1"/>
  <c r="Q9" i="12" s="1"/>
  <c r="Q10" i="12" s="1"/>
  <c r="R9" i="12" s="1"/>
  <c r="R10" i="12" s="1"/>
  <c r="J14" i="12"/>
  <c r="I11" i="12"/>
  <c r="I12" i="12" s="1"/>
  <c r="I13" i="12" s="1"/>
  <c r="I27" i="12" l="1"/>
  <c r="I28" i="12" s="1"/>
  <c r="I29" i="12" s="1"/>
  <c r="BO27" i="12"/>
  <c r="BO28" i="12" s="1"/>
  <c r="BO29" i="12" s="1"/>
  <c r="O32" i="12"/>
  <c r="O33" i="12" s="1"/>
  <c r="AH27" i="12"/>
  <c r="AH28" i="12" s="1"/>
  <c r="AH29" i="12" s="1"/>
  <c r="BE27" i="12"/>
  <c r="BE28" i="12" s="1"/>
  <c r="BE29" i="12" s="1"/>
  <c r="BJ32" i="12"/>
  <c r="BJ33" i="12" s="1"/>
  <c r="BI32" i="12"/>
  <c r="BI33" i="12" s="1"/>
  <c r="BN27" i="12"/>
  <c r="BN28" i="12" s="1"/>
  <c r="BN29" i="12" s="1"/>
  <c r="M27" i="12"/>
  <c r="M28" i="12" s="1"/>
  <c r="M29" i="12" s="1"/>
  <c r="BC27" i="12"/>
  <c r="BC28" i="12" s="1"/>
  <c r="BC29" i="12" s="1"/>
  <c r="K32" i="12"/>
  <c r="K33" i="12" s="1"/>
  <c r="K27" i="12"/>
  <c r="K28" i="12" s="1"/>
  <c r="K29" i="12" s="1"/>
  <c r="AQ27" i="12"/>
  <c r="AQ28" i="12" s="1"/>
  <c r="AQ29" i="12" s="1"/>
  <c r="BS27" i="12"/>
  <c r="BS28" i="12" s="1"/>
  <c r="BS29" i="12" s="1"/>
  <c r="BR27" i="12"/>
  <c r="BR28" i="12" s="1"/>
  <c r="BR29" i="12" s="1"/>
  <c r="BQ27" i="12"/>
  <c r="BQ28" i="12" s="1"/>
  <c r="BQ29" i="12" s="1"/>
  <c r="BA27" i="12"/>
  <c r="BA28" i="12" s="1"/>
  <c r="BA29" i="12" s="1"/>
  <c r="V27" i="12"/>
  <c r="V28" i="12" s="1"/>
  <c r="V29" i="12" s="1"/>
  <c r="AS27" i="12"/>
  <c r="AS28" i="12" s="1"/>
  <c r="AS29" i="12" s="1"/>
  <c r="AL32" i="12"/>
  <c r="AL33" i="12" s="1"/>
  <c r="BB27" i="12"/>
  <c r="BB28" i="12" s="1"/>
  <c r="BB29" i="12" s="1"/>
  <c r="BT27" i="12"/>
  <c r="BT28" i="12" s="1"/>
  <c r="BT29" i="12" s="1"/>
  <c r="N32" i="12"/>
  <c r="N33" i="12" s="1"/>
  <c r="AE27" i="12"/>
  <c r="AE28" i="12" s="1"/>
  <c r="AE29" i="12" s="1"/>
  <c r="AX32" i="12"/>
  <c r="AX33" i="12" s="1"/>
  <c r="Z32" i="12"/>
  <c r="Z33" i="12" s="1"/>
  <c r="AO27" i="12"/>
  <c r="AO28" i="12" s="1"/>
  <c r="AO29" i="12" s="1"/>
  <c r="BK32" i="12"/>
  <c r="BK33" i="12" s="1"/>
  <c r="BP27" i="12"/>
  <c r="BP28" i="12" s="1"/>
  <c r="BP29" i="12" s="1"/>
  <c r="BM27" i="12"/>
  <c r="BM28" i="12" s="1"/>
  <c r="BM29" i="12" s="1"/>
  <c r="S27" i="12"/>
  <c r="S28" i="12" s="1"/>
  <c r="S29" i="12" s="1"/>
  <c r="AC27" i="12"/>
  <c r="AC28" i="12" s="1"/>
  <c r="AC29" i="12" s="1"/>
  <c r="AY32" i="12"/>
  <c r="AY33" i="12" s="1"/>
  <c r="BD27" i="12"/>
  <c r="BD28" i="12" s="1"/>
  <c r="BD29" i="12" s="1"/>
  <c r="BX32" i="12"/>
  <c r="BX33" i="12" s="1"/>
  <c r="BV32" i="12"/>
  <c r="BV33" i="12" s="1"/>
  <c r="AR27" i="12"/>
  <c r="AR28" i="12" s="1"/>
  <c r="AR29" i="12" s="1"/>
  <c r="AA32" i="12"/>
  <c r="AA33" i="12" s="1"/>
  <c r="AF27" i="12"/>
  <c r="AF28" i="12" s="1"/>
  <c r="AF29" i="12" s="1"/>
  <c r="K39" i="12"/>
  <c r="L36" i="12" s="1"/>
  <c r="I16" i="12"/>
  <c r="I15" i="12"/>
  <c r="H15" i="12"/>
  <c r="J11" i="12"/>
  <c r="K14" i="12"/>
  <c r="J15" i="12"/>
  <c r="L39" i="12" l="1"/>
  <c r="M36" i="12" s="1"/>
  <c r="K11" i="12"/>
  <c r="L14" i="12"/>
  <c r="K15" i="12"/>
  <c r="K12" i="12"/>
  <c r="K13" i="12" s="1"/>
  <c r="J12" i="12"/>
  <c r="J13" i="12" s="1"/>
  <c r="M39" i="12" l="1"/>
  <c r="N36" i="12" s="1"/>
  <c r="K16" i="12"/>
  <c r="J16" i="12"/>
  <c r="M14" i="12"/>
  <c r="L11" i="12"/>
  <c r="L15" i="12"/>
  <c r="N39" i="12" l="1"/>
  <c r="O36" i="12" s="1"/>
  <c r="N14" i="12"/>
  <c r="M11" i="12"/>
  <c r="M15" i="12"/>
  <c r="L12" i="12"/>
  <c r="L13" i="12" s="1"/>
  <c r="M12" i="12"/>
  <c r="M13" i="12" s="1"/>
  <c r="O39" i="12" l="1"/>
  <c r="P36" i="12" s="1"/>
  <c r="M16" i="12"/>
  <c r="L16" i="12"/>
  <c r="O14" i="12"/>
  <c r="N15" i="12"/>
  <c r="N11" i="12"/>
  <c r="N12" i="12" s="1"/>
  <c r="N13" i="12" s="1"/>
  <c r="P39" i="12" l="1"/>
  <c r="Q36" i="12" s="1"/>
  <c r="P14" i="12"/>
  <c r="O11" i="12"/>
  <c r="O15" i="12"/>
  <c r="N16" i="12"/>
  <c r="Q39" i="12" l="1"/>
  <c r="R36" i="12" s="1"/>
  <c r="Q14" i="12"/>
  <c r="P11" i="12"/>
  <c r="P15" i="12"/>
  <c r="O12" i="12"/>
  <c r="O13" i="12" s="1"/>
  <c r="R39" i="12" l="1"/>
  <c r="S36" i="12" s="1"/>
  <c r="R14" i="12"/>
  <c r="Q11" i="12"/>
  <c r="Q15" i="12"/>
  <c r="O16" i="12"/>
  <c r="P12" i="12"/>
  <c r="P13" i="12" s="1"/>
  <c r="P16" i="12" s="1"/>
  <c r="Q12" i="12"/>
  <c r="Q13" i="12" s="1"/>
  <c r="Q16" i="12" s="1"/>
  <c r="S39" i="12" l="1"/>
  <c r="T36" i="12" s="1"/>
  <c r="S14" i="12"/>
  <c r="R11" i="12"/>
  <c r="R12" i="12" s="1"/>
  <c r="R13" i="12" s="1"/>
  <c r="R16" i="12" s="1"/>
  <c r="R15" i="12"/>
  <c r="T39" i="12" l="1"/>
  <c r="U36" i="12" s="1"/>
  <c r="T14" i="12"/>
  <c r="S15" i="12"/>
  <c r="S11" i="12"/>
  <c r="S12" i="12" s="1"/>
  <c r="S13" i="12" s="1"/>
  <c r="S16" i="12" s="1"/>
  <c r="U39" i="12" l="1"/>
  <c r="V36" i="12" s="1"/>
  <c r="U14" i="12"/>
  <c r="T15" i="12"/>
  <c r="T11" i="12"/>
  <c r="T12" i="12" s="1"/>
  <c r="T13" i="12" s="1"/>
  <c r="T16" i="12" s="1"/>
  <c r="V39" i="12" l="1"/>
  <c r="W36" i="12" s="1"/>
  <c r="V14" i="12"/>
  <c r="U15" i="12"/>
  <c r="U11" i="12"/>
  <c r="U12" i="12" s="1"/>
  <c r="U13" i="12" s="1"/>
  <c r="U16" i="12" s="1"/>
  <c r="W39" i="12" l="1"/>
  <c r="X36" i="12" s="1"/>
  <c r="W14" i="12"/>
  <c r="V11" i="12"/>
  <c r="V12" i="12" s="1"/>
  <c r="V13" i="12" s="1"/>
  <c r="V16" i="12" s="1"/>
  <c r="V15" i="12"/>
  <c r="X39" i="12" l="1"/>
  <c r="Y36" i="12" s="1"/>
  <c r="X14" i="12"/>
  <c r="W11" i="12"/>
  <c r="W12" i="12" s="1"/>
  <c r="W13" i="12" s="1"/>
  <c r="W16" i="12" s="1"/>
  <c r="W15" i="12"/>
  <c r="Y39" i="12" l="1"/>
  <c r="Z36" i="12" s="1"/>
  <c r="Y14" i="12"/>
  <c r="X15" i="12"/>
  <c r="X11" i="12"/>
  <c r="X12" i="12" s="1"/>
  <c r="X13" i="12" s="1"/>
  <c r="X16" i="12" s="1"/>
  <c r="Z39" i="12" l="1"/>
  <c r="AA36" i="12" s="1"/>
  <c r="Z14" i="12"/>
  <c r="Y15" i="12"/>
  <c r="Y11" i="12"/>
  <c r="Y12" i="12" s="1"/>
  <c r="Y13" i="12" s="1"/>
  <c r="Y16" i="12" s="1"/>
  <c r="AA39" i="12" l="1"/>
  <c r="AB36" i="12" s="1"/>
  <c r="AA14" i="12"/>
  <c r="Z11" i="12"/>
  <c r="Z12" i="12" s="1"/>
  <c r="Z13" i="12" s="1"/>
  <c r="Z16" i="12" s="1"/>
  <c r="Z15" i="12"/>
  <c r="AB39" i="12" l="1"/>
  <c r="AC36" i="12" s="1"/>
  <c r="AB14" i="12"/>
  <c r="AA15" i="12"/>
  <c r="AA11" i="12"/>
  <c r="AA12" i="12" s="1"/>
  <c r="AA13" i="12" s="1"/>
  <c r="AA16" i="12" s="1"/>
  <c r="AC39" i="12" l="1"/>
  <c r="AD36" i="12" s="1"/>
  <c r="AC14" i="12"/>
  <c r="AB15" i="12"/>
  <c r="AB11" i="12"/>
  <c r="AB12" i="12" s="1"/>
  <c r="AB13" i="12" s="1"/>
  <c r="AB16" i="12" s="1"/>
  <c r="AD39" i="12" l="1"/>
  <c r="AE36" i="12" s="1"/>
  <c r="AD14" i="12"/>
  <c r="AC11" i="12"/>
  <c r="AC12" i="12" s="1"/>
  <c r="AC13" i="12" s="1"/>
  <c r="AC16" i="12" s="1"/>
  <c r="AC15" i="12"/>
  <c r="AE39" i="12" l="1"/>
  <c r="AF36" i="12" s="1"/>
  <c r="AE14" i="12"/>
  <c r="AD15" i="12"/>
  <c r="AD11" i="12"/>
  <c r="AD12" i="12" s="1"/>
  <c r="AD13" i="12" s="1"/>
  <c r="AD16" i="12" s="1"/>
  <c r="AF39" i="12" l="1"/>
  <c r="AG36" i="12" s="1"/>
  <c r="AF14" i="12"/>
  <c r="AE15" i="12"/>
  <c r="AE11" i="12"/>
  <c r="AE12" i="12" s="1"/>
  <c r="AE13" i="12" s="1"/>
  <c r="AE16" i="12" s="1"/>
  <c r="AG39" i="12" l="1"/>
  <c r="AH36" i="12" s="1"/>
  <c r="AG14" i="12"/>
  <c r="AF15" i="12"/>
  <c r="AF11" i="12"/>
  <c r="AF12" i="12" s="1"/>
  <c r="AF13" i="12" s="1"/>
  <c r="AF16" i="12" s="1"/>
  <c r="AH39" i="12" l="1"/>
  <c r="AI36" i="12" s="1"/>
  <c r="AH14" i="12"/>
  <c r="AG15" i="12"/>
  <c r="AG11" i="12"/>
  <c r="AG12" i="12" s="1"/>
  <c r="AG13" i="12" s="1"/>
  <c r="AG16" i="12" s="1"/>
  <c r="AI39" i="12" l="1"/>
  <c r="AJ36" i="12" s="1"/>
  <c r="AI14" i="12"/>
  <c r="AH11" i="12"/>
  <c r="AH12" i="12" s="1"/>
  <c r="AH13" i="12" s="1"/>
  <c r="AH16" i="12" s="1"/>
  <c r="AH15" i="12"/>
  <c r="AJ39" i="12" l="1"/>
  <c r="AK36" i="12" s="1"/>
  <c r="AJ14" i="12"/>
  <c r="AI11" i="12"/>
  <c r="AI12" i="12" s="1"/>
  <c r="AI13" i="12" s="1"/>
  <c r="AI16" i="12" s="1"/>
  <c r="AI15" i="12"/>
  <c r="AK39" i="12" l="1"/>
  <c r="AL36" i="12" s="1"/>
  <c r="AK14" i="12"/>
  <c r="AJ15" i="12"/>
  <c r="AJ11" i="12"/>
  <c r="AJ12" i="12" s="1"/>
  <c r="AJ13" i="12" s="1"/>
  <c r="AJ16" i="12" s="1"/>
  <c r="AL39" i="12" l="1"/>
  <c r="AM36" i="12" s="1"/>
  <c r="AL14" i="12"/>
  <c r="AK15" i="12"/>
  <c r="AK11" i="12"/>
  <c r="AK12" i="12" s="1"/>
  <c r="AK13" i="12" s="1"/>
  <c r="AK16" i="12" s="1"/>
  <c r="AM39" i="12" l="1"/>
  <c r="AN36" i="12" s="1"/>
  <c r="AM14" i="12"/>
  <c r="AL11" i="12"/>
  <c r="AL12" i="12" s="1"/>
  <c r="AL13" i="12" s="1"/>
  <c r="AL16" i="12" s="1"/>
  <c r="AL15" i="12"/>
  <c r="AN39" i="12" l="1"/>
  <c r="AO36" i="12" s="1"/>
  <c r="AN14" i="12"/>
  <c r="AM15" i="12"/>
  <c r="AM11" i="12"/>
  <c r="AM12" i="12" s="1"/>
  <c r="AM13" i="12" s="1"/>
  <c r="AM16" i="12" s="1"/>
  <c r="AO39" i="12" l="1"/>
  <c r="AP36" i="12" s="1"/>
  <c r="AO14" i="12"/>
  <c r="AN15" i="12"/>
  <c r="AN11" i="12"/>
  <c r="AN12" i="12" s="1"/>
  <c r="AN13" i="12" s="1"/>
  <c r="AN16" i="12" s="1"/>
  <c r="AP39" i="12" l="1"/>
  <c r="AQ36" i="12" s="1"/>
  <c r="AP14" i="12"/>
  <c r="AO15" i="12"/>
  <c r="AO11" i="12"/>
  <c r="AO12" i="12" s="1"/>
  <c r="AO13" i="12" s="1"/>
  <c r="AO16" i="12" s="1"/>
  <c r="AQ39" i="12" l="1"/>
  <c r="AR36" i="12" s="1"/>
  <c r="AQ14" i="12"/>
  <c r="AP15" i="12"/>
  <c r="AP11" i="12"/>
  <c r="AP12" i="12" s="1"/>
  <c r="AP13" i="12" s="1"/>
  <c r="AP16" i="12" s="1"/>
  <c r="AR39" i="12" l="1"/>
  <c r="AS36" i="12" s="1"/>
  <c r="AR14" i="12"/>
  <c r="AQ15" i="12"/>
  <c r="AQ11" i="12"/>
  <c r="AQ12" i="12" s="1"/>
  <c r="AQ13" i="12" s="1"/>
  <c r="AQ16" i="12" s="1"/>
  <c r="AS39" i="12" l="1"/>
  <c r="AT36" i="12" s="1"/>
  <c r="AS14" i="12"/>
  <c r="AR15" i="12"/>
  <c r="AR11" i="12"/>
  <c r="AR12" i="12" s="1"/>
  <c r="AR13" i="12" s="1"/>
  <c r="AR16" i="12" s="1"/>
  <c r="AT39" i="12" l="1"/>
  <c r="AU36" i="12" s="1"/>
  <c r="AT14" i="12"/>
  <c r="AS15" i="12"/>
  <c r="AS11" i="12"/>
  <c r="AS12" i="12" s="1"/>
  <c r="AS13" i="12" s="1"/>
  <c r="AS16" i="12" s="1"/>
  <c r="AU39" i="12" l="1"/>
  <c r="AV36" i="12" s="1"/>
  <c r="AU14" i="12"/>
  <c r="AT11" i="12"/>
  <c r="AT12" i="12" s="1"/>
  <c r="AT13" i="12" s="1"/>
  <c r="AT16" i="12" s="1"/>
  <c r="AT15" i="12"/>
  <c r="AV39" i="12" l="1"/>
  <c r="AW36" i="12" s="1"/>
  <c r="AV14" i="12"/>
  <c r="AU11" i="12"/>
  <c r="AU12" i="12" s="1"/>
  <c r="AU13" i="12" s="1"/>
  <c r="AU16" i="12" s="1"/>
  <c r="AU15" i="12"/>
  <c r="AW39" i="12" l="1"/>
  <c r="AX36" i="12" s="1"/>
  <c r="AW14" i="12"/>
  <c r="AV11" i="12"/>
  <c r="AV12" i="12" s="1"/>
  <c r="AV13" i="12" s="1"/>
  <c r="AV16" i="12" s="1"/>
  <c r="AV15" i="12"/>
  <c r="AX39" i="12" l="1"/>
  <c r="AY36" i="12" s="1"/>
  <c r="AX14" i="12"/>
  <c r="AW11" i="12"/>
  <c r="AW12" i="12" s="1"/>
  <c r="AW13" i="12" s="1"/>
  <c r="AW16" i="12" s="1"/>
  <c r="AW15" i="12"/>
  <c r="AY39" i="12" l="1"/>
  <c r="AZ36" i="12" s="1"/>
  <c r="AY14" i="12"/>
  <c r="AX15" i="12"/>
  <c r="AX11" i="12"/>
  <c r="AX12" i="12" s="1"/>
  <c r="AX13" i="12" s="1"/>
  <c r="AX16" i="12" s="1"/>
  <c r="AZ39" i="12" l="1"/>
  <c r="BA36" i="12" s="1"/>
  <c r="AZ14" i="12"/>
  <c r="AY11" i="12"/>
  <c r="AY12" i="12" s="1"/>
  <c r="AY13" i="12" s="1"/>
  <c r="AY16" i="12" s="1"/>
  <c r="AY15" i="12"/>
  <c r="BA39" i="12" l="1"/>
  <c r="BB36" i="12" s="1"/>
  <c r="BA14" i="12"/>
  <c r="AZ15" i="12"/>
  <c r="AZ11" i="12"/>
  <c r="AZ12" i="12" s="1"/>
  <c r="AZ13" i="12" s="1"/>
  <c r="AZ16" i="12" s="1"/>
  <c r="BB39" i="12" l="1"/>
  <c r="BC36" i="12" s="1"/>
  <c r="BB14" i="12"/>
  <c r="BA11" i="12"/>
  <c r="BA12" i="12" s="1"/>
  <c r="BA13" i="12" s="1"/>
  <c r="BA16" i="12" s="1"/>
  <c r="BA15" i="12"/>
  <c r="BC39" i="12" l="1"/>
  <c r="BD36" i="12" s="1"/>
  <c r="BC14" i="12"/>
  <c r="BB11" i="12"/>
  <c r="BB12" i="12" s="1"/>
  <c r="BB13" i="12" s="1"/>
  <c r="BB16" i="12" s="1"/>
  <c r="BB15" i="12"/>
  <c r="BD39" i="12" l="1"/>
  <c r="BE36" i="12" s="1"/>
  <c r="BD14" i="12"/>
  <c r="BC15" i="12"/>
  <c r="BC11" i="12"/>
  <c r="BC12" i="12" s="1"/>
  <c r="BC13" i="12" s="1"/>
  <c r="BC16" i="12" s="1"/>
  <c r="BE39" i="12" l="1"/>
  <c r="BF36" i="12" s="1"/>
  <c r="BE14" i="12"/>
  <c r="BD15" i="12"/>
  <c r="BD11" i="12"/>
  <c r="BD12" i="12" s="1"/>
  <c r="BD13" i="12" s="1"/>
  <c r="BD16" i="12" s="1"/>
  <c r="BF39" i="12" l="1"/>
  <c r="BG36" i="12" s="1"/>
  <c r="BF14" i="12"/>
  <c r="BE15" i="12"/>
  <c r="BE11" i="12"/>
  <c r="BE12" i="12" s="1"/>
  <c r="BE13" i="12" s="1"/>
  <c r="BE16" i="12" s="1"/>
  <c r="BG39" i="12" l="1"/>
  <c r="BH36" i="12" s="1"/>
  <c r="BG14" i="12"/>
  <c r="BF11" i="12"/>
  <c r="BF12" i="12" s="1"/>
  <c r="BF13" i="12" s="1"/>
  <c r="BF16" i="12" s="1"/>
  <c r="BF15" i="12"/>
  <c r="BH39" i="12" l="1"/>
  <c r="BI36" i="12" s="1"/>
  <c r="BG11" i="12"/>
  <c r="BG12" i="12" s="1"/>
  <c r="BG13" i="12" s="1"/>
  <c r="BG16" i="12" s="1"/>
  <c r="BH14" i="12"/>
  <c r="BG15" i="12"/>
  <c r="BI39" i="12" l="1"/>
  <c r="BJ36" i="12" s="1"/>
  <c r="BI14" i="12"/>
  <c r="BH15" i="12"/>
  <c r="BH11" i="12"/>
  <c r="BH12" i="12" s="1"/>
  <c r="BH13" i="12" s="1"/>
  <c r="BH16" i="12" s="1"/>
  <c r="BJ39" i="12" l="1"/>
  <c r="BK36" i="12" s="1"/>
  <c r="BJ14" i="12"/>
  <c r="BI11" i="12"/>
  <c r="BI12" i="12" s="1"/>
  <c r="BI13" i="12" s="1"/>
  <c r="BI16" i="12" s="1"/>
  <c r="BI15" i="12"/>
  <c r="BK39" i="12" l="1"/>
  <c r="BL36" i="12" s="1"/>
  <c r="BK14" i="12"/>
  <c r="BJ11" i="12"/>
  <c r="BJ12" i="12" s="1"/>
  <c r="BJ13" i="12" s="1"/>
  <c r="BJ16" i="12" s="1"/>
  <c r="BJ15" i="12"/>
  <c r="BL39" i="12" l="1"/>
  <c r="BM36" i="12" s="1"/>
  <c r="BL14" i="12"/>
  <c r="BK15" i="12"/>
  <c r="BK11" i="12"/>
  <c r="BK12" i="12" s="1"/>
  <c r="BK13" i="12" s="1"/>
  <c r="BK16" i="12" s="1"/>
  <c r="BM39" i="12" l="1"/>
  <c r="BN36" i="12" s="1"/>
  <c r="BM14" i="12"/>
  <c r="BL11" i="12"/>
  <c r="BL12" i="12" s="1"/>
  <c r="BL13" i="12" s="1"/>
  <c r="BL16" i="12" s="1"/>
  <c r="BL15" i="12"/>
  <c r="BN39" i="12" l="1"/>
  <c r="BO36" i="12" s="1"/>
  <c r="BN14" i="12"/>
  <c r="BM11" i="12"/>
  <c r="BM12" i="12" s="1"/>
  <c r="BM13" i="12" s="1"/>
  <c r="BM16" i="12" s="1"/>
  <c r="BM15" i="12"/>
  <c r="BO39" i="12" l="1"/>
  <c r="BP36" i="12" s="1"/>
  <c r="BO14" i="12"/>
  <c r="BN15" i="12"/>
  <c r="BN11" i="12"/>
  <c r="BN12" i="12" s="1"/>
  <c r="BN13" i="12" s="1"/>
  <c r="BN16" i="12" s="1"/>
  <c r="BP39" i="12" l="1"/>
  <c r="BQ36" i="12" s="1"/>
  <c r="BP14" i="12"/>
  <c r="BO15" i="12"/>
  <c r="BO11" i="12"/>
  <c r="BO12" i="12" s="1"/>
  <c r="BO13" i="12" s="1"/>
  <c r="BO16" i="12" s="1"/>
  <c r="BQ39" i="12" l="1"/>
  <c r="BR36" i="12" s="1"/>
  <c r="BQ14" i="12"/>
  <c r="BP15" i="12"/>
  <c r="BP11" i="12"/>
  <c r="BP12" i="12" s="1"/>
  <c r="BP13" i="12" s="1"/>
  <c r="BP16" i="12" s="1"/>
  <c r="BR39" i="12" l="1"/>
  <c r="BS36" i="12" s="1"/>
  <c r="BR14" i="12"/>
  <c r="BQ15" i="12"/>
  <c r="BQ11" i="12"/>
  <c r="BQ12" i="12" s="1"/>
  <c r="BQ13" i="12" s="1"/>
  <c r="BQ16" i="12" s="1"/>
  <c r="BS39" i="12" l="1"/>
  <c r="BT36" i="12" s="1"/>
  <c r="BS14" i="12"/>
  <c r="BR11" i="12"/>
  <c r="BR12" i="12" s="1"/>
  <c r="BR13" i="12" s="1"/>
  <c r="BR16" i="12" s="1"/>
  <c r="BR15" i="12"/>
  <c r="BT39" i="12" l="1"/>
  <c r="BU36" i="12" s="1"/>
  <c r="BT14" i="12"/>
  <c r="BS11" i="12"/>
  <c r="BS12" i="12" s="1"/>
  <c r="BS13" i="12" s="1"/>
  <c r="BS16" i="12" s="1"/>
  <c r="BS15" i="12"/>
  <c r="BU39" i="12" l="1"/>
  <c r="BV36" i="12" s="1"/>
  <c r="BU14" i="12"/>
  <c r="BT15" i="12"/>
  <c r="BT11" i="12"/>
  <c r="BT12" i="12" s="1"/>
  <c r="BT13" i="12" s="1"/>
  <c r="BT16" i="12" s="1"/>
  <c r="BV39" i="12" l="1"/>
  <c r="BW36" i="12" s="1"/>
  <c r="BV14" i="12"/>
  <c r="BU11" i="12"/>
  <c r="BU12" i="12" s="1"/>
  <c r="BU13" i="12" s="1"/>
  <c r="BU16" i="12" s="1"/>
  <c r="BU15" i="12"/>
  <c r="BW39" i="12" l="1"/>
  <c r="BX36" i="12" s="1"/>
  <c r="BW14" i="12"/>
  <c r="BV11" i="12"/>
  <c r="BV12" i="12" s="1"/>
  <c r="BV13" i="12" s="1"/>
  <c r="BV16" i="12" s="1"/>
  <c r="BV15" i="12"/>
  <c r="BX39" i="12" l="1"/>
  <c r="BY36" i="12" s="1"/>
  <c r="BY39" i="12" s="1"/>
  <c r="BX14" i="12"/>
  <c r="BW15" i="12"/>
  <c r="BW11" i="12"/>
  <c r="BW12" i="12" s="1"/>
  <c r="BW13" i="12" s="1"/>
  <c r="BW16" i="12" s="1"/>
  <c r="BY14" i="12" l="1"/>
  <c r="BX11" i="12"/>
  <c r="BX12" i="12" s="1"/>
  <c r="BX13" i="12" s="1"/>
  <c r="BX16" i="12" s="1"/>
  <c r="BX15" i="12"/>
  <c r="BY11" i="12" l="1"/>
  <c r="BY12" i="12" s="1"/>
  <c r="BY13" i="12" s="1"/>
  <c r="BY16" i="12" s="1"/>
  <c r="BY15" i="12"/>
  <c r="N31" i="11" l="1"/>
  <c r="N30" i="11"/>
  <c r="N29" i="11"/>
  <c r="N28" i="11"/>
  <c r="N24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M31" i="11"/>
  <c r="M30" i="11"/>
  <c r="M29" i="11"/>
  <c r="M28" i="11"/>
  <c r="M24" i="11"/>
  <c r="M22" i="11"/>
  <c r="M21" i="11"/>
  <c r="M20" i="11"/>
  <c r="M19" i="11"/>
  <c r="M18" i="11"/>
  <c r="M17" i="11"/>
  <c r="M16" i="11"/>
  <c r="M15" i="11"/>
  <c r="M14" i="11"/>
  <c r="M12" i="11"/>
  <c r="L31" i="11"/>
  <c r="L30" i="11"/>
  <c r="L29" i="11"/>
  <c r="L28" i="11"/>
  <c r="L26" i="11"/>
  <c r="M26" i="11" s="1"/>
  <c r="N26" i="11" s="1"/>
  <c r="L24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E15" i="11"/>
  <c r="E13" i="11" s="1"/>
  <c r="E28" i="11"/>
  <c r="E30" i="11"/>
  <c r="E29" i="11"/>
  <c r="E14" i="11"/>
  <c r="G12" i="11"/>
  <c r="E12" i="11"/>
  <c r="E11" i="11"/>
  <c r="M40" i="5"/>
  <c r="M39" i="5"/>
  <c r="M38" i="5"/>
  <c r="M37" i="5"/>
  <c r="M36" i="5"/>
  <c r="K40" i="5"/>
  <c r="K39" i="5"/>
  <c r="K38" i="5"/>
  <c r="K37" i="5"/>
  <c r="K36" i="5"/>
  <c r="K41" i="5" s="1"/>
  <c r="I41" i="5"/>
  <c r="F41" i="5"/>
  <c r="C41" i="5"/>
  <c r="C40" i="5"/>
  <c r="C39" i="5"/>
  <c r="C38" i="5"/>
  <c r="C37" i="5"/>
  <c r="C36" i="5"/>
  <c r="O32" i="5"/>
  <c r="N32" i="5"/>
  <c r="M32" i="5"/>
  <c r="L32" i="5"/>
  <c r="K32" i="5"/>
  <c r="J32" i="5"/>
  <c r="O31" i="5"/>
  <c r="N31" i="5"/>
  <c r="M31" i="5"/>
  <c r="L31" i="5"/>
  <c r="K31" i="5"/>
  <c r="J31" i="5"/>
  <c r="O30" i="5"/>
  <c r="N30" i="5"/>
  <c r="M30" i="5"/>
  <c r="L30" i="5"/>
  <c r="K30" i="5"/>
  <c r="J30" i="5"/>
  <c r="O29" i="5"/>
  <c r="N29" i="5"/>
  <c r="M29" i="5"/>
  <c r="L29" i="5"/>
  <c r="K29" i="5"/>
  <c r="J29" i="5"/>
  <c r="O28" i="5"/>
  <c r="N28" i="5"/>
  <c r="M28" i="5"/>
  <c r="L28" i="5"/>
  <c r="K28" i="5"/>
  <c r="J28" i="5"/>
  <c r="O27" i="5"/>
  <c r="N27" i="5"/>
  <c r="M27" i="5"/>
  <c r="L27" i="5"/>
  <c r="K27" i="5"/>
  <c r="J27" i="5"/>
  <c r="I31" i="5"/>
  <c r="I30" i="5"/>
  <c r="I29" i="5"/>
  <c r="I28" i="5"/>
  <c r="I27" i="5"/>
  <c r="H32" i="5"/>
  <c r="G32" i="5"/>
  <c r="F32" i="5"/>
  <c r="E32" i="5"/>
  <c r="D32" i="5"/>
  <c r="N20" i="5"/>
  <c r="H23" i="5"/>
  <c r="F22" i="5"/>
  <c r="D14" i="5"/>
  <c r="D16" i="5" s="1"/>
  <c r="M41" i="5" l="1"/>
  <c r="I32" i="5"/>
  <c r="I10" i="11"/>
  <c r="I13" i="11"/>
  <c r="E23" i="11"/>
  <c r="I23" i="11"/>
  <c r="L23" i="11"/>
  <c r="M23" i="11"/>
  <c r="N23" i="11"/>
  <c r="E25" i="11"/>
  <c r="L25" i="11"/>
  <c r="M25" i="11"/>
  <c r="N25" i="11"/>
  <c r="E27" i="11"/>
  <c r="G27" i="11"/>
  <c r="I27" i="11"/>
  <c r="L27" i="11"/>
  <c r="M27" i="11"/>
  <c r="N27" i="11"/>
  <c r="I28" i="11"/>
  <c r="E32" i="11"/>
  <c r="I32" i="11"/>
  <c r="L32" i="11"/>
  <c r="N32" i="11"/>
  <c r="E33" i="11"/>
  <c r="I33" i="11"/>
  <c r="J33" i="11"/>
  <c r="L33" i="11"/>
  <c r="M33" i="11"/>
  <c r="N33" i="11"/>
  <c r="E38" i="11"/>
  <c r="E39" i="11"/>
  <c r="E40" i="11"/>
  <c r="E47" i="11"/>
  <c r="M47" i="11"/>
  <c r="N47" i="11"/>
  <c r="E48" i="11"/>
  <c r="N48" i="11"/>
  <c r="E50" i="11"/>
  <c r="N50" i="11"/>
  <c r="E51" i="11"/>
</calcChain>
</file>

<file path=xl/sharedStrings.xml><?xml version="1.0" encoding="utf-8"?>
<sst xmlns="http://schemas.openxmlformats.org/spreadsheetml/2006/main" count="324" uniqueCount="174">
  <si>
    <t>00물류센터 투자모델</t>
    <phoneticPr fontId="1" type="noConversion"/>
  </si>
  <si>
    <t>단위 : 백만원</t>
    <phoneticPr fontId="1" type="noConversion"/>
  </si>
  <si>
    <t>변수입력</t>
    <phoneticPr fontId="1" type="noConversion"/>
  </si>
  <si>
    <t>적정성확인</t>
    <phoneticPr fontId="1" type="noConversion"/>
  </si>
  <si>
    <t>오류확인</t>
    <phoneticPr fontId="1" type="noConversion"/>
  </si>
  <si>
    <t>합계1</t>
    <phoneticPr fontId="1" type="noConversion"/>
  </si>
  <si>
    <t>합계2</t>
    <phoneticPr fontId="1" type="noConversion"/>
  </si>
  <si>
    <t>합계3</t>
    <phoneticPr fontId="1" type="noConversion"/>
  </si>
  <si>
    <t>제목</t>
    <phoneticPr fontId="1" type="noConversion"/>
  </si>
  <si>
    <t>표제목</t>
    <phoneticPr fontId="1" type="noConversion"/>
  </si>
  <si>
    <t>작성자참고</t>
    <phoneticPr fontId="1" type="noConversion"/>
  </si>
  <si>
    <t>Asuumption &amp; Result</t>
    <phoneticPr fontId="1" type="noConversion"/>
  </si>
  <si>
    <t>투자비 및 재원조달</t>
    <phoneticPr fontId="1" type="noConversion"/>
  </si>
  <si>
    <t>운영수입</t>
    <phoneticPr fontId="1" type="noConversion"/>
  </si>
  <si>
    <t>운영비용</t>
    <phoneticPr fontId="1" type="noConversion"/>
  </si>
  <si>
    <t>보유세</t>
    <phoneticPr fontId="1" type="noConversion"/>
  </si>
  <si>
    <t>배당</t>
    <phoneticPr fontId="1" type="noConversion"/>
  </si>
  <si>
    <t>민감도 분석</t>
    <phoneticPr fontId="1" type="noConversion"/>
  </si>
  <si>
    <t>매각가치</t>
    <phoneticPr fontId="1" type="noConversion"/>
  </si>
  <si>
    <t>현금흐름</t>
    <phoneticPr fontId="1" type="noConversion"/>
  </si>
  <si>
    <t>펀드비용</t>
    <phoneticPr fontId="1" type="noConversion"/>
  </si>
  <si>
    <t>기본 가정</t>
    <phoneticPr fontId="1" type="noConversion"/>
  </si>
  <si>
    <t>부동산투자회사 (REITs)</t>
    <phoneticPr fontId="1" type="noConversion"/>
  </si>
  <si>
    <t>•투자 Vehicle :</t>
    <phoneticPr fontId="1" type="noConversion"/>
  </si>
  <si>
    <t>•화폐단위 :</t>
    <phoneticPr fontId="1" type="noConversion"/>
  </si>
  <si>
    <t>원</t>
    <phoneticPr fontId="1" type="noConversion"/>
  </si>
  <si>
    <t>평</t>
    <phoneticPr fontId="1" type="noConversion"/>
  </si>
  <si>
    <t xml:space="preserve">•1㎡ = </t>
    <phoneticPr fontId="1" type="noConversion"/>
  </si>
  <si>
    <t>•날짜기준 :</t>
    <phoneticPr fontId="1" type="noConversion"/>
  </si>
  <si>
    <t>월말기준</t>
    <phoneticPr fontId="1" type="noConversion"/>
  </si>
  <si>
    <t>•자산취득월 :</t>
    <phoneticPr fontId="1" type="noConversion"/>
  </si>
  <si>
    <t>•자산운용시작월 :</t>
    <phoneticPr fontId="1" type="noConversion"/>
  </si>
  <si>
    <t>•자산운용기간 :</t>
    <phoneticPr fontId="1" type="noConversion"/>
  </si>
  <si>
    <t>•자산매각시점 :</t>
    <phoneticPr fontId="1" type="noConversion"/>
  </si>
  <si>
    <t>•회계기간단위 :</t>
    <phoneticPr fontId="1" type="noConversion"/>
  </si>
  <si>
    <t>자산개요</t>
    <phoneticPr fontId="1" type="noConversion"/>
  </si>
  <si>
    <t>•자산명 :</t>
    <phoneticPr fontId="1" type="noConversion"/>
  </si>
  <si>
    <t>00물류센터</t>
    <phoneticPr fontId="1" type="noConversion"/>
  </si>
  <si>
    <t>•위치 :</t>
    <phoneticPr fontId="1" type="noConversion"/>
  </si>
  <si>
    <t>경기도 00시 00면 00리</t>
    <phoneticPr fontId="1" type="noConversion"/>
  </si>
  <si>
    <t>•용도지역 :</t>
    <phoneticPr fontId="1" type="noConversion"/>
  </si>
  <si>
    <t>자연녹지지역</t>
    <phoneticPr fontId="1" type="noConversion"/>
  </si>
  <si>
    <t>•대지면적 :</t>
    <phoneticPr fontId="1" type="noConversion"/>
  </si>
  <si>
    <t>㎡</t>
    <phoneticPr fontId="1" type="noConversion"/>
  </si>
  <si>
    <t>•공시지가 :</t>
    <phoneticPr fontId="1" type="noConversion"/>
  </si>
  <si>
    <t>원/㎡ (2023/01 기준)</t>
    <phoneticPr fontId="1" type="noConversion"/>
  </si>
  <si>
    <t>--&gt;</t>
    <phoneticPr fontId="1" type="noConversion"/>
  </si>
  <si>
    <t>백만원</t>
    <phoneticPr fontId="1" type="noConversion"/>
  </si>
  <si>
    <t>•건물용도 :</t>
    <phoneticPr fontId="1" type="noConversion"/>
  </si>
  <si>
    <t>창고시설, 상온물류창고</t>
    <phoneticPr fontId="1" type="noConversion"/>
  </si>
  <si>
    <t>•준공일 :</t>
    <phoneticPr fontId="1" type="noConversion"/>
  </si>
  <si>
    <t>•건물규모 :</t>
    <phoneticPr fontId="1" type="noConversion"/>
  </si>
  <si>
    <t>지하2층 -- 지상3층</t>
    <phoneticPr fontId="1" type="noConversion"/>
  </si>
  <si>
    <t>•층별면적 :</t>
    <phoneticPr fontId="1" type="noConversion"/>
  </si>
  <si>
    <t>구분</t>
    <phoneticPr fontId="1" type="noConversion"/>
  </si>
  <si>
    <t>지상2층</t>
    <phoneticPr fontId="1" type="noConversion"/>
  </si>
  <si>
    <t>지상1층</t>
    <phoneticPr fontId="1" type="noConversion"/>
  </si>
  <si>
    <t>지하1층</t>
    <phoneticPr fontId="1" type="noConversion"/>
  </si>
  <si>
    <t>지하2층</t>
    <phoneticPr fontId="1" type="noConversion"/>
  </si>
  <si>
    <t>합계</t>
    <phoneticPr fontId="1" type="noConversion"/>
  </si>
  <si>
    <t>지상3층</t>
    <phoneticPr fontId="1" type="noConversion"/>
  </si>
  <si>
    <t>창고</t>
    <phoneticPr fontId="1" type="noConversion"/>
  </si>
  <si>
    <t>Berth</t>
    <phoneticPr fontId="1" type="noConversion"/>
  </si>
  <si>
    <t>사무실</t>
    <phoneticPr fontId="1" type="noConversion"/>
  </si>
  <si>
    <t>기계, 전기실</t>
    <phoneticPr fontId="1" type="noConversion"/>
  </si>
  <si>
    <t>계단실</t>
    <phoneticPr fontId="1" type="noConversion"/>
  </si>
  <si>
    <r>
      <t>면적(</t>
    </r>
    <r>
      <rPr>
        <sz val="9"/>
        <color theme="1"/>
        <rFont val="맑은 고딕"/>
        <family val="3"/>
        <charset val="129"/>
      </rPr>
      <t>㎡)</t>
    </r>
    <phoneticPr fontId="1" type="noConversion"/>
  </si>
  <si>
    <r>
      <t>면적(평</t>
    </r>
    <r>
      <rPr>
        <sz val="9"/>
        <color theme="1"/>
        <rFont val="맑은 고딕"/>
        <family val="3"/>
        <charset val="129"/>
      </rPr>
      <t>)</t>
    </r>
    <phoneticPr fontId="1" type="noConversion"/>
  </si>
  <si>
    <t>•Rent-roll</t>
    <phoneticPr fontId="1" type="noConversion"/>
  </si>
  <si>
    <t>임차인</t>
    <phoneticPr fontId="1" type="noConversion"/>
  </si>
  <si>
    <t>00로지스</t>
    <phoneticPr fontId="1" type="noConversion"/>
  </si>
  <si>
    <t>123로지스</t>
    <phoneticPr fontId="1" type="noConversion"/>
  </si>
  <si>
    <t>임대면적(평)</t>
    <phoneticPr fontId="1" type="noConversion"/>
  </si>
  <si>
    <t>계약기간</t>
    <phoneticPr fontId="1" type="noConversion"/>
  </si>
  <si>
    <t>시작월</t>
    <phoneticPr fontId="1" type="noConversion"/>
  </si>
  <si>
    <t>종료월</t>
    <phoneticPr fontId="1" type="noConversion"/>
  </si>
  <si>
    <t>보증금</t>
    <phoneticPr fontId="1" type="noConversion"/>
  </si>
  <si>
    <t>월임대료</t>
    <phoneticPr fontId="1" type="noConversion"/>
  </si>
  <si>
    <t>단가(원/평)</t>
    <phoneticPr fontId="1" type="noConversion"/>
  </si>
  <si>
    <t>월관리비</t>
    <phoneticPr fontId="1" type="noConversion"/>
  </si>
  <si>
    <t>Rent Free</t>
    <phoneticPr fontId="1" type="noConversion"/>
  </si>
  <si>
    <t>(개월/연)</t>
    <phoneticPr fontId="1" type="noConversion"/>
  </si>
  <si>
    <t>투자비 산정</t>
    <phoneticPr fontId="1" type="noConversion"/>
  </si>
  <si>
    <t>매입가격</t>
    <phoneticPr fontId="1" type="noConversion"/>
  </si>
  <si>
    <t>토지분</t>
    <phoneticPr fontId="1" type="noConversion"/>
  </si>
  <si>
    <t>건물분</t>
    <phoneticPr fontId="1" type="noConversion"/>
  </si>
  <si>
    <t>부대비용</t>
    <phoneticPr fontId="1" type="noConversion"/>
  </si>
  <si>
    <t>AMC 매입수수료</t>
    <phoneticPr fontId="1" type="noConversion"/>
  </si>
  <si>
    <t>실사/자문수수료</t>
    <phoneticPr fontId="1" type="noConversion"/>
  </si>
  <si>
    <t>- 감정평가</t>
    <phoneticPr fontId="1" type="noConversion"/>
  </si>
  <si>
    <t>- 법률실사</t>
    <phoneticPr fontId="1" type="noConversion"/>
  </si>
  <si>
    <t>- 재무실사</t>
    <phoneticPr fontId="1" type="noConversion"/>
  </si>
  <si>
    <t>- 시장실사</t>
    <phoneticPr fontId="1" type="noConversion"/>
  </si>
  <si>
    <t>- 물리실사</t>
    <phoneticPr fontId="1" type="noConversion"/>
  </si>
  <si>
    <t>- 취득관련 법무사 비용</t>
    <phoneticPr fontId="1" type="noConversion"/>
  </si>
  <si>
    <t>- 실사 예비비</t>
    <phoneticPr fontId="1" type="noConversion"/>
  </si>
  <si>
    <t>금융비용</t>
    <phoneticPr fontId="1" type="noConversion"/>
  </si>
  <si>
    <t>담보신탁 비용</t>
    <phoneticPr fontId="1" type="noConversion"/>
  </si>
  <si>
    <t>선취 수수료</t>
    <phoneticPr fontId="1" type="noConversion"/>
  </si>
  <si>
    <t>총액인수 수수료</t>
    <phoneticPr fontId="1" type="noConversion"/>
  </si>
  <si>
    <t>취득세</t>
    <phoneticPr fontId="1" type="noConversion"/>
  </si>
  <si>
    <t>주식발행비용</t>
    <phoneticPr fontId="1" type="noConversion"/>
  </si>
  <si>
    <t>등록면허세</t>
    <phoneticPr fontId="1" type="noConversion"/>
  </si>
  <si>
    <t>지방교육세</t>
    <phoneticPr fontId="1" type="noConversion"/>
  </si>
  <si>
    <t>법무사 수수료</t>
    <phoneticPr fontId="1" type="noConversion"/>
  </si>
  <si>
    <t>매입세액 불공제액</t>
    <phoneticPr fontId="1" type="noConversion"/>
  </si>
  <si>
    <t>금액</t>
    <phoneticPr fontId="1" type="noConversion"/>
  </si>
  <si>
    <t>공시지가의</t>
    <phoneticPr fontId="1" type="noConversion"/>
  </si>
  <si>
    <t>배</t>
    <phoneticPr fontId="1" type="noConversion"/>
  </si>
  <si>
    <t>건물비율</t>
    <phoneticPr fontId="1" type="noConversion"/>
  </si>
  <si>
    <t>매입가격의</t>
    <phoneticPr fontId="1" type="noConversion"/>
  </si>
  <si>
    <t>견적가</t>
    <phoneticPr fontId="1" type="noConversion"/>
  </si>
  <si>
    <t>재원조달계획 참조</t>
    <phoneticPr fontId="1" type="noConversion"/>
  </si>
  <si>
    <t>과세표준의</t>
    <phoneticPr fontId="1" type="noConversion"/>
  </si>
  <si>
    <t>자본금의</t>
    <phoneticPr fontId="1" type="noConversion"/>
  </si>
  <si>
    <t>산정근거</t>
    <phoneticPr fontId="1" type="noConversion"/>
  </si>
  <si>
    <t>비율</t>
    <phoneticPr fontId="1" type="noConversion"/>
  </si>
  <si>
    <t>과세표준</t>
    <phoneticPr fontId="1" type="noConversion"/>
  </si>
  <si>
    <t>VAT과세</t>
    <phoneticPr fontId="1" type="noConversion"/>
  </si>
  <si>
    <t>VAT합계</t>
    <phoneticPr fontId="1" type="noConversion"/>
  </si>
  <si>
    <t>건물분VAT</t>
    <phoneticPr fontId="1" type="noConversion"/>
  </si>
  <si>
    <t>토지분VAT</t>
    <phoneticPr fontId="1" type="noConversion"/>
  </si>
  <si>
    <t>조달 필요액</t>
    <phoneticPr fontId="1" type="noConversion"/>
  </si>
  <si>
    <t>투자비</t>
    <phoneticPr fontId="1" type="noConversion"/>
  </si>
  <si>
    <t>VAT건물분(환급분)</t>
    <phoneticPr fontId="1" type="noConversion"/>
  </si>
  <si>
    <t>재원조달 계획</t>
    <phoneticPr fontId="1" type="noConversion"/>
  </si>
  <si>
    <t>자기자본</t>
    <phoneticPr fontId="1" type="noConversion"/>
  </si>
  <si>
    <t>보통주</t>
    <phoneticPr fontId="1" type="noConversion"/>
  </si>
  <si>
    <t>우선주</t>
    <phoneticPr fontId="1" type="noConversion"/>
  </si>
  <si>
    <t>소계</t>
    <phoneticPr fontId="1" type="noConversion"/>
  </si>
  <si>
    <t>타인자본</t>
    <phoneticPr fontId="1" type="noConversion"/>
  </si>
  <si>
    <t>담보대출</t>
    <phoneticPr fontId="1" type="noConversion"/>
  </si>
  <si>
    <t>VAT Loan</t>
    <phoneticPr fontId="1" type="noConversion"/>
  </si>
  <si>
    <t>주1) 보증금이 담보대출에 선행한다고 가정</t>
    <phoneticPr fontId="1" type="noConversion"/>
  </si>
  <si>
    <t>VAT환급일</t>
    <phoneticPr fontId="1" type="noConversion"/>
  </si>
  <si>
    <t>증자일</t>
    <phoneticPr fontId="1" type="noConversion"/>
  </si>
  <si>
    <t>누적배당률</t>
    <phoneticPr fontId="1" type="noConversion"/>
  </si>
  <si>
    <t>인출일</t>
    <phoneticPr fontId="1" type="noConversion"/>
  </si>
  <si>
    <t>상환일</t>
    <phoneticPr fontId="1" type="noConversion"/>
  </si>
  <si>
    <t>대출기간</t>
    <phoneticPr fontId="1" type="noConversion"/>
  </si>
  <si>
    <t>연 이자율</t>
    <phoneticPr fontId="1" type="noConversion"/>
  </si>
  <si>
    <t>선취수수료</t>
    <phoneticPr fontId="1" type="noConversion"/>
  </si>
  <si>
    <t>All-In 이자율</t>
    <phoneticPr fontId="1" type="noConversion"/>
  </si>
  <si>
    <t>LTV</t>
    <phoneticPr fontId="1" type="noConversion"/>
  </si>
  <si>
    <t>&lt;&lt; 상반기에 취득했기 때문(하반기라면 2월)</t>
    <phoneticPr fontId="1" type="noConversion"/>
  </si>
  <si>
    <t>N/A</t>
    <phoneticPr fontId="1" type="noConversion"/>
  </si>
  <si>
    <t>매각차익분배</t>
    <phoneticPr fontId="1" type="noConversion"/>
  </si>
  <si>
    <t>총액인수수수료</t>
    <phoneticPr fontId="1" type="noConversion"/>
  </si>
  <si>
    <t>이자지급방식</t>
    <phoneticPr fontId="1" type="noConversion"/>
  </si>
  <si>
    <t>Date</t>
    <phoneticPr fontId="1" type="noConversion"/>
  </si>
  <si>
    <t>회계기간</t>
    <phoneticPr fontId="1" type="noConversion"/>
  </si>
  <si>
    <t>운영연차</t>
    <phoneticPr fontId="1" type="noConversion"/>
  </si>
  <si>
    <t>운영기간 index</t>
    <phoneticPr fontId="1" type="noConversion"/>
  </si>
  <si>
    <t>누적운영기간 index</t>
    <phoneticPr fontId="1" type="noConversion"/>
  </si>
  <si>
    <t>mod함수 index</t>
    <phoneticPr fontId="1" type="noConversion"/>
  </si>
  <si>
    <t>1. 현재 Rent-roll</t>
    <phoneticPr fontId="1" type="noConversion"/>
  </si>
  <si>
    <t>계약기간 index</t>
    <phoneticPr fontId="1" type="noConversion"/>
  </si>
  <si>
    <t>계약종료일</t>
    <phoneticPr fontId="1" type="noConversion"/>
  </si>
  <si>
    <t>명목임대료</t>
    <phoneticPr fontId="1" type="noConversion"/>
  </si>
  <si>
    <t>렌트프리</t>
    <phoneticPr fontId="1" type="noConversion"/>
  </si>
  <si>
    <t>임대면적</t>
    <phoneticPr fontId="1" type="noConversion"/>
  </si>
  <si>
    <t>관리비</t>
    <phoneticPr fontId="1" type="noConversion"/>
  </si>
  <si>
    <t>1.1 임대료 수입</t>
    <phoneticPr fontId="1" type="noConversion"/>
  </si>
  <si>
    <t>명목 월임대료(원/평)</t>
    <phoneticPr fontId="1" type="noConversion"/>
  </si>
  <si>
    <t>실질 월임대료(원/평)</t>
    <phoneticPr fontId="1" type="noConversion"/>
  </si>
  <si>
    <t>임대료 수입 합계</t>
    <phoneticPr fontId="1" type="noConversion"/>
  </si>
  <si>
    <t>1.2 관리비 수입</t>
    <phoneticPr fontId="1" type="noConversion"/>
  </si>
  <si>
    <t>월관리비(원/평)</t>
    <phoneticPr fontId="1" type="noConversion"/>
  </si>
  <si>
    <t>관리비 수입 합계</t>
    <phoneticPr fontId="1" type="noConversion"/>
  </si>
  <si>
    <t>1.3 보증금 현금흐름</t>
    <phoneticPr fontId="1" type="noConversion"/>
  </si>
  <si>
    <t>기초</t>
    <phoneticPr fontId="1" type="noConversion"/>
  </si>
  <si>
    <t>유입</t>
    <phoneticPr fontId="1" type="noConversion"/>
  </si>
  <si>
    <t>반환</t>
    <phoneticPr fontId="1" type="noConversion"/>
  </si>
  <si>
    <t>기말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</si>
</sst>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76" formatCode="#,##0_);[Red]\(#,##0\);\-_)"/>
    <numFmt numFmtId="177" formatCode="yyyy/mm"/>
    <numFmt numFmtId="178" formatCode="#,##0.0000_);[Red]\(#,##0.0000\);\-_)"/>
    <numFmt numFmtId="179" formatCode="yyyy\/mm"/>
    <numFmt numFmtId="180" formatCode="#&quot;년&quot;"/>
    <numFmt numFmtId="181" formatCode="#&quot;개&quot;&quot;월&quot;"/>
    <numFmt numFmtId="182" formatCode="#,##0.0_);[Red]\(#,##0.0\);\-_)"/>
    <numFmt numFmtId="183" formatCode="0.0%"/>
    <numFmt numFmtId="184" formatCode="#,##0&quot;개&quot;&quot;월&quot;_);[Red]\(#,##0\);\-_)&quot;개&quot;&quot;월&quot;"/>
    <numFmt numFmtId="185" formatCode="#,##0&quot;개&quot;&quot;월&quot;\ &quot;후&quot;&quot;취&quot;_);[Red]\(#,##0\);\-_)"/>
    <numFmt numFmtId="186" formatCode="#,##0&quot;개&quot;&quot;월&quot;_);[Red]\(#,##0\);\-_)"/>
    <numFmt numFmtId="187" formatCode="#,##0&quot;기&quot;_);[Red]\(#,##0\);\-_)"/>
    <numFmt numFmtId="188" formatCode="#,##0&quot;년차&quot;_);[Red]\(#,##0\);\-_)"/>
    <numFmt numFmtId="189" formatCode="#,##0&quot;원&quot;_);[Red]\(#,##0\);\-_)"/>
    <numFmt numFmtId="190" formatCode="#,##0&quot;평&quot;_);[Red]\(#,##0\);\-_)"/>
  </numFmts>
  <fonts count="16">
    <font>
      <sz val="9"/>
      <color theme="1"/>
      <name val="KoPubWorld돋움체 Medium"/>
      <family val="2"/>
      <charset val="129"/>
    </font>
    <font>
      <sz val="8"/>
      <name val="KoPubWorld돋움체 Medium"/>
      <family val="2"/>
      <charset val="129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7" tint="-0.249977111117893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9" tint="-0.249977111117893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KoPubWorld돋움체 Medium"/>
      <family val="2"/>
      <charset val="129"/>
    </font>
    <font>
      <b/>
      <sz val="9"/>
      <color theme="0"/>
      <name val="맑은 고딕"/>
      <family val="3"/>
      <charset val="129"/>
      <scheme val="minor"/>
    </font>
    <font>
      <sz val="9"/>
      <color theme="4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  <font>
      <sz val="9"/>
      <color rgb="FF00B05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3" fillId="0" borderId="1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176" fontId="5" fillId="2" borderId="0" xfId="0" applyNumberFormat="1" applyFont="1" applyFill="1">
      <alignment vertical="center"/>
    </xf>
    <xf numFmtId="176" fontId="6" fillId="0" borderId="0" xfId="0" applyNumberFormat="1" applyFont="1">
      <alignment vertical="center"/>
    </xf>
    <xf numFmtId="176" fontId="3" fillId="3" borderId="0" xfId="0" applyNumberFormat="1" applyFont="1" applyFill="1">
      <alignment vertical="center"/>
    </xf>
    <xf numFmtId="176" fontId="3" fillId="4" borderId="0" xfId="0" applyNumberFormat="1" applyFont="1" applyFill="1">
      <alignment vertical="center"/>
    </xf>
    <xf numFmtId="176" fontId="3" fillId="5" borderId="0" xfId="0" applyNumberFormat="1" applyFont="1" applyFill="1">
      <alignment vertical="center"/>
    </xf>
    <xf numFmtId="176" fontId="7" fillId="6" borderId="0" xfId="0" applyNumberFormat="1" applyFont="1" applyFill="1">
      <alignment vertical="center"/>
    </xf>
    <xf numFmtId="176" fontId="7" fillId="7" borderId="0" xfId="0" applyNumberFormat="1" applyFont="1" applyFill="1">
      <alignment vertical="center"/>
    </xf>
    <xf numFmtId="176" fontId="3" fillId="8" borderId="0" xfId="0" applyNumberFormat="1" applyFont="1" applyFill="1">
      <alignment vertical="center"/>
    </xf>
    <xf numFmtId="176" fontId="8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9" fontId="5" fillId="2" borderId="0" xfId="0" applyNumberFormat="1" applyFont="1" applyFill="1">
      <alignment vertical="center"/>
    </xf>
    <xf numFmtId="180" fontId="5" fillId="2" borderId="0" xfId="0" applyNumberFormat="1" applyFont="1" applyFill="1">
      <alignment vertical="center"/>
    </xf>
    <xf numFmtId="179" fontId="3" fillId="0" borderId="0" xfId="0" applyNumberFormat="1" applyFont="1">
      <alignment vertical="center"/>
    </xf>
    <xf numFmtId="181" fontId="3" fillId="0" borderId="0" xfId="0" applyNumberFormat="1" applyFont="1">
      <alignment vertical="center"/>
    </xf>
    <xf numFmtId="176" fontId="3" fillId="0" borderId="0" xfId="0" quotePrefix="1" applyNumberFormat="1" applyFont="1">
      <alignment vertical="center"/>
    </xf>
    <xf numFmtId="176" fontId="9" fillId="0" borderId="0" xfId="0" applyNumberFormat="1" applyFont="1">
      <alignment vertical="center"/>
    </xf>
    <xf numFmtId="176" fontId="3" fillId="0" borderId="2" xfId="0" applyNumberFormat="1" applyFont="1" applyBorder="1">
      <alignment vertical="center"/>
    </xf>
    <xf numFmtId="176" fontId="3" fillId="9" borderId="2" xfId="0" applyNumberFormat="1" applyFont="1" applyFill="1" applyBorder="1">
      <alignment vertical="center"/>
    </xf>
    <xf numFmtId="176" fontId="3" fillId="0" borderId="3" xfId="0" applyNumberFormat="1" applyFont="1" applyBorder="1">
      <alignment vertical="center"/>
    </xf>
    <xf numFmtId="176" fontId="3" fillId="0" borderId="4" xfId="0" applyNumberFormat="1" applyFont="1" applyBorder="1">
      <alignment vertical="center"/>
    </xf>
    <xf numFmtId="176" fontId="3" fillId="9" borderId="2" xfId="0" applyNumberFormat="1" applyFont="1" applyFill="1" applyBorder="1" applyAlignment="1">
      <alignment horizontal="center" vertical="center"/>
    </xf>
    <xf numFmtId="176" fontId="3" fillId="9" borderId="6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3" fillId="9" borderId="8" xfId="0" applyNumberFormat="1" applyFont="1" applyFill="1" applyBorder="1">
      <alignment vertical="center"/>
    </xf>
    <xf numFmtId="176" fontId="3" fillId="0" borderId="9" xfId="0" applyNumberFormat="1" applyFont="1" applyBorder="1">
      <alignment vertical="center"/>
    </xf>
    <xf numFmtId="176" fontId="3" fillId="0" borderId="10" xfId="0" applyNumberFormat="1" applyFont="1" applyBorder="1">
      <alignment vertical="center"/>
    </xf>
    <xf numFmtId="176" fontId="3" fillId="0" borderId="11" xfId="0" applyNumberFormat="1" applyFont="1" applyBorder="1">
      <alignment vertical="center"/>
    </xf>
    <xf numFmtId="176" fontId="3" fillId="0" borderId="12" xfId="0" applyNumberFormat="1" applyFont="1" applyBorder="1">
      <alignment vertical="center"/>
    </xf>
    <xf numFmtId="176" fontId="4" fillId="0" borderId="8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176" fontId="3" fillId="0" borderId="8" xfId="0" applyNumberFormat="1" applyFont="1" applyBorder="1">
      <alignment vertical="center"/>
    </xf>
    <xf numFmtId="179" fontId="3" fillId="0" borderId="2" xfId="0" applyNumberFormat="1" applyFont="1" applyBorder="1">
      <alignment vertical="center"/>
    </xf>
    <xf numFmtId="176" fontId="3" fillId="9" borderId="6" xfId="0" applyNumberFormat="1" applyFont="1" applyFill="1" applyBorder="1">
      <alignment vertical="center"/>
    </xf>
    <xf numFmtId="176" fontId="11" fillId="7" borderId="0" xfId="0" applyNumberFormat="1" applyFont="1" applyFill="1">
      <alignment vertical="center"/>
    </xf>
    <xf numFmtId="176" fontId="3" fillId="9" borderId="0" xfId="0" applyNumberFormat="1" applyFont="1" applyFill="1">
      <alignment vertical="center"/>
    </xf>
    <xf numFmtId="176" fontId="3" fillId="9" borderId="16" xfId="0" applyNumberFormat="1" applyFont="1" applyFill="1" applyBorder="1">
      <alignment vertical="center"/>
    </xf>
    <xf numFmtId="176" fontId="9" fillId="0" borderId="0" xfId="0" quotePrefix="1" applyNumberFormat="1" applyFont="1">
      <alignment vertical="center"/>
    </xf>
    <xf numFmtId="176" fontId="3" fillId="0" borderId="18" xfId="0" applyNumberFormat="1" applyFont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17" xfId="0" applyNumberFormat="1" applyFont="1" applyBorder="1">
      <alignment vertical="center"/>
    </xf>
    <xf numFmtId="176" fontId="3" fillId="0" borderId="16" xfId="0" applyNumberFormat="1" applyFont="1" applyBorder="1">
      <alignment vertical="center"/>
    </xf>
    <xf numFmtId="176" fontId="3" fillId="0" borderId="19" xfId="0" applyNumberFormat="1" applyFont="1" applyBorder="1">
      <alignment vertical="center"/>
    </xf>
    <xf numFmtId="176" fontId="3" fillId="0" borderId="20" xfId="0" applyNumberFormat="1" applyFont="1" applyBorder="1">
      <alignment vertical="center"/>
    </xf>
    <xf numFmtId="176" fontId="3" fillId="0" borderId="21" xfId="0" applyNumberFormat="1" applyFont="1" applyBorder="1">
      <alignment vertical="center"/>
    </xf>
    <xf numFmtId="176" fontId="3" fillId="0" borderId="22" xfId="0" applyNumberFormat="1" applyFont="1" applyBorder="1">
      <alignment vertical="center"/>
    </xf>
    <xf numFmtId="176" fontId="9" fillId="0" borderId="18" xfId="0" quotePrefix="1" applyNumberFormat="1" applyFont="1" applyBorder="1">
      <alignment vertical="center"/>
    </xf>
    <xf numFmtId="176" fontId="9" fillId="0" borderId="17" xfId="0" quotePrefix="1" applyNumberFormat="1" applyFont="1" applyBorder="1">
      <alignment vertical="center"/>
    </xf>
    <xf numFmtId="182" fontId="5" fillId="2" borderId="0" xfId="0" applyNumberFormat="1" applyFont="1" applyFill="1">
      <alignment vertical="center"/>
    </xf>
    <xf numFmtId="183" fontId="12" fillId="0" borderId="16" xfId="1" applyNumberFormat="1" applyFont="1" applyBorder="1">
      <alignment vertical="center"/>
    </xf>
    <xf numFmtId="10" fontId="5" fillId="2" borderId="20" xfId="1" applyNumberFormat="1" applyFont="1" applyFill="1" applyBorder="1">
      <alignment vertical="center"/>
    </xf>
    <xf numFmtId="176" fontId="5" fillId="2" borderId="0" xfId="0" applyNumberFormat="1" applyFont="1" applyFill="1" applyBorder="1">
      <alignment vertical="center"/>
    </xf>
    <xf numFmtId="176" fontId="5" fillId="2" borderId="16" xfId="0" applyNumberFormat="1" applyFont="1" applyFill="1" applyBorder="1">
      <alignment vertical="center"/>
    </xf>
    <xf numFmtId="176" fontId="5" fillId="2" borderId="20" xfId="0" applyNumberFormat="1" applyFont="1" applyFill="1" applyBorder="1">
      <alignment vertical="center"/>
    </xf>
    <xf numFmtId="176" fontId="5" fillId="10" borderId="0" xfId="0" applyNumberFormat="1" applyFont="1" applyFill="1" applyBorder="1">
      <alignment vertical="center"/>
    </xf>
    <xf numFmtId="10" fontId="5" fillId="2" borderId="16" xfId="1" applyNumberFormat="1" applyFont="1" applyFill="1" applyBorder="1">
      <alignment vertical="center"/>
    </xf>
    <xf numFmtId="10" fontId="5" fillId="2" borderId="0" xfId="1" applyNumberFormat="1" applyFont="1" applyFill="1" applyBorder="1">
      <alignment vertical="center"/>
    </xf>
    <xf numFmtId="9" fontId="5" fillId="2" borderId="0" xfId="1" applyNumberFormat="1" applyFont="1" applyFill="1" applyBorder="1">
      <alignment vertical="center"/>
    </xf>
    <xf numFmtId="9" fontId="12" fillId="0" borderId="20" xfId="1" applyFont="1" applyBorder="1">
      <alignment vertical="center"/>
    </xf>
    <xf numFmtId="9" fontId="12" fillId="0" borderId="16" xfId="1" applyFont="1" applyBorder="1">
      <alignment vertical="center"/>
    </xf>
    <xf numFmtId="9" fontId="12" fillId="0" borderId="0" xfId="1" applyFont="1" applyBorder="1">
      <alignment vertical="center"/>
    </xf>
    <xf numFmtId="183" fontId="12" fillId="0" borderId="0" xfId="1" applyNumberFormat="1" applyFont="1">
      <alignment vertical="center"/>
    </xf>
    <xf numFmtId="176" fontId="3" fillId="0" borderId="24" xfId="0" applyNumberFormat="1" applyFont="1" applyBorder="1">
      <alignment vertical="center"/>
    </xf>
    <xf numFmtId="176" fontId="3" fillId="2" borderId="18" xfId="0" applyNumberFormat="1" applyFont="1" applyFill="1" applyBorder="1">
      <alignment vertical="center"/>
    </xf>
    <xf numFmtId="176" fontId="3" fillId="2" borderId="25" xfId="0" applyNumberFormat="1" applyFont="1" applyFill="1" applyBorder="1">
      <alignment vertical="center"/>
    </xf>
    <xf numFmtId="176" fontId="5" fillId="2" borderId="19" xfId="0" applyNumberFormat="1" applyFont="1" applyFill="1" applyBorder="1">
      <alignment vertical="center"/>
    </xf>
    <xf numFmtId="176" fontId="5" fillId="2" borderId="24" xfId="0" applyNumberFormat="1" applyFont="1" applyFill="1" applyBorder="1">
      <alignment vertical="center"/>
    </xf>
    <xf numFmtId="176" fontId="5" fillId="2" borderId="17" xfId="0" applyNumberFormat="1" applyFont="1" applyFill="1" applyBorder="1">
      <alignment vertical="center"/>
    </xf>
    <xf numFmtId="176" fontId="5" fillId="2" borderId="21" xfId="0" applyNumberFormat="1" applyFont="1" applyFill="1" applyBorder="1">
      <alignment vertical="center"/>
    </xf>
    <xf numFmtId="176" fontId="5" fillId="0" borderId="18" xfId="0" applyNumberFormat="1" applyFont="1" applyBorder="1">
      <alignment vertical="center"/>
    </xf>
    <xf numFmtId="176" fontId="5" fillId="0" borderId="25" xfId="0" applyNumberFormat="1" applyFont="1" applyBorder="1">
      <alignment vertical="center"/>
    </xf>
    <xf numFmtId="176" fontId="5" fillId="2" borderId="18" xfId="0" applyNumberFormat="1" applyFont="1" applyFill="1" applyBorder="1">
      <alignment vertical="center"/>
    </xf>
    <xf numFmtId="176" fontId="5" fillId="2" borderId="25" xfId="0" applyNumberFormat="1" applyFont="1" applyFill="1" applyBorder="1">
      <alignment vertical="center"/>
    </xf>
    <xf numFmtId="176" fontId="4" fillId="4" borderId="14" xfId="0" applyNumberFormat="1" applyFont="1" applyFill="1" applyBorder="1">
      <alignment vertical="center"/>
    </xf>
    <xf numFmtId="176" fontId="3" fillId="4" borderId="14" xfId="0" applyNumberFormat="1" applyFont="1" applyFill="1" applyBorder="1">
      <alignment vertical="center"/>
    </xf>
    <xf numFmtId="9" fontId="12" fillId="4" borderId="14" xfId="1" applyNumberFormat="1" applyFont="1" applyFill="1" applyBorder="1">
      <alignment vertical="center"/>
    </xf>
    <xf numFmtId="179" fontId="3" fillId="0" borderId="20" xfId="0" applyNumberFormat="1" applyFont="1" applyBorder="1">
      <alignment vertical="center"/>
    </xf>
    <xf numFmtId="179" fontId="3" fillId="0" borderId="16" xfId="0" applyNumberFormat="1" applyFont="1" applyBorder="1">
      <alignment vertical="center"/>
    </xf>
    <xf numFmtId="10" fontId="3" fillId="0" borderId="20" xfId="1" applyNumberFormat="1" applyFont="1" applyBorder="1">
      <alignment vertical="center"/>
    </xf>
    <xf numFmtId="176" fontId="3" fillId="9" borderId="0" xfId="0" applyNumberFormat="1" applyFont="1" applyFill="1" applyAlignment="1">
      <alignment horizontal="center" vertical="center"/>
    </xf>
    <xf numFmtId="176" fontId="14" fillId="10" borderId="16" xfId="0" applyNumberFormat="1" applyFont="1" applyFill="1" applyBorder="1">
      <alignment vertical="center"/>
    </xf>
    <xf numFmtId="176" fontId="14" fillId="0" borderId="16" xfId="0" applyNumberFormat="1" applyFont="1" applyBorder="1">
      <alignment vertical="center"/>
    </xf>
    <xf numFmtId="179" fontId="3" fillId="0" borderId="0" xfId="0" applyNumberFormat="1" applyFont="1" applyBorder="1">
      <alignment vertical="center"/>
    </xf>
    <xf numFmtId="184" fontId="3" fillId="0" borderId="20" xfId="0" applyNumberFormat="1" applyFont="1" applyBorder="1">
      <alignment vertical="center"/>
    </xf>
    <xf numFmtId="10" fontId="3" fillId="0" borderId="0" xfId="1" applyNumberFormat="1" applyFont="1" applyBorder="1">
      <alignment vertical="center"/>
    </xf>
    <xf numFmtId="185" fontId="5" fillId="2" borderId="20" xfId="0" applyNumberFormat="1" applyFont="1" applyFill="1" applyBorder="1">
      <alignment vertical="center"/>
    </xf>
    <xf numFmtId="10" fontId="15" fillId="0" borderId="20" xfId="1" applyNumberFormat="1" applyFont="1" applyBorder="1">
      <alignment vertical="center"/>
    </xf>
    <xf numFmtId="183" fontId="15" fillId="0" borderId="20" xfId="1" applyNumberFormat="1" applyFont="1" applyBorder="1">
      <alignment vertical="center"/>
    </xf>
    <xf numFmtId="186" fontId="3" fillId="0" borderId="0" xfId="0" applyNumberFormat="1" applyFont="1" applyBorder="1">
      <alignment vertical="center"/>
    </xf>
    <xf numFmtId="185" fontId="5" fillId="2" borderId="0" xfId="0" applyNumberFormat="1" applyFont="1" applyFill="1" applyBorder="1">
      <alignment vertical="center"/>
    </xf>
    <xf numFmtId="10" fontId="15" fillId="0" borderId="0" xfId="1" applyNumberFormat="1" applyFont="1" applyBorder="1">
      <alignment vertical="center"/>
    </xf>
    <xf numFmtId="176" fontId="3" fillId="0" borderId="16" xfId="0" applyNumberFormat="1" applyFont="1" applyBorder="1" applyAlignment="1">
      <alignment horizontal="center" vertical="center"/>
    </xf>
    <xf numFmtId="176" fontId="13" fillId="0" borderId="20" xfId="0" applyNumberFormat="1" applyFont="1" applyBorder="1">
      <alignment vertical="center"/>
    </xf>
    <xf numFmtId="176" fontId="13" fillId="0" borderId="0" xfId="0" applyNumberFormat="1" applyFont="1" applyBorder="1">
      <alignment vertical="center"/>
    </xf>
    <xf numFmtId="176" fontId="13" fillId="0" borderId="2" xfId="0" applyNumberFormat="1" applyFont="1" applyBorder="1">
      <alignment vertical="center"/>
    </xf>
    <xf numFmtId="187" fontId="13" fillId="0" borderId="2" xfId="0" applyNumberFormat="1" applyFont="1" applyBorder="1">
      <alignment vertical="center"/>
    </xf>
    <xf numFmtId="179" fontId="13" fillId="0" borderId="2" xfId="0" applyNumberFormat="1" applyFont="1" applyBorder="1">
      <alignment vertical="center"/>
    </xf>
    <xf numFmtId="176" fontId="13" fillId="0" borderId="0" xfId="0" applyNumberFormat="1" applyFont="1">
      <alignment vertical="center"/>
    </xf>
    <xf numFmtId="176" fontId="3" fillId="9" borderId="0" xfId="0" applyNumberFormat="1" applyFont="1" applyFill="1" applyBorder="1">
      <alignment vertical="center"/>
    </xf>
    <xf numFmtId="179" fontId="3" fillId="9" borderId="0" xfId="0" applyNumberFormat="1" applyFont="1" applyFill="1" applyBorder="1">
      <alignment vertical="center"/>
    </xf>
    <xf numFmtId="187" fontId="3" fillId="9" borderId="0" xfId="0" applyNumberFormat="1" applyFont="1" applyFill="1" applyBorder="1">
      <alignment vertical="center"/>
    </xf>
    <xf numFmtId="176" fontId="3" fillId="9" borderId="14" xfId="0" applyNumberFormat="1" applyFont="1" applyFill="1" applyBorder="1">
      <alignment vertical="center"/>
    </xf>
    <xf numFmtId="188" fontId="3" fillId="9" borderId="14" xfId="0" applyNumberFormat="1" applyFont="1" applyFill="1" applyBorder="1">
      <alignment vertical="center"/>
    </xf>
    <xf numFmtId="176" fontId="13" fillId="0" borderId="10" xfId="0" applyNumberFormat="1" applyFont="1" applyBorder="1">
      <alignment vertical="center"/>
    </xf>
    <xf numFmtId="179" fontId="13" fillId="0" borderId="9" xfId="0" applyNumberFormat="1" applyFont="1" applyBorder="1">
      <alignment vertical="center"/>
    </xf>
    <xf numFmtId="176" fontId="13" fillId="0" borderId="12" xfId="0" applyNumberFormat="1" applyFont="1" applyBorder="1">
      <alignment vertical="center"/>
    </xf>
    <xf numFmtId="189" fontId="13" fillId="0" borderId="11" xfId="0" applyNumberFormat="1" applyFont="1" applyBorder="1">
      <alignment vertical="center"/>
    </xf>
    <xf numFmtId="186" fontId="13" fillId="0" borderId="11" xfId="0" applyNumberFormat="1" applyFont="1" applyBorder="1">
      <alignment vertical="center"/>
    </xf>
    <xf numFmtId="190" fontId="13" fillId="0" borderId="11" xfId="0" applyNumberFormat="1" applyFont="1" applyBorder="1">
      <alignment vertical="center"/>
    </xf>
    <xf numFmtId="176" fontId="13" fillId="0" borderId="26" xfId="0" applyNumberFormat="1" applyFont="1" applyBorder="1">
      <alignment vertical="center"/>
    </xf>
    <xf numFmtId="176" fontId="13" fillId="0" borderId="15" xfId="0" applyNumberFormat="1" applyFont="1" applyBorder="1">
      <alignment vertical="center"/>
    </xf>
    <xf numFmtId="176" fontId="4" fillId="0" borderId="14" xfId="0" applyNumberFormat="1" applyFont="1" applyBorder="1">
      <alignment vertical="center"/>
    </xf>
    <xf numFmtId="176" fontId="3" fillId="0" borderId="23" xfId="0" applyNumberFormat="1" applyFont="1" applyBorder="1">
      <alignment vertical="center"/>
    </xf>
    <xf numFmtId="176" fontId="3" fillId="0" borderId="27" xfId="0" applyNumberFormat="1" applyFont="1" applyBorder="1">
      <alignment vertical="center"/>
    </xf>
    <xf numFmtId="176" fontId="3" fillId="9" borderId="6" xfId="0" applyNumberFormat="1" applyFont="1" applyFill="1" applyBorder="1" applyAlignment="1">
      <alignment horizontal="center" vertical="center"/>
    </xf>
    <xf numFmtId="176" fontId="3" fillId="9" borderId="7" xfId="0" applyNumberFormat="1" applyFont="1" applyFill="1" applyBorder="1" applyAlignment="1">
      <alignment horizontal="center" vertical="center"/>
    </xf>
    <xf numFmtId="176" fontId="3" fillId="9" borderId="8" xfId="0" applyNumberFormat="1" applyFont="1" applyFill="1" applyBorder="1" applyAlignment="1">
      <alignment horizontal="center" vertical="center"/>
    </xf>
    <xf numFmtId="176" fontId="3" fillId="9" borderId="13" xfId="0" applyNumberFormat="1" applyFont="1" applyFill="1" applyBorder="1" applyAlignment="1">
      <alignment horizontal="center" vertical="center"/>
    </xf>
    <xf numFmtId="176" fontId="3" fillId="9" borderId="9" xfId="0" applyNumberFormat="1" applyFont="1" applyFill="1" applyBorder="1" applyAlignment="1">
      <alignment horizontal="center" vertical="center"/>
    </xf>
    <xf numFmtId="176" fontId="3" fillId="9" borderId="14" xfId="0" applyNumberFormat="1" applyFont="1" applyFill="1" applyBorder="1" applyAlignment="1">
      <alignment horizontal="center" vertical="center"/>
    </xf>
    <xf numFmtId="176" fontId="3" fillId="9" borderId="15" xfId="0" applyNumberFormat="1" applyFont="1" applyFill="1" applyBorder="1" applyAlignment="1">
      <alignment horizontal="center" vertical="center"/>
    </xf>
    <xf numFmtId="176" fontId="3" fillId="9" borderId="3" xfId="0" applyNumberFormat="1" applyFont="1" applyFill="1" applyBorder="1" applyAlignment="1">
      <alignment horizontal="center" vertical="center"/>
    </xf>
    <xf numFmtId="176" fontId="3" fillId="9" borderId="5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453567</xdr:colOff>
      <xdr:row>8</xdr:row>
      <xdr:rowOff>31948</xdr:rowOff>
    </xdr:from>
    <xdr:to>
      <xdr:col>45</xdr:col>
      <xdr:colOff>420403</xdr:colOff>
      <xdr:row>28</xdr:row>
      <xdr:rowOff>55079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D22432F0-3929-4885-B5DD-8ED07F9D9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11138" y="1447091"/>
          <a:ext cx="7314694" cy="3560988"/>
        </a:xfrm>
        <a:prstGeom prst="rect">
          <a:avLst/>
        </a:prstGeom>
      </xdr:spPr>
    </xdr:pic>
    <xdr:clientData/>
  </xdr:twoCellAnchor>
  <xdr:twoCellAnchor editAs="oneCell">
    <xdr:from>
      <xdr:col>35</xdr:col>
      <xdr:colOff>31068</xdr:colOff>
      <xdr:row>29</xdr:row>
      <xdr:rowOff>147204</xdr:rowOff>
    </xdr:from>
    <xdr:to>
      <xdr:col>56</xdr:col>
      <xdr:colOff>112378</xdr:colOff>
      <xdr:row>75</xdr:row>
      <xdr:rowOff>48826</xdr:rowOff>
    </xdr:to>
    <xdr:pic>
      <xdr:nvPicPr>
        <xdr:cNvPr id="3" name="그림 2" descr="텍스트, 스크린샷, 번호, 도표이(가) 표시된 사진&#10;&#10;자동 생성된 설명">
          <a:extLst>
            <a:ext uri="{FF2B5EF4-FFF2-40B4-BE49-F238E27FC236}">
              <a16:creationId xmlns:a16="http://schemas.microsoft.com/office/drawing/2014/main" id="{0496F798-7FFB-35B5-EA3A-29DA82F5E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95568" y="5169477"/>
          <a:ext cx="12810174" cy="7867985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476250</xdr:colOff>
      <xdr:row>11</xdr:row>
      <xdr:rowOff>171449</xdr:rowOff>
    </xdr:from>
    <xdr:to>
      <xdr:col>33</xdr:col>
      <xdr:colOff>229663</xdr:colOff>
      <xdr:row>52</xdr:row>
      <xdr:rowOff>62082</xdr:rowOff>
    </xdr:to>
    <xdr:pic>
      <xdr:nvPicPr>
        <xdr:cNvPr id="4" name="그림 3" descr="텍스트, 스크린샷, 번호, 폰트이(가) 표시된 사진&#10;&#10;자동 생성된 설명">
          <a:extLst>
            <a:ext uri="{FF2B5EF4-FFF2-40B4-BE49-F238E27FC236}">
              <a16:creationId xmlns:a16="http://schemas.microsoft.com/office/drawing/2014/main" id="{AC0B27E0-AB1D-8E85-D068-F09B25B59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1400" y="2057399"/>
          <a:ext cx="10116613" cy="6920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250253</xdr:colOff>
      <xdr:row>40</xdr:row>
      <xdr:rowOff>31357</xdr:rowOff>
    </xdr:from>
    <xdr:to>
      <xdr:col>36</xdr:col>
      <xdr:colOff>561018</xdr:colOff>
      <xdr:row>74</xdr:row>
      <xdr:rowOff>118692</xdr:rowOff>
    </xdr:to>
    <xdr:pic>
      <xdr:nvPicPr>
        <xdr:cNvPr id="3" name="그림 2" descr="텍스트, 스크린샷, 폰트, 번호이(가) 표시된 사진&#10;&#10;자동 생성된 설명">
          <a:extLst>
            <a:ext uri="{FF2B5EF4-FFF2-40B4-BE49-F238E27FC236}">
              <a16:creationId xmlns:a16="http://schemas.microsoft.com/office/drawing/2014/main" id="{B44822E4-F810-27B1-B11D-02A725009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24231" y="6988748"/>
          <a:ext cx="8278635" cy="60011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E08F92B6-ADB3-41B3-995C-12E04C80A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E3FB6244-B354-4154-BEC5-CA2A985E3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14B2F095-95AE-427C-BE85-23FE0EDAE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678D4E8D-7A36-40ED-80E0-E7F41CE14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65F3D914-6173-479A-9103-EA2D904D4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A950F490-55E1-4075-A9AD-C19917B39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1EFFFECF-2E76-4BB6-BECD-35EACC40A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41"/>
  <sheetViews>
    <sheetView showGridLines="0" showWhiteSpace="0" zoomScaleNormal="100" workbookViewId="0">
      <selection activeCell="O42" sqref="O42"/>
    </sheetView>
  </sheetViews>
  <sheetFormatPr defaultColWidth="9.1640625" defaultRowHeight="13.5" customHeight="1"/>
  <cols>
    <col min="1" max="1" width="2.5" style="2" customWidth="1"/>
    <col min="2" max="3" width="9.1640625" style="2"/>
    <col min="4" max="4" width="11.33203125" style="2" bestFit="1" customWidth="1"/>
    <col min="5" max="5" width="9.1640625" style="2"/>
    <col min="6" max="6" width="11.33203125" style="2" customWidth="1"/>
    <col min="7" max="7" width="11.5" style="2" bestFit="1" customWidth="1"/>
    <col min="8" max="8" width="17.33203125" style="2" customWidth="1"/>
    <col min="9" max="9" width="14.33203125" style="2" customWidth="1"/>
    <col min="10" max="10" width="9.83203125" style="2" customWidth="1"/>
    <col min="11" max="11" width="11.33203125" style="2" bestFit="1" customWidth="1"/>
    <col min="12" max="12" width="11" style="2" customWidth="1"/>
    <col min="13" max="13" width="12" style="2" customWidth="1"/>
    <col min="14" max="15" width="9.1640625" style="2"/>
    <col min="16" max="16" width="2.5" style="2" customWidth="1"/>
    <col min="17" max="29" width="9.1640625" style="2"/>
    <col min="30" max="30" width="10.33203125" style="2" customWidth="1"/>
    <col min="31" max="34" width="9.1640625" style="2"/>
    <col min="35" max="35" width="9.1640625" style="2" customWidth="1"/>
    <col min="36" max="36" width="1.83203125" style="2" customWidth="1"/>
    <col min="37" max="16384" width="9.1640625" style="2"/>
  </cols>
  <sheetData>
    <row r="2" spans="1:31" s="4" customFormat="1" ht="13.5" customHeight="1">
      <c r="B2" s="4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>
      <c r="AB3" s="6" t="s">
        <v>3</v>
      </c>
      <c r="AC3" s="9" t="s">
        <v>6</v>
      </c>
      <c r="AD3" s="12" t="s">
        <v>9</v>
      </c>
    </row>
    <row r="4" spans="1:31" ht="13.5" customHeight="1">
      <c r="AB4" s="7" t="s">
        <v>4</v>
      </c>
      <c r="AC4" s="10" t="s">
        <v>7</v>
      </c>
      <c r="AD4" s="13" t="s">
        <v>10</v>
      </c>
    </row>
    <row r="5" spans="1:31" ht="13.5" customHeight="1" thickBo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>
      <c r="A6" s="2" t="s">
        <v>1</v>
      </c>
      <c r="AD6" s="14">
        <v>45545</v>
      </c>
    </row>
    <row r="7" spans="1:31" ht="13.5" customHeight="1">
      <c r="A7" s="4" t="s">
        <v>11</v>
      </c>
    </row>
    <row r="8" spans="1:31" ht="13.5" customHeight="1">
      <c r="B8" s="11" t="s">
        <v>21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31" ht="13.5" customHeight="1">
      <c r="B9" s="2" t="s">
        <v>23</v>
      </c>
      <c r="D9" s="2" t="s">
        <v>22</v>
      </c>
    </row>
    <row r="10" spans="1:31" ht="13.5" customHeight="1">
      <c r="B10" s="2" t="s">
        <v>24</v>
      </c>
      <c r="D10" s="2">
        <v>1000000</v>
      </c>
      <c r="E10" s="2" t="s">
        <v>25</v>
      </c>
    </row>
    <row r="11" spans="1:31" ht="13.5" customHeight="1">
      <c r="B11" s="2" t="s">
        <v>27</v>
      </c>
      <c r="D11" s="15">
        <v>0.30249999999999999</v>
      </c>
      <c r="E11" s="2" t="s">
        <v>26</v>
      </c>
    </row>
    <row r="12" spans="1:31" ht="13.5" customHeight="1">
      <c r="B12" s="2" t="s">
        <v>28</v>
      </c>
      <c r="D12" s="2" t="s">
        <v>29</v>
      </c>
    </row>
    <row r="13" spans="1:31" ht="13.5" customHeight="1">
      <c r="B13" s="2" t="s">
        <v>30</v>
      </c>
      <c r="D13" s="16">
        <v>45352</v>
      </c>
    </row>
    <row r="14" spans="1:31" ht="13.5" customHeight="1">
      <c r="B14" s="2" t="s">
        <v>31</v>
      </c>
      <c r="D14" s="16">
        <f>EOMONTH(D13,1)</f>
        <v>45412</v>
      </c>
    </row>
    <row r="15" spans="1:31" ht="13.5" customHeight="1">
      <c r="B15" s="2" t="s">
        <v>32</v>
      </c>
      <c r="D15" s="17">
        <v>5</v>
      </c>
    </row>
    <row r="16" spans="1:31" ht="13.5" customHeight="1">
      <c r="B16" s="2" t="s">
        <v>33</v>
      </c>
      <c r="D16" s="18">
        <f>EOMONTH(D14,D15*12-1)</f>
        <v>47208</v>
      </c>
    </row>
    <row r="17" spans="2:15" ht="13.5" customHeight="1">
      <c r="B17" s="2" t="s">
        <v>34</v>
      </c>
      <c r="D17" s="19">
        <v>6</v>
      </c>
    </row>
    <row r="18" spans="2:15" ht="13.5" customHeight="1">
      <c r="B18" s="11" t="s">
        <v>35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2:15" ht="13.5" customHeight="1">
      <c r="B19" s="2" t="s">
        <v>36</v>
      </c>
      <c r="D19" s="2" t="s">
        <v>37</v>
      </c>
      <c r="J19" s="2" t="s">
        <v>48</v>
      </c>
      <c r="L19" s="2" t="s">
        <v>49</v>
      </c>
    </row>
    <row r="20" spans="2:15" ht="13.5" customHeight="1">
      <c r="B20" s="2" t="s">
        <v>38</v>
      </c>
      <c r="D20" s="2" t="s">
        <v>39</v>
      </c>
      <c r="J20" s="2" t="s">
        <v>48</v>
      </c>
      <c r="L20" s="2">
        <v>34216</v>
      </c>
      <c r="M20" s="21" t="s">
        <v>43</v>
      </c>
      <c r="N20" s="2">
        <f>L20*py</f>
        <v>10350.34</v>
      </c>
      <c r="O20" s="2" t="s">
        <v>26</v>
      </c>
    </row>
    <row r="21" spans="2:15" ht="13.5" customHeight="1">
      <c r="B21" s="2" t="s">
        <v>40</v>
      </c>
      <c r="D21" s="2" t="s">
        <v>41</v>
      </c>
      <c r="J21" s="2" t="s">
        <v>50</v>
      </c>
      <c r="L21" s="18">
        <v>43344</v>
      </c>
    </row>
    <row r="22" spans="2:15" ht="13.5" customHeight="1">
      <c r="B22" s="2" t="s">
        <v>42</v>
      </c>
      <c r="D22" s="2">
        <v>30053</v>
      </c>
      <c r="E22" s="2" t="s">
        <v>43</v>
      </c>
      <c r="F22" s="2">
        <f>D22*py</f>
        <v>9091.0324999999993</v>
      </c>
      <c r="G22" s="2" t="s">
        <v>26</v>
      </c>
      <c r="J22" s="2" t="s">
        <v>51</v>
      </c>
      <c r="L22" s="2" t="s">
        <v>52</v>
      </c>
    </row>
    <row r="23" spans="2:15" ht="13.5" customHeight="1">
      <c r="B23" s="2" t="s">
        <v>44</v>
      </c>
      <c r="D23" s="2">
        <v>259800</v>
      </c>
      <c r="E23" s="2" t="s">
        <v>45</v>
      </c>
      <c r="G23" s="20" t="s">
        <v>46</v>
      </c>
      <c r="H23" s="2">
        <f>D23*D22/unit</f>
        <v>7807.7694000000001</v>
      </c>
      <c r="I23" s="2" t="s">
        <v>47</v>
      </c>
    </row>
    <row r="24" spans="2:15" ht="13.5" customHeight="1">
      <c r="B24" s="2" t="s">
        <v>53</v>
      </c>
    </row>
    <row r="25" spans="2:15" ht="13.5" customHeight="1">
      <c r="C25" s="29" t="s">
        <v>54</v>
      </c>
      <c r="D25" s="119" t="s">
        <v>66</v>
      </c>
      <c r="E25" s="120"/>
      <c r="F25" s="120"/>
      <c r="G25" s="120"/>
      <c r="H25" s="120"/>
      <c r="I25" s="121"/>
      <c r="J25" s="119" t="s">
        <v>67</v>
      </c>
      <c r="K25" s="120"/>
      <c r="L25" s="120"/>
      <c r="M25" s="120"/>
      <c r="N25" s="120"/>
      <c r="O25" s="120"/>
    </row>
    <row r="26" spans="2:15" ht="13.5" customHeight="1">
      <c r="C26" s="29"/>
      <c r="D26" s="26" t="s">
        <v>61</v>
      </c>
      <c r="E26" s="26" t="s">
        <v>62</v>
      </c>
      <c r="F26" s="26" t="s">
        <v>63</v>
      </c>
      <c r="G26" s="26" t="s">
        <v>64</v>
      </c>
      <c r="H26" s="26" t="s">
        <v>65</v>
      </c>
      <c r="I26" s="26" t="s">
        <v>59</v>
      </c>
      <c r="J26" s="26" t="s">
        <v>61</v>
      </c>
      <c r="K26" s="26" t="s">
        <v>62</v>
      </c>
      <c r="L26" s="26" t="s">
        <v>63</v>
      </c>
      <c r="M26" s="26" t="s">
        <v>64</v>
      </c>
      <c r="N26" s="26" t="s">
        <v>65</v>
      </c>
      <c r="O26" s="27" t="s">
        <v>59</v>
      </c>
    </row>
    <row r="27" spans="2:15" ht="13.5" customHeight="1">
      <c r="C27" s="30" t="s">
        <v>60</v>
      </c>
      <c r="D27" s="24">
        <v>4991</v>
      </c>
      <c r="E27" s="24">
        <v>499</v>
      </c>
      <c r="F27" s="24">
        <v>0</v>
      </c>
      <c r="G27" s="24">
        <v>0</v>
      </c>
      <c r="H27" s="24">
        <v>0</v>
      </c>
      <c r="I27" s="24">
        <f>SUM(D27:H27)</f>
        <v>5490</v>
      </c>
      <c r="J27" s="24">
        <f t="shared" ref="J27:O32" si="0">D27*py</f>
        <v>1509.7774999999999</v>
      </c>
      <c r="K27" s="24">
        <f t="shared" si="0"/>
        <v>150.94749999999999</v>
      </c>
      <c r="L27" s="24">
        <f t="shared" si="0"/>
        <v>0</v>
      </c>
      <c r="M27" s="24">
        <f t="shared" si="0"/>
        <v>0</v>
      </c>
      <c r="N27" s="24">
        <f t="shared" si="0"/>
        <v>0</v>
      </c>
      <c r="O27" s="31">
        <f t="shared" si="0"/>
        <v>1660.7249999999999</v>
      </c>
    </row>
    <row r="28" spans="2:15" ht="13.5" customHeight="1">
      <c r="C28" s="32" t="s">
        <v>55</v>
      </c>
      <c r="D28" s="25">
        <v>8483</v>
      </c>
      <c r="E28" s="25"/>
      <c r="F28" s="25">
        <v>1831</v>
      </c>
      <c r="G28" s="25">
        <v>0</v>
      </c>
      <c r="H28" s="25">
        <v>0</v>
      </c>
      <c r="I28" s="25">
        <f t="shared" ref="I28:I31" si="1">SUM(D28:H28)</f>
        <v>10314</v>
      </c>
      <c r="J28" s="25">
        <f t="shared" si="0"/>
        <v>2566.1075000000001</v>
      </c>
      <c r="K28" s="25">
        <f t="shared" si="0"/>
        <v>0</v>
      </c>
      <c r="L28" s="25">
        <f t="shared" si="0"/>
        <v>553.87749999999994</v>
      </c>
      <c r="M28" s="25">
        <f t="shared" si="0"/>
        <v>0</v>
      </c>
      <c r="N28" s="25">
        <f t="shared" si="0"/>
        <v>0</v>
      </c>
      <c r="O28" s="33">
        <f t="shared" si="0"/>
        <v>3119.9850000000001</v>
      </c>
    </row>
    <row r="29" spans="2:15" ht="13.5" customHeight="1">
      <c r="C29" s="32" t="s">
        <v>56</v>
      </c>
      <c r="D29" s="25">
        <v>0</v>
      </c>
      <c r="E29" s="25">
        <v>648</v>
      </c>
      <c r="F29" s="25">
        <v>0</v>
      </c>
      <c r="G29" s="25">
        <v>0</v>
      </c>
      <c r="H29" s="25">
        <v>0</v>
      </c>
      <c r="I29" s="25">
        <f t="shared" si="1"/>
        <v>648</v>
      </c>
      <c r="J29" s="25">
        <f t="shared" si="0"/>
        <v>0</v>
      </c>
      <c r="K29" s="25">
        <f t="shared" si="0"/>
        <v>196.01999999999998</v>
      </c>
      <c r="L29" s="25">
        <f t="shared" si="0"/>
        <v>0</v>
      </c>
      <c r="M29" s="25">
        <f t="shared" si="0"/>
        <v>0</v>
      </c>
      <c r="N29" s="25">
        <f t="shared" si="0"/>
        <v>0</v>
      </c>
      <c r="O29" s="33">
        <f t="shared" si="0"/>
        <v>196.01999999999998</v>
      </c>
    </row>
    <row r="30" spans="2:15" ht="13.5" customHeight="1">
      <c r="C30" s="32" t="s">
        <v>57</v>
      </c>
      <c r="D30" s="25">
        <v>14627</v>
      </c>
      <c r="E30" s="25"/>
      <c r="F30" s="25">
        <v>1947</v>
      </c>
      <c r="G30" s="25">
        <v>0</v>
      </c>
      <c r="H30" s="25">
        <v>60</v>
      </c>
      <c r="I30" s="25">
        <f t="shared" si="1"/>
        <v>16634</v>
      </c>
      <c r="J30" s="25">
        <f t="shared" si="0"/>
        <v>4424.6674999999996</v>
      </c>
      <c r="K30" s="25">
        <f t="shared" si="0"/>
        <v>0</v>
      </c>
      <c r="L30" s="25">
        <f t="shared" si="0"/>
        <v>588.96749999999997</v>
      </c>
      <c r="M30" s="25">
        <f t="shared" si="0"/>
        <v>0</v>
      </c>
      <c r="N30" s="25">
        <f t="shared" si="0"/>
        <v>18.149999999999999</v>
      </c>
      <c r="O30" s="33">
        <f t="shared" si="0"/>
        <v>5031.7849999999999</v>
      </c>
    </row>
    <row r="31" spans="2:15" ht="13.5" customHeight="1">
      <c r="C31" s="32" t="s">
        <v>58</v>
      </c>
      <c r="D31" s="25">
        <v>0</v>
      </c>
      <c r="E31" s="25">
        <v>644</v>
      </c>
      <c r="F31" s="25">
        <v>0</v>
      </c>
      <c r="G31" s="25">
        <v>486</v>
      </c>
      <c r="H31" s="25">
        <v>0</v>
      </c>
      <c r="I31" s="25">
        <f t="shared" si="1"/>
        <v>1130</v>
      </c>
      <c r="J31" s="25">
        <f t="shared" si="0"/>
        <v>0</v>
      </c>
      <c r="K31" s="25">
        <f t="shared" si="0"/>
        <v>194.81</v>
      </c>
      <c r="L31" s="25">
        <f t="shared" si="0"/>
        <v>0</v>
      </c>
      <c r="M31" s="25">
        <f t="shared" si="0"/>
        <v>147.01499999999999</v>
      </c>
      <c r="N31" s="25">
        <f t="shared" si="0"/>
        <v>0</v>
      </c>
      <c r="O31" s="33">
        <f t="shared" si="0"/>
        <v>341.82499999999999</v>
      </c>
    </row>
    <row r="32" spans="2:15" ht="13.5" customHeight="1">
      <c r="C32" s="34" t="s">
        <v>59</v>
      </c>
      <c r="D32" s="28">
        <f>SUM(D27:D31)</f>
        <v>28101</v>
      </c>
      <c r="E32" s="28">
        <f t="shared" ref="E32:I32" si="2">SUM(E27:E31)</f>
        <v>1791</v>
      </c>
      <c r="F32" s="28">
        <f t="shared" si="2"/>
        <v>3778</v>
      </c>
      <c r="G32" s="28">
        <f t="shared" si="2"/>
        <v>486</v>
      </c>
      <c r="H32" s="28">
        <f t="shared" si="2"/>
        <v>60</v>
      </c>
      <c r="I32" s="28">
        <f t="shared" si="2"/>
        <v>34216</v>
      </c>
      <c r="J32" s="22">
        <f t="shared" si="0"/>
        <v>8500.5524999999998</v>
      </c>
      <c r="K32" s="22">
        <f t="shared" si="0"/>
        <v>541.77750000000003</v>
      </c>
      <c r="L32" s="22">
        <f t="shared" si="0"/>
        <v>1142.845</v>
      </c>
      <c r="M32" s="22">
        <f t="shared" si="0"/>
        <v>147.01499999999999</v>
      </c>
      <c r="N32" s="22">
        <f t="shared" si="0"/>
        <v>18.149999999999999</v>
      </c>
      <c r="O32" s="35">
        <f t="shared" si="0"/>
        <v>10350.34</v>
      </c>
    </row>
    <row r="33" spans="2:14" ht="13.5" customHeight="1">
      <c r="B33" s="2" t="s">
        <v>68</v>
      </c>
    </row>
    <row r="34" spans="2:14" ht="13.5" customHeight="1">
      <c r="C34" s="122" t="s">
        <v>54</v>
      </c>
      <c r="D34" s="123"/>
      <c r="E34" s="126" t="s">
        <v>69</v>
      </c>
      <c r="F34" s="126" t="s">
        <v>72</v>
      </c>
      <c r="G34" s="119" t="s">
        <v>73</v>
      </c>
      <c r="H34" s="121"/>
      <c r="I34" s="23"/>
      <c r="J34" s="119" t="s">
        <v>77</v>
      </c>
      <c r="K34" s="121"/>
      <c r="L34" s="119" t="s">
        <v>79</v>
      </c>
      <c r="M34" s="121"/>
      <c r="N34" s="38" t="s">
        <v>80</v>
      </c>
    </row>
    <row r="35" spans="2:14" ht="13.5" customHeight="1">
      <c r="C35" s="124"/>
      <c r="D35" s="125"/>
      <c r="E35" s="127"/>
      <c r="F35" s="127"/>
      <c r="G35" s="26" t="s">
        <v>74</v>
      </c>
      <c r="H35" s="26" t="s">
        <v>75</v>
      </c>
      <c r="I35" s="26" t="s">
        <v>76</v>
      </c>
      <c r="J35" s="26" t="s">
        <v>78</v>
      </c>
      <c r="K35" s="26" t="s">
        <v>59</v>
      </c>
      <c r="L35" s="26" t="s">
        <v>78</v>
      </c>
      <c r="M35" s="26" t="s">
        <v>59</v>
      </c>
      <c r="N35" s="27" t="s">
        <v>81</v>
      </c>
    </row>
    <row r="36" spans="2:14" ht="13.5" customHeight="1">
      <c r="C36" s="36" t="str">
        <f>C27</f>
        <v>지상3층</v>
      </c>
      <c r="D36" s="22" t="s">
        <v>61</v>
      </c>
      <c r="E36" s="22" t="s">
        <v>70</v>
      </c>
      <c r="F36" s="22">
        <v>1687</v>
      </c>
      <c r="G36" s="37">
        <v>45170</v>
      </c>
      <c r="H36" s="37">
        <v>46265</v>
      </c>
      <c r="I36" s="22">
        <v>242.928</v>
      </c>
      <c r="J36" s="22">
        <v>24000</v>
      </c>
      <c r="K36" s="22">
        <f>F36*J36/unit</f>
        <v>40.488</v>
      </c>
      <c r="L36" s="22">
        <v>2000</v>
      </c>
      <c r="M36" s="22">
        <f>F36*L36/unit</f>
        <v>3.3740000000000001</v>
      </c>
      <c r="N36" s="35">
        <v>1</v>
      </c>
    </row>
    <row r="37" spans="2:14" ht="13.5" customHeight="1">
      <c r="C37" s="36" t="str">
        <f t="shared" ref="C37:C41" si="3">C28</f>
        <v>지상2층</v>
      </c>
      <c r="D37" s="22" t="s">
        <v>63</v>
      </c>
      <c r="E37" s="22" t="s">
        <v>70</v>
      </c>
      <c r="F37" s="22">
        <v>562</v>
      </c>
      <c r="G37" s="37">
        <v>45170</v>
      </c>
      <c r="H37" s="37">
        <v>46265</v>
      </c>
      <c r="I37" s="22">
        <v>40.463999999999999</v>
      </c>
      <c r="J37" s="22">
        <v>12000</v>
      </c>
      <c r="K37" s="22">
        <f>F37*J37/unit</f>
        <v>6.7439999999999998</v>
      </c>
      <c r="L37" s="22">
        <v>0</v>
      </c>
      <c r="M37" s="22">
        <f>F37*L37/unit</f>
        <v>0</v>
      </c>
      <c r="N37" s="35">
        <v>0</v>
      </c>
    </row>
    <row r="38" spans="2:14" ht="13.5" customHeight="1">
      <c r="C38" s="36" t="str">
        <f t="shared" si="3"/>
        <v>지상1층</v>
      </c>
      <c r="D38" s="22" t="s">
        <v>61</v>
      </c>
      <c r="E38" s="22" t="s">
        <v>70</v>
      </c>
      <c r="F38" s="22">
        <v>2807</v>
      </c>
      <c r="G38" s="37">
        <v>45170</v>
      </c>
      <c r="H38" s="37">
        <v>46265</v>
      </c>
      <c r="I38" s="22">
        <v>404.20800000000003</v>
      </c>
      <c r="J38" s="22">
        <v>24000</v>
      </c>
      <c r="K38" s="22">
        <f>F38*J38/unit</f>
        <v>67.367999999999995</v>
      </c>
      <c r="L38" s="22">
        <v>2000</v>
      </c>
      <c r="M38" s="22">
        <f>F38*L38/unit</f>
        <v>5.6139999999999999</v>
      </c>
      <c r="N38" s="35">
        <v>1</v>
      </c>
    </row>
    <row r="39" spans="2:14" ht="13.5" customHeight="1">
      <c r="C39" s="36" t="str">
        <f t="shared" si="3"/>
        <v>지하1층</v>
      </c>
      <c r="D39" s="22" t="s">
        <v>63</v>
      </c>
      <c r="E39" s="22" t="s">
        <v>71</v>
      </c>
      <c r="F39" s="22">
        <v>599</v>
      </c>
      <c r="G39" s="37">
        <v>44774</v>
      </c>
      <c r="H39" s="37">
        <v>46265</v>
      </c>
      <c r="I39" s="22">
        <v>89.85</v>
      </c>
      <c r="J39" s="22">
        <v>24000</v>
      </c>
      <c r="K39" s="22">
        <f>F39*J39/unit</f>
        <v>14.375999999999999</v>
      </c>
      <c r="L39" s="22">
        <v>2000</v>
      </c>
      <c r="M39" s="22">
        <f>F39*L39/unit</f>
        <v>1.198</v>
      </c>
      <c r="N39" s="35">
        <v>1</v>
      </c>
    </row>
    <row r="40" spans="2:14" ht="13.5" customHeight="1">
      <c r="C40" s="36" t="str">
        <f t="shared" si="3"/>
        <v>지하2층</v>
      </c>
      <c r="D40" s="22" t="s">
        <v>61</v>
      </c>
      <c r="E40" s="22" t="s">
        <v>71</v>
      </c>
      <c r="F40" s="22">
        <v>4695</v>
      </c>
      <c r="G40" s="37">
        <v>44774</v>
      </c>
      <c r="H40" s="37">
        <v>46265</v>
      </c>
      <c r="I40" s="22">
        <v>704.25</v>
      </c>
      <c r="J40" s="22">
        <v>24000</v>
      </c>
      <c r="K40" s="22">
        <f>F40*J40/unit</f>
        <v>112.68</v>
      </c>
      <c r="L40" s="22">
        <v>2000</v>
      </c>
      <c r="M40" s="22">
        <f>F40*L40/unit</f>
        <v>9.39</v>
      </c>
      <c r="N40" s="35">
        <v>1</v>
      </c>
    </row>
    <row r="41" spans="2:14" ht="13.5" customHeight="1">
      <c r="C41" s="36" t="str">
        <f t="shared" si="3"/>
        <v>합계</v>
      </c>
      <c r="D41" s="22"/>
      <c r="E41" s="22"/>
      <c r="F41" s="22">
        <f>SUM(F36:F40)</f>
        <v>10350</v>
      </c>
      <c r="G41" s="37"/>
      <c r="H41" s="37"/>
      <c r="I41" s="22">
        <f>SUM(I36:I40)</f>
        <v>1481.7</v>
      </c>
      <c r="J41" s="22"/>
      <c r="K41" s="22">
        <f>SUM(K36:K40)</f>
        <v>241.65600000000001</v>
      </c>
      <c r="L41" s="22"/>
      <c r="M41" s="22">
        <f>SUM(M36:M40)</f>
        <v>19.576000000000001</v>
      </c>
      <c r="N41" s="35"/>
    </row>
  </sheetData>
  <mergeCells count="8">
    <mergeCell ref="D25:I25"/>
    <mergeCell ref="J25:O25"/>
    <mergeCell ref="C34:D35"/>
    <mergeCell ref="E34:E35"/>
    <mergeCell ref="F34:F35"/>
    <mergeCell ref="G34:H34"/>
    <mergeCell ref="J34:K34"/>
    <mergeCell ref="L34:M34"/>
  </mergeCells>
  <phoneticPr fontId="1" type="noConversion"/>
  <printOptions horizontalCentered="1"/>
  <pageMargins left="0.23622047244094491" right="0.23622047244094491" top="0.74803149606299213" bottom="0.74803149606299213" header="0.31496062992125984" footer="0.31496062992125984"/>
  <pageSetup paperSize="8"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"/>
  <sheetViews>
    <sheetView showGridLines="0" zoomScale="115" zoomScaleNormal="115" workbookViewId="0">
      <selection activeCell="A8" sqref="A8"/>
    </sheetView>
  </sheetViews>
  <sheetFormatPr defaultColWidth="9.1640625" defaultRowHeight="13.5" customHeight="1"/>
  <cols>
    <col min="1" max="1" width="2.5" style="2" customWidth="1"/>
    <col min="2" max="16384" width="9.1640625" style="2"/>
  </cols>
  <sheetData>
    <row r="2" spans="1:31" s="1" customFormat="1" ht="13.5" customHeight="1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>
      <c r="AB3" s="6" t="s">
        <v>3</v>
      </c>
      <c r="AC3" s="9" t="s">
        <v>6</v>
      </c>
      <c r="AD3" s="12" t="s">
        <v>9</v>
      </c>
    </row>
    <row r="4" spans="1:31" ht="13.5" customHeight="1">
      <c r="AB4" s="7" t="s">
        <v>4</v>
      </c>
      <c r="AC4" s="10" t="s">
        <v>7</v>
      </c>
      <c r="AD4" s="13" t="s">
        <v>10</v>
      </c>
    </row>
    <row r="5" spans="1:31" ht="13.5" customHeight="1" thickBo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>
      <c r="A6" s="2" t="s">
        <v>1</v>
      </c>
      <c r="AD6" s="14">
        <v>45545</v>
      </c>
    </row>
    <row r="7" spans="1:31" ht="13.5" customHeight="1">
      <c r="A7" s="4" t="s">
        <v>17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2"/>
  <sheetViews>
    <sheetView showGridLines="0" tabSelected="1" topLeftCell="A19" zoomScaleNormal="100" workbookViewId="0">
      <selection activeCell="N47" sqref="N47"/>
    </sheetView>
  </sheetViews>
  <sheetFormatPr defaultColWidth="9.1640625" defaultRowHeight="13.5" customHeight="1"/>
  <cols>
    <col min="1" max="1" width="2.5" style="2" customWidth="1"/>
    <col min="2" max="5" width="9.1640625" style="2"/>
    <col min="6" max="6" width="14.1640625" style="2" customWidth="1"/>
    <col min="7" max="7" width="12.33203125" style="2" customWidth="1"/>
    <col min="8" max="8" width="12.1640625" style="2" customWidth="1"/>
    <col min="9" max="9" width="16" style="2" customWidth="1"/>
    <col min="10" max="10" width="9.1640625" style="2"/>
    <col min="11" max="11" width="14.33203125" style="2" customWidth="1"/>
    <col min="12" max="12" width="15.5" style="2" customWidth="1"/>
    <col min="13" max="16384" width="9.1640625" style="2"/>
  </cols>
  <sheetData>
    <row r="2" spans="1:31" s="1" customFormat="1" ht="13.5" customHeight="1">
      <c r="B2" s="1" t="s">
        <v>0</v>
      </c>
      <c r="AB2" s="5" t="s">
        <v>2</v>
      </c>
      <c r="AC2" s="8" t="s">
        <v>5</v>
      </c>
      <c r="AD2" s="39" t="s">
        <v>8</v>
      </c>
      <c r="AE2" s="2"/>
    </row>
    <row r="3" spans="1:31" ht="13.5" customHeight="1">
      <c r="AB3" s="6" t="s">
        <v>3</v>
      </c>
      <c r="AC3" s="9" t="s">
        <v>6</v>
      </c>
      <c r="AD3" s="12" t="s">
        <v>9</v>
      </c>
    </row>
    <row r="4" spans="1:31" ht="13.5" customHeight="1">
      <c r="AB4" s="7" t="s">
        <v>4</v>
      </c>
      <c r="AC4" s="10" t="s">
        <v>7</v>
      </c>
      <c r="AD4" s="13" t="s">
        <v>10</v>
      </c>
    </row>
    <row r="5" spans="1:31" ht="13.5" customHeight="1" thickBo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>
      <c r="A6" s="2" t="s">
        <v>1</v>
      </c>
      <c r="AD6" s="14">
        <v>45545</v>
      </c>
    </row>
    <row r="7" spans="1:31" ht="13.5" customHeight="1">
      <c r="A7" s="4" t="s">
        <v>12</v>
      </c>
    </row>
    <row r="8" spans="1:31" ht="13.5" customHeight="1">
      <c r="B8" s="39" t="s">
        <v>82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31" ht="13.5" customHeight="1">
      <c r="B9" s="41" t="s">
        <v>54</v>
      </c>
      <c r="C9" s="41"/>
      <c r="D9" s="41"/>
      <c r="E9" s="41" t="s">
        <v>106</v>
      </c>
      <c r="F9" s="41" t="s">
        <v>115</v>
      </c>
      <c r="G9" s="41"/>
      <c r="H9" s="41"/>
      <c r="I9" s="41" t="s">
        <v>116</v>
      </c>
      <c r="J9" s="41" t="s">
        <v>117</v>
      </c>
      <c r="K9" s="41" t="s">
        <v>118</v>
      </c>
      <c r="L9" s="41" t="s">
        <v>119</v>
      </c>
      <c r="M9" s="41" t="s">
        <v>120</v>
      </c>
      <c r="N9" s="41" t="s">
        <v>121</v>
      </c>
    </row>
    <row r="10" spans="1:31" ht="13.5" customHeight="1">
      <c r="B10" s="2" t="s">
        <v>83</v>
      </c>
      <c r="E10" s="5">
        <v>46000</v>
      </c>
      <c r="I10" s="66">
        <f ca="1">E10/$E$33</f>
        <v>0.92035450729009083</v>
      </c>
      <c r="J10" s="47"/>
      <c r="K10" s="67"/>
    </row>
    <row r="11" spans="1:31" ht="13.5" customHeight="1">
      <c r="C11" s="47" t="s">
        <v>84</v>
      </c>
      <c r="D11" s="48"/>
      <c r="E11" s="48">
        <f>'A&amp;R'!H23*G11</f>
        <v>15615.5388</v>
      </c>
      <c r="F11" s="48" t="s">
        <v>107</v>
      </c>
      <c r="G11" s="53">
        <v>2</v>
      </c>
      <c r="H11" s="48" t="s">
        <v>108</v>
      </c>
      <c r="I11" s="63"/>
      <c r="J11" s="70">
        <v>1</v>
      </c>
      <c r="K11" s="71">
        <v>0</v>
      </c>
      <c r="L11" s="48">
        <f>E11*K11*10%</f>
        <v>0</v>
      </c>
      <c r="M11" s="48"/>
      <c r="N11" s="48">
        <f>L11-M11</f>
        <v>0</v>
      </c>
    </row>
    <row r="12" spans="1:31" ht="13.5" customHeight="1">
      <c r="B12" s="49"/>
      <c r="C12" s="45" t="s">
        <v>85</v>
      </c>
      <c r="D12" s="46"/>
      <c r="E12" s="46">
        <f>E10-E11</f>
        <v>30384.461199999998</v>
      </c>
      <c r="F12" s="46" t="s">
        <v>109</v>
      </c>
      <c r="G12" s="54">
        <f>E12/E10</f>
        <v>0.66053176521739121</v>
      </c>
      <c r="H12" s="46"/>
      <c r="I12" s="64"/>
      <c r="J12" s="72">
        <v>1</v>
      </c>
      <c r="K12" s="73">
        <v>1</v>
      </c>
      <c r="L12" s="46">
        <f t="shared" ref="L12:L32" si="0">E12*K12*10%</f>
        <v>3038.4461200000001</v>
      </c>
      <c r="M12" s="46">
        <f>L12</f>
        <v>3038.4461200000001</v>
      </c>
      <c r="N12" s="46">
        <f t="shared" ref="N12:N32" si="1">L12-M12</f>
        <v>0</v>
      </c>
    </row>
    <row r="13" spans="1:31" ht="13.5" customHeight="1">
      <c r="B13" s="2" t="s">
        <v>86</v>
      </c>
      <c r="E13" s="2">
        <f>SUM(E14:E15)</f>
        <v>920</v>
      </c>
      <c r="I13" s="66">
        <f ca="1">E13/$E$33</f>
        <v>1.8407090145801816E-2</v>
      </c>
      <c r="J13" s="74"/>
      <c r="K13" s="75"/>
      <c r="L13" s="2">
        <f t="shared" si="0"/>
        <v>0</v>
      </c>
      <c r="N13" s="2">
        <f t="shared" si="1"/>
        <v>0</v>
      </c>
    </row>
    <row r="14" spans="1:31" ht="13.5" customHeight="1">
      <c r="C14" s="47" t="s">
        <v>87</v>
      </c>
      <c r="D14" s="48"/>
      <c r="E14" s="48">
        <f>E10*G14</f>
        <v>690</v>
      </c>
      <c r="F14" s="48" t="s">
        <v>110</v>
      </c>
      <c r="G14" s="55">
        <v>1.4999999999999999E-2</v>
      </c>
      <c r="H14" s="48"/>
      <c r="I14" s="63"/>
      <c r="J14" s="70">
        <v>1</v>
      </c>
      <c r="K14" s="71">
        <v>1</v>
      </c>
      <c r="L14" s="48">
        <f t="shared" si="0"/>
        <v>69</v>
      </c>
      <c r="M14" s="48">
        <f>L14*$G$12</f>
        <v>45.576691799999992</v>
      </c>
      <c r="N14" s="48">
        <f t="shared" si="1"/>
        <v>23.423308200000008</v>
      </c>
    </row>
    <row r="15" spans="1:31" ht="13.5" customHeight="1">
      <c r="C15" s="43" t="s">
        <v>88</v>
      </c>
      <c r="D15" s="44"/>
      <c r="E15" s="44">
        <f>SUM(E16:E22)</f>
        <v>230</v>
      </c>
      <c r="F15" s="44"/>
      <c r="G15" s="44"/>
      <c r="H15" s="44"/>
      <c r="I15" s="65"/>
      <c r="J15" s="74"/>
      <c r="K15" s="75"/>
      <c r="L15" s="44">
        <f t="shared" si="0"/>
        <v>0</v>
      </c>
      <c r="M15" s="44">
        <f t="shared" ref="M15:M31" si="2">L15*$G$12</f>
        <v>0</v>
      </c>
      <c r="N15" s="44">
        <f t="shared" si="1"/>
        <v>0</v>
      </c>
    </row>
    <row r="16" spans="1:31" ht="13.5" customHeight="1">
      <c r="C16" s="51" t="s">
        <v>89</v>
      </c>
      <c r="D16" s="44"/>
      <c r="E16" s="56">
        <v>40</v>
      </c>
      <c r="F16" s="44" t="s">
        <v>111</v>
      </c>
      <c r="G16" s="44"/>
      <c r="H16" s="44"/>
      <c r="I16" s="65"/>
      <c r="J16" s="76">
        <v>1</v>
      </c>
      <c r="K16" s="77">
        <v>1</v>
      </c>
      <c r="L16" s="44">
        <f t="shared" si="0"/>
        <v>4</v>
      </c>
      <c r="M16" s="44">
        <f t="shared" si="2"/>
        <v>2.6421270608695648</v>
      </c>
      <c r="N16" s="44">
        <f t="shared" si="1"/>
        <v>1.3578729391304352</v>
      </c>
    </row>
    <row r="17" spans="2:14" ht="13.5" customHeight="1">
      <c r="C17" s="51" t="s">
        <v>90</v>
      </c>
      <c r="D17" s="44"/>
      <c r="E17" s="56">
        <v>50</v>
      </c>
      <c r="F17" s="44" t="s">
        <v>111</v>
      </c>
      <c r="G17" s="44"/>
      <c r="H17" s="44"/>
      <c r="I17" s="65"/>
      <c r="J17" s="76">
        <v>1</v>
      </c>
      <c r="K17" s="77">
        <v>1</v>
      </c>
      <c r="L17" s="44">
        <f t="shared" si="0"/>
        <v>5</v>
      </c>
      <c r="M17" s="44">
        <f t="shared" si="2"/>
        <v>3.3026588260869563</v>
      </c>
      <c r="N17" s="44">
        <f t="shared" si="1"/>
        <v>1.6973411739130437</v>
      </c>
    </row>
    <row r="18" spans="2:14" ht="13.5" customHeight="1">
      <c r="C18" s="51" t="s">
        <v>91</v>
      </c>
      <c r="D18" s="44"/>
      <c r="E18" s="56">
        <v>30</v>
      </c>
      <c r="F18" s="44" t="s">
        <v>111</v>
      </c>
      <c r="G18" s="44"/>
      <c r="H18" s="44"/>
      <c r="I18" s="65"/>
      <c r="J18" s="76">
        <v>1</v>
      </c>
      <c r="K18" s="77">
        <v>1</v>
      </c>
      <c r="L18" s="44">
        <f t="shared" si="0"/>
        <v>3</v>
      </c>
      <c r="M18" s="44">
        <f t="shared" si="2"/>
        <v>1.9815952956521736</v>
      </c>
      <c r="N18" s="44">
        <f t="shared" si="1"/>
        <v>1.0184047043478264</v>
      </c>
    </row>
    <row r="19" spans="2:14" ht="13.5" customHeight="1">
      <c r="C19" s="51" t="s">
        <v>92</v>
      </c>
      <c r="D19" s="44"/>
      <c r="E19" s="56">
        <v>40</v>
      </c>
      <c r="F19" s="44" t="s">
        <v>111</v>
      </c>
      <c r="G19" s="44"/>
      <c r="H19" s="44"/>
      <c r="I19" s="65"/>
      <c r="J19" s="76">
        <v>1</v>
      </c>
      <c r="K19" s="77">
        <v>1</v>
      </c>
      <c r="L19" s="44">
        <f t="shared" si="0"/>
        <v>4</v>
      </c>
      <c r="M19" s="44">
        <f t="shared" si="2"/>
        <v>2.6421270608695648</v>
      </c>
      <c r="N19" s="44">
        <f t="shared" si="1"/>
        <v>1.3578729391304352</v>
      </c>
    </row>
    <row r="20" spans="2:14" ht="13.5" customHeight="1">
      <c r="C20" s="51" t="s">
        <v>93</v>
      </c>
      <c r="D20" s="44"/>
      <c r="E20" s="56">
        <v>30</v>
      </c>
      <c r="F20" s="44" t="s">
        <v>111</v>
      </c>
      <c r="G20" s="44"/>
      <c r="H20" s="44"/>
      <c r="I20" s="65"/>
      <c r="J20" s="76">
        <v>1</v>
      </c>
      <c r="K20" s="77">
        <v>1</v>
      </c>
      <c r="L20" s="44">
        <f t="shared" si="0"/>
        <v>3</v>
      </c>
      <c r="M20" s="44">
        <f t="shared" si="2"/>
        <v>1.9815952956521736</v>
      </c>
      <c r="N20" s="44">
        <f t="shared" si="1"/>
        <v>1.0184047043478264</v>
      </c>
    </row>
    <row r="21" spans="2:14" ht="13.5" customHeight="1">
      <c r="C21" s="51" t="s">
        <v>94</v>
      </c>
      <c r="D21" s="44"/>
      <c r="E21" s="56">
        <v>10</v>
      </c>
      <c r="F21" s="44" t="s">
        <v>111</v>
      </c>
      <c r="G21" s="44"/>
      <c r="H21" s="44"/>
      <c r="I21" s="65"/>
      <c r="J21" s="76">
        <v>1</v>
      </c>
      <c r="K21" s="77">
        <v>1</v>
      </c>
      <c r="L21" s="44">
        <f t="shared" si="0"/>
        <v>1</v>
      </c>
      <c r="M21" s="44">
        <f t="shared" si="2"/>
        <v>0.66053176521739121</v>
      </c>
      <c r="N21" s="44">
        <f t="shared" si="1"/>
        <v>0.33946823478260879</v>
      </c>
    </row>
    <row r="22" spans="2:14" ht="13.5" customHeight="1">
      <c r="B22" s="49"/>
      <c r="C22" s="52" t="s">
        <v>95</v>
      </c>
      <c r="D22" s="46"/>
      <c r="E22" s="57">
        <v>30</v>
      </c>
      <c r="F22" s="46"/>
      <c r="G22" s="46"/>
      <c r="H22" s="46"/>
      <c r="I22" s="64"/>
      <c r="J22" s="72">
        <v>1</v>
      </c>
      <c r="K22" s="73">
        <v>1</v>
      </c>
      <c r="L22" s="46">
        <f t="shared" si="0"/>
        <v>3</v>
      </c>
      <c r="M22" s="46">
        <f t="shared" si="2"/>
        <v>1.9815952956521736</v>
      </c>
      <c r="N22" s="46">
        <f t="shared" si="1"/>
        <v>1.0184047043478264</v>
      </c>
    </row>
    <row r="23" spans="2:14" ht="13.5" customHeight="1">
      <c r="B23" s="2" t="s">
        <v>96</v>
      </c>
      <c r="C23" s="42"/>
      <c r="E23" s="2">
        <f ca="1">SUM(E24:E26)</f>
        <v>804.99040292031941</v>
      </c>
      <c r="I23" s="66">
        <f ca="1">E23/$E$33</f>
        <v>1.6106011862021354E-2</v>
      </c>
      <c r="J23" s="74"/>
      <c r="K23" s="75"/>
      <c r="L23" s="2">
        <f t="shared" ca="1" si="0"/>
        <v>0</v>
      </c>
      <c r="M23" s="2">
        <f t="shared" ca="1" si="2"/>
        <v>0</v>
      </c>
      <c r="N23" s="2">
        <f t="shared" ca="1" si="1"/>
        <v>0</v>
      </c>
    </row>
    <row r="24" spans="2:14" ht="13.5" customHeight="1">
      <c r="C24" s="47" t="s">
        <v>97</v>
      </c>
      <c r="D24" s="48"/>
      <c r="E24" s="58">
        <v>30</v>
      </c>
      <c r="F24" s="48" t="s">
        <v>111</v>
      </c>
      <c r="G24" s="48"/>
      <c r="H24" s="48"/>
      <c r="I24" s="63"/>
      <c r="J24" s="70">
        <v>1</v>
      </c>
      <c r="K24" s="71">
        <v>0</v>
      </c>
      <c r="L24" s="48">
        <f t="shared" si="0"/>
        <v>0</v>
      </c>
      <c r="M24" s="48">
        <f t="shared" si="2"/>
        <v>0</v>
      </c>
      <c r="N24" s="48">
        <f t="shared" si="1"/>
        <v>0</v>
      </c>
    </row>
    <row r="25" spans="2:14" ht="13.5" customHeight="1">
      <c r="C25" s="43" t="s">
        <v>98</v>
      </c>
      <c r="D25" s="44"/>
      <c r="E25" s="59">
        <f ca="1">N50</f>
        <v>264.99040720706921</v>
      </c>
      <c r="F25" s="44" t="s">
        <v>112</v>
      </c>
      <c r="G25" s="44"/>
      <c r="H25" s="44"/>
      <c r="I25" s="65"/>
      <c r="J25" s="76">
        <v>1</v>
      </c>
      <c r="K25" s="77">
        <v>0</v>
      </c>
      <c r="L25" s="44">
        <f t="shared" ca="1" si="0"/>
        <v>0</v>
      </c>
      <c r="M25" s="44">
        <f t="shared" ca="1" si="2"/>
        <v>0</v>
      </c>
      <c r="N25" s="44">
        <f t="shared" ca="1" si="1"/>
        <v>0</v>
      </c>
    </row>
    <row r="26" spans="2:14" ht="13.5" customHeight="1">
      <c r="B26" s="49"/>
      <c r="C26" s="52" t="s">
        <v>99</v>
      </c>
      <c r="D26" s="46"/>
      <c r="E26" s="85">
        <f>J45</f>
        <v>510</v>
      </c>
      <c r="F26" s="44" t="s">
        <v>112</v>
      </c>
      <c r="G26" s="46"/>
      <c r="H26" s="46"/>
      <c r="I26" s="64"/>
      <c r="J26" s="72">
        <v>1</v>
      </c>
      <c r="K26" s="73">
        <v>0</v>
      </c>
      <c r="L26" s="46">
        <f t="shared" si="0"/>
        <v>0</v>
      </c>
      <c r="M26" s="46">
        <f t="shared" si="2"/>
        <v>0</v>
      </c>
      <c r="N26" s="46">
        <f t="shared" si="1"/>
        <v>0</v>
      </c>
    </row>
    <row r="27" spans="2:14" ht="13.5" customHeight="1">
      <c r="B27" s="46" t="s">
        <v>100</v>
      </c>
      <c r="C27" s="46"/>
      <c r="D27" s="46"/>
      <c r="E27" s="46">
        <f ca="1">G27*H27</f>
        <v>2195.3495568697708</v>
      </c>
      <c r="F27" s="46" t="s">
        <v>113</v>
      </c>
      <c r="G27" s="46">
        <f ca="1">J33</f>
        <v>47724.990402920317</v>
      </c>
      <c r="H27" s="60">
        <v>4.5999999999999999E-2</v>
      </c>
      <c r="I27" s="54">
        <f ca="1">E27/$E$33</f>
        <v>4.3923909994399934E-2</v>
      </c>
      <c r="J27" s="72">
        <v>0</v>
      </c>
      <c r="K27" s="73">
        <v>0</v>
      </c>
      <c r="L27" s="46">
        <f t="shared" ca="1" si="0"/>
        <v>0</v>
      </c>
      <c r="M27" s="46">
        <f t="shared" ca="1" si="2"/>
        <v>0</v>
      </c>
      <c r="N27" s="46">
        <f t="shared" ca="1" si="1"/>
        <v>0</v>
      </c>
    </row>
    <row r="28" spans="2:14" ht="13.5" customHeight="1">
      <c r="B28" s="2" t="s">
        <v>101</v>
      </c>
      <c r="E28" s="2">
        <f>SUM(E29:E31)</f>
        <v>29</v>
      </c>
      <c r="I28" s="66">
        <f ca="1">E28/$E$33</f>
        <v>5.802234937263616E-4</v>
      </c>
      <c r="J28" s="74"/>
      <c r="K28" s="75"/>
      <c r="L28" s="2">
        <f t="shared" si="0"/>
        <v>0</v>
      </c>
      <c r="M28" s="2">
        <f t="shared" si="2"/>
        <v>0</v>
      </c>
      <c r="N28" s="2">
        <f t="shared" si="1"/>
        <v>0</v>
      </c>
    </row>
    <row r="29" spans="2:14" ht="13.5" customHeight="1">
      <c r="C29" s="47" t="s">
        <v>102</v>
      </c>
      <c r="D29" s="48"/>
      <c r="E29" s="48">
        <f>G29*H29</f>
        <v>20</v>
      </c>
      <c r="F29" s="48" t="s">
        <v>114</v>
      </c>
      <c r="G29" s="58">
        <v>5000</v>
      </c>
      <c r="H29" s="55">
        <v>4.0000000000000001E-3</v>
      </c>
      <c r="I29" s="63"/>
      <c r="J29" s="70">
        <v>0</v>
      </c>
      <c r="K29" s="71">
        <v>0</v>
      </c>
      <c r="L29" s="48">
        <f t="shared" si="0"/>
        <v>0</v>
      </c>
      <c r="M29" s="48">
        <f t="shared" si="2"/>
        <v>0</v>
      </c>
      <c r="N29" s="48">
        <f t="shared" si="1"/>
        <v>0</v>
      </c>
    </row>
    <row r="30" spans="2:14" ht="13.5" customHeight="1">
      <c r="C30" s="43" t="s">
        <v>103</v>
      </c>
      <c r="D30" s="44"/>
      <c r="E30" s="44">
        <f>E29*H30</f>
        <v>4</v>
      </c>
      <c r="F30" s="44" t="s">
        <v>102</v>
      </c>
      <c r="G30" s="44"/>
      <c r="H30" s="62">
        <v>0.2</v>
      </c>
      <c r="I30" s="65"/>
      <c r="J30" s="76">
        <v>0</v>
      </c>
      <c r="K30" s="77">
        <v>0</v>
      </c>
      <c r="L30" s="44">
        <f t="shared" si="0"/>
        <v>0</v>
      </c>
      <c r="M30" s="44">
        <f t="shared" si="2"/>
        <v>0</v>
      </c>
      <c r="N30" s="44">
        <f t="shared" si="1"/>
        <v>0</v>
      </c>
    </row>
    <row r="31" spans="2:14" ht="13.5" customHeight="1">
      <c r="B31" s="49"/>
      <c r="C31" s="52" t="s">
        <v>104</v>
      </c>
      <c r="D31" s="46"/>
      <c r="E31" s="57">
        <v>5</v>
      </c>
      <c r="F31" s="46" t="s">
        <v>111</v>
      </c>
      <c r="G31" s="46"/>
      <c r="H31" s="46"/>
      <c r="I31" s="64"/>
      <c r="J31" s="72">
        <v>0</v>
      </c>
      <c r="K31" s="73">
        <v>1</v>
      </c>
      <c r="L31" s="46">
        <f t="shared" si="0"/>
        <v>0.5</v>
      </c>
      <c r="M31" s="46">
        <f t="shared" si="2"/>
        <v>0.3302658826086956</v>
      </c>
      <c r="N31" s="46">
        <f t="shared" si="1"/>
        <v>0.1697341173913044</v>
      </c>
    </row>
    <row r="32" spans="2:14" ht="13.5" customHeight="1">
      <c r="B32" s="2" t="s">
        <v>105</v>
      </c>
      <c r="E32" s="2">
        <f ca="1">N33</f>
        <v>31.40081171739131</v>
      </c>
      <c r="I32" s="66">
        <f ca="1">E32/$E$33</f>
        <v>6.2825823036236062E-4</v>
      </c>
      <c r="J32" s="68">
        <v>0</v>
      </c>
      <c r="K32" s="69"/>
      <c r="L32" s="2">
        <f t="shared" ca="1" si="0"/>
        <v>0</v>
      </c>
      <c r="N32" s="2">
        <f t="shared" ca="1" si="1"/>
        <v>0</v>
      </c>
    </row>
    <row r="33" spans="2:14" ht="13.5" customHeight="1">
      <c r="B33" s="79" t="s">
        <v>59</v>
      </c>
      <c r="C33" s="79"/>
      <c r="D33" s="79"/>
      <c r="E33" s="79">
        <f ca="1">SUM(E10,E13,E23,E27,E28,E32)</f>
        <v>49980.740771507481</v>
      </c>
      <c r="F33" s="79"/>
      <c r="G33" s="79"/>
      <c r="H33" s="79"/>
      <c r="I33" s="80">
        <f ca="1">E33/$E$33</f>
        <v>1</v>
      </c>
      <c r="J33" s="79">
        <f ca="1">SUMPRODUCT(E10:E32,J10:J32)</f>
        <v>47724.990407207071</v>
      </c>
      <c r="K33" s="79"/>
      <c r="L33" s="79">
        <f ca="1">SUM(L11:L32)</f>
        <v>3130.9461200000001</v>
      </c>
      <c r="M33" s="79">
        <f ca="1">SUM(M11:M32)</f>
        <v>3099.5453082826089</v>
      </c>
      <c r="N33" s="79">
        <f ca="1">SUM(N11:N32)</f>
        <v>31.40081171739131</v>
      </c>
    </row>
    <row r="35" spans="2:14" ht="13.5" customHeight="1">
      <c r="B35" s="39" t="s">
        <v>82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2:14" ht="13.5" customHeight="1">
      <c r="B36" s="4" t="s">
        <v>122</v>
      </c>
    </row>
    <row r="37" spans="2:14" ht="13.5" customHeight="1">
      <c r="B37" s="40" t="s">
        <v>54</v>
      </c>
      <c r="C37" s="40"/>
      <c r="D37" s="40"/>
      <c r="E37" s="84" t="s">
        <v>59</v>
      </c>
      <c r="F37" s="84" t="s">
        <v>134</v>
      </c>
      <c r="G37" s="84"/>
      <c r="H37" s="84"/>
      <c r="I37" s="84"/>
      <c r="J37" s="40"/>
      <c r="K37" s="40"/>
      <c r="L37" s="40"/>
      <c r="M37" s="40"/>
      <c r="N37" s="40"/>
    </row>
    <row r="38" spans="2:14" ht="13.5" customHeight="1">
      <c r="B38" s="2" t="s">
        <v>123</v>
      </c>
      <c r="E38" s="2">
        <f ca="1">E33</f>
        <v>49980.740771507481</v>
      </c>
    </row>
    <row r="39" spans="2:14" ht="13.5" customHeight="1">
      <c r="B39" s="2" t="s">
        <v>124</v>
      </c>
      <c r="E39" s="2">
        <f ca="1">M33</f>
        <v>3099.5453082826089</v>
      </c>
      <c r="F39" s="16">
        <v>45505</v>
      </c>
      <c r="G39" s="2" t="s">
        <v>144</v>
      </c>
    </row>
    <row r="40" spans="2:14" ht="13.5" customHeight="1">
      <c r="B40" s="78" t="s">
        <v>59</v>
      </c>
      <c r="C40" s="79"/>
      <c r="D40" s="79"/>
      <c r="E40" s="79">
        <f ca="1">SUM(E38:E39)</f>
        <v>53080.286079790087</v>
      </c>
      <c r="F40" s="79"/>
      <c r="G40" s="79"/>
      <c r="H40" s="79"/>
      <c r="I40" s="79"/>
      <c r="J40" s="79"/>
      <c r="K40" s="79"/>
      <c r="L40" s="79"/>
      <c r="M40" s="79"/>
      <c r="N40" s="79"/>
    </row>
    <row r="41" spans="2:14" ht="13.5" customHeight="1">
      <c r="B41" s="4" t="s">
        <v>125</v>
      </c>
    </row>
    <row r="42" spans="2:14" ht="13.5" customHeight="1">
      <c r="B42" s="40" t="s">
        <v>126</v>
      </c>
      <c r="C42" s="40"/>
      <c r="D42" s="40"/>
      <c r="E42" s="84" t="s">
        <v>59</v>
      </c>
      <c r="F42" s="84" t="s">
        <v>135</v>
      </c>
      <c r="G42" s="84" t="s">
        <v>136</v>
      </c>
      <c r="H42" s="84" t="s">
        <v>146</v>
      </c>
      <c r="I42" s="84" t="s">
        <v>147</v>
      </c>
      <c r="J42" s="40"/>
      <c r="K42" s="40"/>
      <c r="L42" s="40"/>
      <c r="M42" s="40"/>
      <c r="N42" s="40"/>
    </row>
    <row r="43" spans="2:14" ht="13.5" customHeight="1">
      <c r="C43" s="47" t="s">
        <v>127</v>
      </c>
      <c r="D43" s="48"/>
      <c r="E43" s="58">
        <v>5000</v>
      </c>
      <c r="F43" s="81">
        <f>acq</f>
        <v>45352</v>
      </c>
      <c r="G43" s="48" t="s">
        <v>145</v>
      </c>
      <c r="H43" s="83">
        <f>1-H44</f>
        <v>0.7</v>
      </c>
      <c r="I43" s="55">
        <v>0</v>
      </c>
      <c r="J43" s="48">
        <f>E43*I43</f>
        <v>0</v>
      </c>
      <c r="K43" s="48"/>
      <c r="L43" s="48"/>
      <c r="M43" s="48"/>
      <c r="N43" s="48"/>
    </row>
    <row r="44" spans="2:14" ht="13.5" customHeight="1">
      <c r="C44" s="45" t="s">
        <v>128</v>
      </c>
      <c r="D44" s="46"/>
      <c r="E44" s="57">
        <v>17000</v>
      </c>
      <c r="F44" s="82">
        <f>acq</f>
        <v>45352</v>
      </c>
      <c r="G44" s="60">
        <v>0.06</v>
      </c>
      <c r="H44" s="60">
        <v>0.3</v>
      </c>
      <c r="I44" s="60">
        <v>0.03</v>
      </c>
      <c r="J44" s="86">
        <f>E44*I44</f>
        <v>510</v>
      </c>
      <c r="K44" s="46"/>
      <c r="L44" s="46"/>
      <c r="M44" s="46"/>
      <c r="N44" s="46"/>
    </row>
    <row r="45" spans="2:14" ht="13.5" customHeight="1">
      <c r="C45" s="45" t="s">
        <v>129</v>
      </c>
      <c r="D45" s="46"/>
      <c r="E45" s="46">
        <f>SUM(E43:E44)</f>
        <v>22000</v>
      </c>
      <c r="F45" s="46"/>
      <c r="G45" s="46"/>
      <c r="H45" s="46"/>
      <c r="I45" s="46"/>
      <c r="J45" s="86">
        <f>SUM(J43:J44)</f>
        <v>510</v>
      </c>
      <c r="K45" s="46"/>
      <c r="L45" s="46"/>
      <c r="M45" s="46"/>
      <c r="N45" s="46"/>
    </row>
    <row r="46" spans="2:14" ht="13.5" customHeight="1">
      <c r="B46" s="40" t="s">
        <v>130</v>
      </c>
      <c r="C46" s="40"/>
      <c r="D46" s="40"/>
      <c r="E46" s="84" t="s">
        <v>59</v>
      </c>
      <c r="F46" s="84" t="s">
        <v>137</v>
      </c>
      <c r="G46" s="84" t="s">
        <v>138</v>
      </c>
      <c r="H46" s="84" t="s">
        <v>139</v>
      </c>
      <c r="I46" s="84" t="s">
        <v>140</v>
      </c>
      <c r="J46" s="84" t="s">
        <v>141</v>
      </c>
      <c r="K46" s="84" t="s">
        <v>148</v>
      </c>
      <c r="L46" s="84" t="s">
        <v>142</v>
      </c>
      <c r="M46" s="84" t="s">
        <v>143</v>
      </c>
      <c r="N46" s="40"/>
    </row>
    <row r="47" spans="2:14" ht="13.5" customHeight="1">
      <c r="C47" s="47" t="s">
        <v>131</v>
      </c>
      <c r="D47" s="48"/>
      <c r="E47" s="48">
        <f ca="1">E40-E45-SUM(E48:E49)</f>
        <v>26499.040771507476</v>
      </c>
      <c r="F47" s="81">
        <f>acq</f>
        <v>45352</v>
      </c>
      <c r="G47" s="81">
        <f>exit</f>
        <v>47208</v>
      </c>
      <c r="H47" s="88">
        <f>DATEDIF(F47,G47,"m")</f>
        <v>60</v>
      </c>
      <c r="I47" s="55">
        <v>2.8000000000000001E-2</v>
      </c>
      <c r="J47" s="55">
        <v>0.01</v>
      </c>
      <c r="K47" s="90">
        <v>3</v>
      </c>
      <c r="L47" s="91">
        <f>I47+(J47/(H47/12))</f>
        <v>0.03</v>
      </c>
      <c r="M47" s="92">
        <f ca="1">(E47+E49)/E10</f>
        <v>0.60827697329364083</v>
      </c>
      <c r="N47" s="97">
        <f ca="1">E47*J47</f>
        <v>264.99040771507475</v>
      </c>
    </row>
    <row r="48" spans="2:14" ht="13.5" customHeight="1">
      <c r="C48" s="43" t="s">
        <v>132</v>
      </c>
      <c r="D48" s="44"/>
      <c r="E48" s="44">
        <f ca="1">E39</f>
        <v>3099.5453082826089</v>
      </c>
      <c r="F48" s="87">
        <f>acq</f>
        <v>45352</v>
      </c>
      <c r="G48" s="87">
        <f>F39</f>
        <v>45505</v>
      </c>
      <c r="H48" s="93">
        <f>DATEDIF(F48,G48,"m")</f>
        <v>5</v>
      </c>
      <c r="I48" s="61">
        <v>0.04</v>
      </c>
      <c r="J48" s="61">
        <v>0</v>
      </c>
      <c r="K48" s="94">
        <v>1</v>
      </c>
      <c r="L48" s="95">
        <f>I48+(J48/(H48/12))</f>
        <v>0.04</v>
      </c>
      <c r="M48" s="89"/>
      <c r="N48" s="98">
        <f ca="1">E48*J48</f>
        <v>0</v>
      </c>
    </row>
    <row r="49" spans="2:14" ht="13.5" customHeight="1">
      <c r="C49" s="45" t="s">
        <v>76</v>
      </c>
      <c r="D49" s="46"/>
      <c r="E49" s="46">
        <f>'A&amp;R'!I41</f>
        <v>1481.7</v>
      </c>
      <c r="F49" s="82">
        <f>acq</f>
        <v>45352</v>
      </c>
      <c r="G49" s="82">
        <f>exit</f>
        <v>47208</v>
      </c>
      <c r="H49" s="96" t="s">
        <v>145</v>
      </c>
      <c r="I49" s="96" t="s">
        <v>145</v>
      </c>
      <c r="J49" s="96" t="s">
        <v>145</v>
      </c>
      <c r="K49" s="96" t="s">
        <v>145</v>
      </c>
      <c r="L49" s="46"/>
      <c r="M49" s="46"/>
      <c r="N49" s="46"/>
    </row>
    <row r="50" spans="2:14" ht="13.5" customHeight="1">
      <c r="C50" s="45" t="s">
        <v>129</v>
      </c>
      <c r="D50" s="46"/>
      <c r="E50" s="46">
        <f ca="1">SUM(E47:E49)</f>
        <v>31080.286079790087</v>
      </c>
      <c r="F50" s="46"/>
      <c r="G50" s="46"/>
      <c r="H50" s="46"/>
      <c r="I50" s="46"/>
      <c r="J50" s="46"/>
      <c r="K50" s="46"/>
      <c r="L50" s="46"/>
      <c r="M50" s="46"/>
      <c r="N50" s="97">
        <f ca="1">SUM(N47:N49)</f>
        <v>264.99040771507475</v>
      </c>
    </row>
    <row r="51" spans="2:14" ht="13.5" customHeight="1">
      <c r="B51" s="78" t="s">
        <v>59</v>
      </c>
      <c r="C51" s="79"/>
      <c r="D51" s="79"/>
      <c r="E51" s="79">
        <f ca="1">SUM(E45,E50)</f>
        <v>53080.286079790087</v>
      </c>
      <c r="F51" s="79"/>
      <c r="G51" s="79"/>
      <c r="H51" s="79"/>
      <c r="I51" s="79"/>
      <c r="J51" s="79"/>
      <c r="K51" s="79"/>
      <c r="L51" s="79"/>
      <c r="M51" s="79"/>
      <c r="N51" s="79"/>
    </row>
    <row r="52" spans="2:14" ht="13.5" customHeight="1">
      <c r="B52" s="2" t="s">
        <v>133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39"/>
  <sheetViews>
    <sheetView showGridLines="0" topLeftCell="B1" zoomScaleNormal="100" workbookViewId="0">
      <selection activeCell="W38" sqref="W38"/>
    </sheetView>
  </sheetViews>
  <sheetFormatPr defaultColWidth="9.1640625" defaultRowHeight="13.5" customHeight="1" outlineLevelRow="1"/>
  <cols>
    <col min="1" max="1" width="2.5" style="2" customWidth="1"/>
    <col min="2" max="4" width="9.1640625" style="2"/>
    <col min="5" max="5" width="11.5" style="2" customWidth="1"/>
    <col min="6" max="6" width="13.5" style="2" customWidth="1"/>
    <col min="7" max="7" width="2.33203125" style="2" customWidth="1"/>
    <col min="8" max="8" width="11.33203125" style="2" bestFit="1" customWidth="1"/>
    <col min="9" max="16384" width="9.1640625" style="2"/>
  </cols>
  <sheetData>
    <row r="2" spans="1:78" s="1" customFormat="1" ht="13.5" customHeight="1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78" ht="13.5" customHeight="1">
      <c r="AB3" s="6" t="s">
        <v>3</v>
      </c>
      <c r="AC3" s="9" t="s">
        <v>6</v>
      </c>
      <c r="AD3" s="12" t="s">
        <v>9</v>
      </c>
    </row>
    <row r="4" spans="1:78" ht="13.5" customHeight="1">
      <c r="AB4" s="7" t="s">
        <v>4</v>
      </c>
      <c r="AC4" s="10" t="s">
        <v>7</v>
      </c>
      <c r="AD4" s="13" t="s">
        <v>10</v>
      </c>
    </row>
    <row r="5" spans="1:78" ht="13.5" customHeight="1" thickBo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78" ht="13.5" customHeight="1" thickTop="1">
      <c r="A6" s="2" t="s">
        <v>1</v>
      </c>
      <c r="AD6" s="14">
        <v>45545</v>
      </c>
    </row>
    <row r="7" spans="1:78" ht="13.5" customHeight="1">
      <c r="A7" s="4" t="s">
        <v>13</v>
      </c>
    </row>
    <row r="8" spans="1:78" ht="13.5" customHeight="1" outlineLevel="1">
      <c r="H8" s="99" t="s">
        <v>54</v>
      </c>
      <c r="I8" s="100">
        <v>1</v>
      </c>
      <c r="J8" s="100">
        <v>2</v>
      </c>
      <c r="K8" s="100">
        <v>3</v>
      </c>
      <c r="L8" s="100">
        <v>4</v>
      </c>
      <c r="M8" s="100">
        <v>5</v>
      </c>
      <c r="N8" s="100">
        <v>6</v>
      </c>
      <c r="O8" s="100">
        <v>7</v>
      </c>
      <c r="P8" s="100">
        <v>8</v>
      </c>
      <c r="Q8" s="100">
        <v>9</v>
      </c>
      <c r="R8" s="100">
        <v>10</v>
      </c>
    </row>
    <row r="9" spans="1:78" ht="13.5" customHeight="1" outlineLevel="1">
      <c r="H9" s="99" t="s">
        <v>74</v>
      </c>
      <c r="I9" s="101">
        <f>start</f>
        <v>45412</v>
      </c>
      <c r="J9" s="101">
        <f>EOMONTH(I10,1)</f>
        <v>45596</v>
      </c>
      <c r="K9" s="101">
        <f t="shared" ref="K9:R9" si="0">EOMONTH(J10,1)</f>
        <v>45777</v>
      </c>
      <c r="L9" s="101">
        <f t="shared" si="0"/>
        <v>45961</v>
      </c>
      <c r="M9" s="101">
        <f t="shared" si="0"/>
        <v>46142</v>
      </c>
      <c r="N9" s="101">
        <f t="shared" si="0"/>
        <v>46326</v>
      </c>
      <c r="O9" s="101">
        <f t="shared" si="0"/>
        <v>46507</v>
      </c>
      <c r="P9" s="101">
        <f t="shared" si="0"/>
        <v>46691</v>
      </c>
      <c r="Q9" s="101">
        <f t="shared" si="0"/>
        <v>46873</v>
      </c>
      <c r="R9" s="101">
        <f t="shared" si="0"/>
        <v>47057</v>
      </c>
    </row>
    <row r="10" spans="1:78" ht="13.5" customHeight="1" outlineLevel="1">
      <c r="H10" s="99" t="s">
        <v>75</v>
      </c>
      <c r="I10" s="101">
        <f t="shared" ref="I10:R10" si="1">EOMONTH(I9,period-1)</f>
        <v>45565</v>
      </c>
      <c r="J10" s="101">
        <f t="shared" si="1"/>
        <v>45747</v>
      </c>
      <c r="K10" s="101">
        <f t="shared" si="1"/>
        <v>45930</v>
      </c>
      <c r="L10" s="101">
        <f t="shared" si="1"/>
        <v>46112</v>
      </c>
      <c r="M10" s="101">
        <f t="shared" si="1"/>
        <v>46295</v>
      </c>
      <c r="N10" s="101">
        <f t="shared" si="1"/>
        <v>46477</v>
      </c>
      <c r="O10" s="101">
        <f t="shared" si="1"/>
        <v>46660</v>
      </c>
      <c r="P10" s="101">
        <f t="shared" si="1"/>
        <v>46843</v>
      </c>
      <c r="Q10" s="101">
        <f t="shared" si="1"/>
        <v>47026</v>
      </c>
      <c r="R10" s="101">
        <f t="shared" si="1"/>
        <v>47208</v>
      </c>
    </row>
    <row r="11" spans="1:78" s="102" customFormat="1" ht="13.5" customHeight="1" outlineLevel="1">
      <c r="F11" s="102" t="s">
        <v>152</v>
      </c>
      <c r="H11" s="102">
        <f t="shared" ref="H11:AM11" si="2">(H14&gt;=start)*(H14&lt;=exit)*1</f>
        <v>0</v>
      </c>
      <c r="I11" s="102">
        <f t="shared" si="2"/>
        <v>1</v>
      </c>
      <c r="J11" s="102">
        <f t="shared" si="2"/>
        <v>1</v>
      </c>
      <c r="K11" s="102">
        <f t="shared" si="2"/>
        <v>1</v>
      </c>
      <c r="L11" s="102">
        <f t="shared" si="2"/>
        <v>1</v>
      </c>
      <c r="M11" s="102">
        <f t="shared" si="2"/>
        <v>1</v>
      </c>
      <c r="N11" s="102">
        <f t="shared" si="2"/>
        <v>1</v>
      </c>
      <c r="O11" s="102">
        <f t="shared" si="2"/>
        <v>1</v>
      </c>
      <c r="P11" s="102">
        <f t="shared" si="2"/>
        <v>1</v>
      </c>
      <c r="Q11" s="102">
        <f t="shared" si="2"/>
        <v>1</v>
      </c>
      <c r="R11" s="102">
        <f t="shared" si="2"/>
        <v>1</v>
      </c>
      <c r="S11" s="102">
        <f t="shared" si="2"/>
        <v>1</v>
      </c>
      <c r="T11" s="102">
        <f t="shared" si="2"/>
        <v>1</v>
      </c>
      <c r="U11" s="102">
        <f t="shared" si="2"/>
        <v>1</v>
      </c>
      <c r="V11" s="102">
        <f t="shared" si="2"/>
        <v>1</v>
      </c>
      <c r="W11" s="102">
        <f t="shared" si="2"/>
        <v>1</v>
      </c>
      <c r="X11" s="102">
        <f t="shared" si="2"/>
        <v>1</v>
      </c>
      <c r="Y11" s="102">
        <f t="shared" si="2"/>
        <v>1</v>
      </c>
      <c r="Z11" s="102">
        <f t="shared" si="2"/>
        <v>1</v>
      </c>
      <c r="AA11" s="102">
        <f t="shared" si="2"/>
        <v>1</v>
      </c>
      <c r="AB11" s="102">
        <f t="shared" si="2"/>
        <v>1</v>
      </c>
      <c r="AC11" s="102">
        <f t="shared" si="2"/>
        <v>1</v>
      </c>
      <c r="AD11" s="102">
        <f t="shared" si="2"/>
        <v>1</v>
      </c>
      <c r="AE11" s="102">
        <f t="shared" si="2"/>
        <v>1</v>
      </c>
      <c r="AF11" s="102">
        <f t="shared" si="2"/>
        <v>1</v>
      </c>
      <c r="AG11" s="102">
        <f t="shared" si="2"/>
        <v>1</v>
      </c>
      <c r="AH11" s="102">
        <f t="shared" si="2"/>
        <v>1</v>
      </c>
      <c r="AI11" s="102">
        <f t="shared" si="2"/>
        <v>1</v>
      </c>
      <c r="AJ11" s="102">
        <f t="shared" si="2"/>
        <v>1</v>
      </c>
      <c r="AK11" s="102">
        <f t="shared" si="2"/>
        <v>1</v>
      </c>
      <c r="AL11" s="102">
        <f t="shared" si="2"/>
        <v>1</v>
      </c>
      <c r="AM11" s="102">
        <f t="shared" si="2"/>
        <v>1</v>
      </c>
      <c r="AN11" s="102">
        <f t="shared" ref="AN11:BS11" si="3">(AN14&gt;=start)*(AN14&lt;=exit)*1</f>
        <v>1</v>
      </c>
      <c r="AO11" s="102">
        <f t="shared" si="3"/>
        <v>1</v>
      </c>
      <c r="AP11" s="102">
        <f t="shared" si="3"/>
        <v>1</v>
      </c>
      <c r="AQ11" s="102">
        <f t="shared" si="3"/>
        <v>1</v>
      </c>
      <c r="AR11" s="102">
        <f t="shared" si="3"/>
        <v>1</v>
      </c>
      <c r="AS11" s="102">
        <f t="shared" si="3"/>
        <v>1</v>
      </c>
      <c r="AT11" s="102">
        <f t="shared" si="3"/>
        <v>1</v>
      </c>
      <c r="AU11" s="102">
        <f t="shared" si="3"/>
        <v>1</v>
      </c>
      <c r="AV11" s="102">
        <f t="shared" si="3"/>
        <v>1</v>
      </c>
      <c r="AW11" s="102">
        <f t="shared" si="3"/>
        <v>1</v>
      </c>
      <c r="AX11" s="102">
        <f t="shared" si="3"/>
        <v>1</v>
      </c>
      <c r="AY11" s="102">
        <f t="shared" si="3"/>
        <v>1</v>
      </c>
      <c r="AZ11" s="102">
        <f t="shared" si="3"/>
        <v>1</v>
      </c>
      <c r="BA11" s="102">
        <f t="shared" si="3"/>
        <v>1</v>
      </c>
      <c r="BB11" s="102">
        <f t="shared" si="3"/>
        <v>1</v>
      </c>
      <c r="BC11" s="102">
        <f t="shared" si="3"/>
        <v>1</v>
      </c>
      <c r="BD11" s="102">
        <f t="shared" si="3"/>
        <v>1</v>
      </c>
      <c r="BE11" s="102">
        <f t="shared" si="3"/>
        <v>1</v>
      </c>
      <c r="BF11" s="102">
        <f t="shared" si="3"/>
        <v>1</v>
      </c>
      <c r="BG11" s="102">
        <f t="shared" si="3"/>
        <v>1</v>
      </c>
      <c r="BH11" s="102">
        <f t="shared" si="3"/>
        <v>1</v>
      </c>
      <c r="BI11" s="102">
        <f t="shared" si="3"/>
        <v>1</v>
      </c>
      <c r="BJ11" s="102">
        <f t="shared" si="3"/>
        <v>1</v>
      </c>
      <c r="BK11" s="102">
        <f t="shared" si="3"/>
        <v>1</v>
      </c>
      <c r="BL11" s="102">
        <f t="shared" si="3"/>
        <v>1</v>
      </c>
      <c r="BM11" s="102">
        <f t="shared" si="3"/>
        <v>1</v>
      </c>
      <c r="BN11" s="102">
        <f t="shared" si="3"/>
        <v>1</v>
      </c>
      <c r="BO11" s="102">
        <f t="shared" si="3"/>
        <v>1</v>
      </c>
      <c r="BP11" s="102">
        <f t="shared" si="3"/>
        <v>1</v>
      </c>
      <c r="BQ11" s="102">
        <f t="shared" si="3"/>
        <v>0</v>
      </c>
      <c r="BR11" s="102">
        <f t="shared" si="3"/>
        <v>0</v>
      </c>
      <c r="BS11" s="102">
        <f t="shared" si="3"/>
        <v>0</v>
      </c>
      <c r="BT11" s="102">
        <f t="shared" ref="BT11:BY11" si="4">(BT14&gt;=start)*(BT14&lt;=exit)*1</f>
        <v>0</v>
      </c>
      <c r="BU11" s="102">
        <f t="shared" si="4"/>
        <v>0</v>
      </c>
      <c r="BV11" s="102">
        <f t="shared" si="4"/>
        <v>0</v>
      </c>
      <c r="BW11" s="102">
        <f t="shared" si="4"/>
        <v>0</v>
      </c>
      <c r="BX11" s="102">
        <f t="shared" si="4"/>
        <v>0</v>
      </c>
      <c r="BY11" s="102">
        <f t="shared" si="4"/>
        <v>0</v>
      </c>
    </row>
    <row r="12" spans="1:78" s="102" customFormat="1" ht="13.5" customHeight="1" outlineLevel="1">
      <c r="F12" s="102" t="s">
        <v>153</v>
      </c>
      <c r="H12" s="102">
        <f>SUM($H$11:H11)*H11</f>
        <v>0</v>
      </c>
      <c r="I12" s="102">
        <f>SUM($H$11:I11)*I11</f>
        <v>1</v>
      </c>
      <c r="J12" s="102">
        <f>SUM($H$11:J11)*J11</f>
        <v>2</v>
      </c>
      <c r="K12" s="102">
        <f>SUM($H$11:K11)*K11</f>
        <v>3</v>
      </c>
      <c r="L12" s="102">
        <f>SUM($H$11:L11)*L11</f>
        <v>4</v>
      </c>
      <c r="M12" s="102">
        <f>SUM($H$11:M11)*M11</f>
        <v>5</v>
      </c>
      <c r="N12" s="102">
        <f>SUM($H$11:N11)*N11</f>
        <v>6</v>
      </c>
      <c r="O12" s="102">
        <f>SUM($H$11:O11)*O11</f>
        <v>7</v>
      </c>
      <c r="P12" s="102">
        <f>SUM($H$11:P11)*P11</f>
        <v>8</v>
      </c>
      <c r="Q12" s="102">
        <f>SUM($H$11:Q11)*Q11</f>
        <v>9</v>
      </c>
      <c r="R12" s="102">
        <f>SUM($H$11:R11)*R11</f>
        <v>10</v>
      </c>
      <c r="S12" s="102">
        <f>SUM($H$11:S11)*S11</f>
        <v>11</v>
      </c>
      <c r="T12" s="102">
        <f>SUM($H$11:T11)*T11</f>
        <v>12</v>
      </c>
      <c r="U12" s="102">
        <f>SUM($H$11:U11)*U11</f>
        <v>13</v>
      </c>
      <c r="V12" s="102">
        <f>SUM($H$11:V11)*V11</f>
        <v>14</v>
      </c>
      <c r="W12" s="102">
        <f>SUM($H$11:W11)*W11</f>
        <v>15</v>
      </c>
      <c r="X12" s="102">
        <f>SUM($H$11:X11)*X11</f>
        <v>16</v>
      </c>
      <c r="Y12" s="102">
        <f>SUM($H$11:Y11)*Y11</f>
        <v>17</v>
      </c>
      <c r="Z12" s="102">
        <f>SUM($H$11:Z11)*Z11</f>
        <v>18</v>
      </c>
      <c r="AA12" s="102">
        <f>SUM($H$11:AA11)*AA11</f>
        <v>19</v>
      </c>
      <c r="AB12" s="102">
        <f>SUM($H$11:AB11)*AB11</f>
        <v>20</v>
      </c>
      <c r="AC12" s="102">
        <f>SUM($H$11:AC11)*AC11</f>
        <v>21</v>
      </c>
      <c r="AD12" s="102">
        <f>SUM($H$11:AD11)*AD11</f>
        <v>22</v>
      </c>
      <c r="AE12" s="102">
        <f>SUM($H$11:AE11)*AE11</f>
        <v>23</v>
      </c>
      <c r="AF12" s="102">
        <f>SUM($H$11:AF11)*AF11</f>
        <v>24</v>
      </c>
      <c r="AG12" s="102">
        <f>SUM($H$11:AG11)*AG11</f>
        <v>25</v>
      </c>
      <c r="AH12" s="102">
        <f>SUM($H$11:AH11)*AH11</f>
        <v>26</v>
      </c>
      <c r="AI12" s="102">
        <f>SUM($H$11:AI11)*AI11</f>
        <v>27</v>
      </c>
      <c r="AJ12" s="102">
        <f>SUM($H$11:AJ11)*AJ11</f>
        <v>28</v>
      </c>
      <c r="AK12" s="102">
        <f>SUM($H$11:AK11)*AK11</f>
        <v>29</v>
      </c>
      <c r="AL12" s="102">
        <f>SUM($H$11:AL11)*AL11</f>
        <v>30</v>
      </c>
      <c r="AM12" s="102">
        <f>SUM($H$11:AM11)*AM11</f>
        <v>31</v>
      </c>
      <c r="AN12" s="102">
        <f>SUM($H$11:AN11)*AN11</f>
        <v>32</v>
      </c>
      <c r="AO12" s="102">
        <f>SUM($H$11:AO11)*AO11</f>
        <v>33</v>
      </c>
      <c r="AP12" s="102">
        <f>SUM($H$11:AP11)*AP11</f>
        <v>34</v>
      </c>
      <c r="AQ12" s="102">
        <f>SUM($H$11:AQ11)*AQ11</f>
        <v>35</v>
      </c>
      <c r="AR12" s="102">
        <f>SUM($H$11:AR11)*AR11</f>
        <v>36</v>
      </c>
      <c r="AS12" s="102">
        <f>SUM($H$11:AS11)*AS11</f>
        <v>37</v>
      </c>
      <c r="AT12" s="102">
        <f>SUM($H$11:AT11)*AT11</f>
        <v>38</v>
      </c>
      <c r="AU12" s="102">
        <f>SUM($H$11:AU11)*AU11</f>
        <v>39</v>
      </c>
      <c r="AV12" s="102">
        <f>SUM($H$11:AV11)*AV11</f>
        <v>40</v>
      </c>
      <c r="AW12" s="102">
        <f>SUM($H$11:AW11)*AW11</f>
        <v>41</v>
      </c>
      <c r="AX12" s="102">
        <f>SUM($H$11:AX11)*AX11</f>
        <v>42</v>
      </c>
      <c r="AY12" s="102">
        <f>SUM($H$11:AY11)*AY11</f>
        <v>43</v>
      </c>
      <c r="AZ12" s="102">
        <f>SUM($H$11:AZ11)*AZ11</f>
        <v>44</v>
      </c>
      <c r="BA12" s="102">
        <f>SUM($H$11:BA11)*BA11</f>
        <v>45</v>
      </c>
      <c r="BB12" s="102">
        <f>SUM($H$11:BB11)*BB11</f>
        <v>46</v>
      </c>
      <c r="BC12" s="102">
        <f>SUM($H$11:BC11)*BC11</f>
        <v>47</v>
      </c>
      <c r="BD12" s="102">
        <f>SUM($H$11:BD11)*BD11</f>
        <v>48</v>
      </c>
      <c r="BE12" s="102">
        <f>SUM($H$11:BE11)*BE11</f>
        <v>49</v>
      </c>
      <c r="BF12" s="102">
        <f>SUM($H$11:BF11)*BF11</f>
        <v>50</v>
      </c>
      <c r="BG12" s="102">
        <f>SUM($H$11:BG11)*BG11</f>
        <v>51</v>
      </c>
      <c r="BH12" s="102">
        <f>SUM($H$11:BH11)*BH11</f>
        <v>52</v>
      </c>
      <c r="BI12" s="102">
        <f>SUM($H$11:BI11)*BI11</f>
        <v>53</v>
      </c>
      <c r="BJ12" s="102">
        <f>SUM($H$11:BJ11)*BJ11</f>
        <v>54</v>
      </c>
      <c r="BK12" s="102">
        <f>SUM($H$11:BK11)*BK11</f>
        <v>55</v>
      </c>
      <c r="BL12" s="102">
        <f>SUM($H$11:BL11)*BL11</f>
        <v>56</v>
      </c>
      <c r="BM12" s="102">
        <f>SUM($H$11:BM11)*BM11</f>
        <v>57</v>
      </c>
      <c r="BN12" s="102">
        <f>SUM($H$11:BN11)*BN11</f>
        <v>58</v>
      </c>
      <c r="BO12" s="102">
        <f>SUM($H$11:BO11)*BO11</f>
        <v>59</v>
      </c>
      <c r="BP12" s="102">
        <f>SUM($H$11:BP11)*BP11</f>
        <v>60</v>
      </c>
      <c r="BQ12" s="102">
        <f>SUM($H$11:BQ11)*BQ11</f>
        <v>0</v>
      </c>
      <c r="BR12" s="102">
        <f>SUM($H$11:BR11)*BR11</f>
        <v>0</v>
      </c>
      <c r="BS12" s="102">
        <f>SUM($H$11:BS11)*BS11</f>
        <v>0</v>
      </c>
      <c r="BT12" s="102">
        <f>SUM($H$11:BT11)*BT11</f>
        <v>0</v>
      </c>
      <c r="BU12" s="102">
        <f>SUM($H$11:BU11)*BU11</f>
        <v>0</v>
      </c>
      <c r="BV12" s="102">
        <f>SUM($H$11:BV11)*BV11</f>
        <v>0</v>
      </c>
      <c r="BW12" s="102">
        <f>SUM($H$11:BW11)*BW11</f>
        <v>0</v>
      </c>
      <c r="BX12" s="102">
        <f>SUM($H$11:BX11)*BX11</f>
        <v>0</v>
      </c>
      <c r="BY12" s="102">
        <f>SUM($H$11:BY11)*BY11</f>
        <v>0</v>
      </c>
    </row>
    <row r="13" spans="1:78" s="102" customFormat="1" ht="13.5" customHeight="1" outlineLevel="1">
      <c r="F13" s="102" t="s">
        <v>154</v>
      </c>
      <c r="H13" s="102">
        <f>(MOD(H12,12)=1)*1</f>
        <v>0</v>
      </c>
      <c r="I13" s="102">
        <f t="shared" ref="I13:BT13" si="5">(MOD(I12,12)=1)*1</f>
        <v>1</v>
      </c>
      <c r="J13" s="102">
        <f t="shared" si="5"/>
        <v>0</v>
      </c>
      <c r="K13" s="102">
        <f t="shared" si="5"/>
        <v>0</v>
      </c>
      <c r="L13" s="102">
        <f t="shared" si="5"/>
        <v>0</v>
      </c>
      <c r="M13" s="102">
        <f t="shared" si="5"/>
        <v>0</v>
      </c>
      <c r="N13" s="102">
        <f t="shared" si="5"/>
        <v>0</v>
      </c>
      <c r="O13" s="102">
        <f t="shared" si="5"/>
        <v>0</v>
      </c>
      <c r="P13" s="102">
        <f t="shared" si="5"/>
        <v>0</v>
      </c>
      <c r="Q13" s="102">
        <f t="shared" si="5"/>
        <v>0</v>
      </c>
      <c r="R13" s="102">
        <f t="shared" si="5"/>
        <v>0</v>
      </c>
      <c r="S13" s="102">
        <f t="shared" si="5"/>
        <v>0</v>
      </c>
      <c r="T13" s="102">
        <f t="shared" si="5"/>
        <v>0</v>
      </c>
      <c r="U13" s="102">
        <f t="shared" si="5"/>
        <v>1</v>
      </c>
      <c r="V13" s="102">
        <f t="shared" si="5"/>
        <v>0</v>
      </c>
      <c r="W13" s="102">
        <f t="shared" si="5"/>
        <v>0</v>
      </c>
      <c r="X13" s="102">
        <f t="shared" si="5"/>
        <v>0</v>
      </c>
      <c r="Y13" s="102">
        <f t="shared" si="5"/>
        <v>0</v>
      </c>
      <c r="Z13" s="102">
        <f t="shared" si="5"/>
        <v>0</v>
      </c>
      <c r="AA13" s="102">
        <f t="shared" si="5"/>
        <v>0</v>
      </c>
      <c r="AB13" s="102">
        <f t="shared" si="5"/>
        <v>0</v>
      </c>
      <c r="AC13" s="102">
        <f t="shared" si="5"/>
        <v>0</v>
      </c>
      <c r="AD13" s="102">
        <f t="shared" si="5"/>
        <v>0</v>
      </c>
      <c r="AE13" s="102">
        <f t="shared" si="5"/>
        <v>0</v>
      </c>
      <c r="AF13" s="102">
        <f t="shared" si="5"/>
        <v>0</v>
      </c>
      <c r="AG13" s="102">
        <f t="shared" si="5"/>
        <v>1</v>
      </c>
      <c r="AH13" s="102">
        <f t="shared" si="5"/>
        <v>0</v>
      </c>
      <c r="AI13" s="102">
        <f t="shared" si="5"/>
        <v>0</v>
      </c>
      <c r="AJ13" s="102">
        <f t="shared" si="5"/>
        <v>0</v>
      </c>
      <c r="AK13" s="102">
        <f t="shared" si="5"/>
        <v>0</v>
      </c>
      <c r="AL13" s="102">
        <f t="shared" si="5"/>
        <v>0</v>
      </c>
      <c r="AM13" s="102">
        <f t="shared" si="5"/>
        <v>0</v>
      </c>
      <c r="AN13" s="102">
        <f t="shared" si="5"/>
        <v>0</v>
      </c>
      <c r="AO13" s="102">
        <f t="shared" si="5"/>
        <v>0</v>
      </c>
      <c r="AP13" s="102">
        <f t="shared" si="5"/>
        <v>0</v>
      </c>
      <c r="AQ13" s="102">
        <f t="shared" si="5"/>
        <v>0</v>
      </c>
      <c r="AR13" s="102">
        <f t="shared" si="5"/>
        <v>0</v>
      </c>
      <c r="AS13" s="102">
        <f t="shared" si="5"/>
        <v>1</v>
      </c>
      <c r="AT13" s="102">
        <f t="shared" si="5"/>
        <v>0</v>
      </c>
      <c r="AU13" s="102">
        <f t="shared" si="5"/>
        <v>0</v>
      </c>
      <c r="AV13" s="102">
        <f t="shared" si="5"/>
        <v>0</v>
      </c>
      <c r="AW13" s="102">
        <f t="shared" si="5"/>
        <v>0</v>
      </c>
      <c r="AX13" s="102">
        <f t="shared" si="5"/>
        <v>0</v>
      </c>
      <c r="AY13" s="102">
        <f t="shared" si="5"/>
        <v>0</v>
      </c>
      <c r="AZ13" s="102">
        <f t="shared" si="5"/>
        <v>0</v>
      </c>
      <c r="BA13" s="102">
        <f t="shared" si="5"/>
        <v>0</v>
      </c>
      <c r="BB13" s="102">
        <f t="shared" si="5"/>
        <v>0</v>
      </c>
      <c r="BC13" s="102">
        <f t="shared" si="5"/>
        <v>0</v>
      </c>
      <c r="BD13" s="102">
        <f t="shared" si="5"/>
        <v>0</v>
      </c>
      <c r="BE13" s="102">
        <f t="shared" si="5"/>
        <v>1</v>
      </c>
      <c r="BF13" s="102">
        <f t="shared" si="5"/>
        <v>0</v>
      </c>
      <c r="BG13" s="102">
        <f t="shared" si="5"/>
        <v>0</v>
      </c>
      <c r="BH13" s="102">
        <f t="shared" si="5"/>
        <v>0</v>
      </c>
      <c r="BI13" s="102">
        <f t="shared" si="5"/>
        <v>0</v>
      </c>
      <c r="BJ13" s="102">
        <f t="shared" si="5"/>
        <v>0</v>
      </c>
      <c r="BK13" s="102">
        <f t="shared" si="5"/>
        <v>0</v>
      </c>
      <c r="BL13" s="102">
        <f t="shared" si="5"/>
        <v>0</v>
      </c>
      <c r="BM13" s="102">
        <f t="shared" si="5"/>
        <v>0</v>
      </c>
      <c r="BN13" s="102">
        <f t="shared" si="5"/>
        <v>0</v>
      </c>
      <c r="BO13" s="102">
        <f t="shared" si="5"/>
        <v>0</v>
      </c>
      <c r="BP13" s="102">
        <f t="shared" si="5"/>
        <v>0</v>
      </c>
      <c r="BQ13" s="102">
        <f t="shared" si="5"/>
        <v>0</v>
      </c>
      <c r="BR13" s="102">
        <f t="shared" si="5"/>
        <v>0</v>
      </c>
      <c r="BS13" s="102">
        <f t="shared" si="5"/>
        <v>0</v>
      </c>
      <c r="BT13" s="102">
        <f t="shared" si="5"/>
        <v>0</v>
      </c>
      <c r="BU13" s="102">
        <f t="shared" ref="BU13:BY13" si="6">(MOD(BU12,12)=1)*1</f>
        <v>0</v>
      </c>
      <c r="BV13" s="102">
        <f t="shared" si="6"/>
        <v>0</v>
      </c>
      <c r="BW13" s="102">
        <f t="shared" si="6"/>
        <v>0</v>
      </c>
      <c r="BX13" s="102">
        <f t="shared" si="6"/>
        <v>0</v>
      </c>
      <c r="BY13" s="102">
        <f t="shared" si="6"/>
        <v>0</v>
      </c>
    </row>
    <row r="14" spans="1:78" ht="13.5" customHeight="1">
      <c r="B14" s="103"/>
      <c r="C14" s="103"/>
      <c r="D14" s="103"/>
      <c r="E14" s="103"/>
      <c r="F14" s="103" t="s">
        <v>149</v>
      </c>
      <c r="G14" s="103"/>
      <c r="H14" s="104">
        <f>acq</f>
        <v>45352</v>
      </c>
      <c r="I14" s="104">
        <f>EOMONTH(H14,1)</f>
        <v>45412</v>
      </c>
      <c r="J14" s="104">
        <f t="shared" ref="J14:BU14" si="7">EOMONTH(I14,1)</f>
        <v>45443</v>
      </c>
      <c r="K14" s="104">
        <f t="shared" si="7"/>
        <v>45473</v>
      </c>
      <c r="L14" s="104">
        <f t="shared" si="7"/>
        <v>45504</v>
      </c>
      <c r="M14" s="104">
        <f t="shared" si="7"/>
        <v>45535</v>
      </c>
      <c r="N14" s="104">
        <f t="shared" si="7"/>
        <v>45565</v>
      </c>
      <c r="O14" s="104">
        <f t="shared" si="7"/>
        <v>45596</v>
      </c>
      <c r="P14" s="104">
        <f t="shared" si="7"/>
        <v>45626</v>
      </c>
      <c r="Q14" s="104">
        <f t="shared" si="7"/>
        <v>45657</v>
      </c>
      <c r="R14" s="104">
        <f t="shared" si="7"/>
        <v>45688</v>
      </c>
      <c r="S14" s="104">
        <f t="shared" si="7"/>
        <v>45716</v>
      </c>
      <c r="T14" s="104">
        <f t="shared" si="7"/>
        <v>45747</v>
      </c>
      <c r="U14" s="104">
        <f t="shared" si="7"/>
        <v>45777</v>
      </c>
      <c r="V14" s="104">
        <f t="shared" si="7"/>
        <v>45808</v>
      </c>
      <c r="W14" s="104">
        <f t="shared" si="7"/>
        <v>45838</v>
      </c>
      <c r="X14" s="104">
        <f t="shared" si="7"/>
        <v>45869</v>
      </c>
      <c r="Y14" s="104">
        <f t="shared" si="7"/>
        <v>45900</v>
      </c>
      <c r="Z14" s="104">
        <f t="shared" si="7"/>
        <v>45930</v>
      </c>
      <c r="AA14" s="104">
        <f t="shared" si="7"/>
        <v>45961</v>
      </c>
      <c r="AB14" s="104">
        <f t="shared" si="7"/>
        <v>45991</v>
      </c>
      <c r="AC14" s="104">
        <f t="shared" si="7"/>
        <v>46022</v>
      </c>
      <c r="AD14" s="104">
        <f t="shared" si="7"/>
        <v>46053</v>
      </c>
      <c r="AE14" s="104">
        <f t="shared" si="7"/>
        <v>46081</v>
      </c>
      <c r="AF14" s="104">
        <f t="shared" si="7"/>
        <v>46112</v>
      </c>
      <c r="AG14" s="104">
        <f t="shared" si="7"/>
        <v>46142</v>
      </c>
      <c r="AH14" s="104">
        <f t="shared" si="7"/>
        <v>46173</v>
      </c>
      <c r="AI14" s="104">
        <f t="shared" si="7"/>
        <v>46203</v>
      </c>
      <c r="AJ14" s="104">
        <f t="shared" si="7"/>
        <v>46234</v>
      </c>
      <c r="AK14" s="104">
        <f t="shared" si="7"/>
        <v>46265</v>
      </c>
      <c r="AL14" s="104">
        <f t="shared" si="7"/>
        <v>46295</v>
      </c>
      <c r="AM14" s="104">
        <f t="shared" si="7"/>
        <v>46326</v>
      </c>
      <c r="AN14" s="104">
        <f t="shared" si="7"/>
        <v>46356</v>
      </c>
      <c r="AO14" s="104">
        <f t="shared" si="7"/>
        <v>46387</v>
      </c>
      <c r="AP14" s="104">
        <f t="shared" si="7"/>
        <v>46418</v>
      </c>
      <c r="AQ14" s="104">
        <f t="shared" si="7"/>
        <v>46446</v>
      </c>
      <c r="AR14" s="104">
        <f t="shared" si="7"/>
        <v>46477</v>
      </c>
      <c r="AS14" s="104">
        <f t="shared" si="7"/>
        <v>46507</v>
      </c>
      <c r="AT14" s="104">
        <f t="shared" si="7"/>
        <v>46538</v>
      </c>
      <c r="AU14" s="104">
        <f t="shared" si="7"/>
        <v>46568</v>
      </c>
      <c r="AV14" s="104">
        <f t="shared" si="7"/>
        <v>46599</v>
      </c>
      <c r="AW14" s="104">
        <f t="shared" si="7"/>
        <v>46630</v>
      </c>
      <c r="AX14" s="104">
        <f t="shared" si="7"/>
        <v>46660</v>
      </c>
      <c r="AY14" s="104">
        <f t="shared" si="7"/>
        <v>46691</v>
      </c>
      <c r="AZ14" s="104">
        <f t="shared" si="7"/>
        <v>46721</v>
      </c>
      <c r="BA14" s="104">
        <f t="shared" si="7"/>
        <v>46752</v>
      </c>
      <c r="BB14" s="104">
        <f t="shared" si="7"/>
        <v>46783</v>
      </c>
      <c r="BC14" s="104">
        <f t="shared" si="7"/>
        <v>46812</v>
      </c>
      <c r="BD14" s="104">
        <f t="shared" si="7"/>
        <v>46843</v>
      </c>
      <c r="BE14" s="104">
        <f t="shared" si="7"/>
        <v>46873</v>
      </c>
      <c r="BF14" s="104">
        <f t="shared" si="7"/>
        <v>46904</v>
      </c>
      <c r="BG14" s="104">
        <f t="shared" si="7"/>
        <v>46934</v>
      </c>
      <c r="BH14" s="104">
        <f t="shared" si="7"/>
        <v>46965</v>
      </c>
      <c r="BI14" s="104">
        <f t="shared" si="7"/>
        <v>46996</v>
      </c>
      <c r="BJ14" s="104">
        <f t="shared" si="7"/>
        <v>47026</v>
      </c>
      <c r="BK14" s="104">
        <f t="shared" si="7"/>
        <v>47057</v>
      </c>
      <c r="BL14" s="104">
        <f t="shared" si="7"/>
        <v>47087</v>
      </c>
      <c r="BM14" s="104">
        <f t="shared" si="7"/>
        <v>47118</v>
      </c>
      <c r="BN14" s="104">
        <f t="shared" si="7"/>
        <v>47149</v>
      </c>
      <c r="BO14" s="104">
        <f t="shared" si="7"/>
        <v>47177</v>
      </c>
      <c r="BP14" s="104">
        <f t="shared" si="7"/>
        <v>47208</v>
      </c>
      <c r="BQ14" s="104">
        <f t="shared" si="7"/>
        <v>47238</v>
      </c>
      <c r="BR14" s="104">
        <f t="shared" si="7"/>
        <v>47269</v>
      </c>
      <c r="BS14" s="104">
        <f t="shared" si="7"/>
        <v>47299</v>
      </c>
      <c r="BT14" s="104">
        <f t="shared" si="7"/>
        <v>47330</v>
      </c>
      <c r="BU14" s="104">
        <f t="shared" si="7"/>
        <v>47361</v>
      </c>
      <c r="BV14" s="104">
        <f t="shared" ref="BV14:BY14" si="8">EOMONTH(BU14,1)</f>
        <v>47391</v>
      </c>
      <c r="BW14" s="104">
        <f t="shared" si="8"/>
        <v>47422</v>
      </c>
      <c r="BX14" s="104">
        <f t="shared" si="8"/>
        <v>47452</v>
      </c>
      <c r="BY14" s="104">
        <f t="shared" si="8"/>
        <v>47483</v>
      </c>
      <c r="BZ14" s="18"/>
    </row>
    <row r="15" spans="1:78" ht="13.5" customHeight="1">
      <c r="B15" s="103"/>
      <c r="C15" s="103"/>
      <c r="D15" s="103"/>
      <c r="E15" s="103"/>
      <c r="F15" s="103" t="s">
        <v>150</v>
      </c>
      <c r="G15" s="103"/>
      <c r="H15" s="105">
        <f>SUMIFS($I$8:$R$8,$I$9:$R$9,"&lt;="&amp;H$14,$I$10:$R$10,"&gt;="&amp;H$14)</f>
        <v>0</v>
      </c>
      <c r="I15" s="105">
        <f t="shared" ref="I15:X15" si="9">SUMIFS($I$8:$R$8,$I$9:$R$9,"&lt;="&amp;I$14,$I$10:$R$10,"&gt;="&amp;I$14)</f>
        <v>1</v>
      </c>
      <c r="J15" s="105">
        <f t="shared" si="9"/>
        <v>1</v>
      </c>
      <c r="K15" s="105">
        <f t="shared" si="9"/>
        <v>1</v>
      </c>
      <c r="L15" s="105">
        <f t="shared" si="9"/>
        <v>1</v>
      </c>
      <c r="M15" s="105">
        <f t="shared" si="9"/>
        <v>1</v>
      </c>
      <c r="N15" s="105">
        <f t="shared" si="9"/>
        <v>1</v>
      </c>
      <c r="O15" s="105">
        <f t="shared" si="9"/>
        <v>2</v>
      </c>
      <c r="P15" s="105">
        <f t="shared" si="9"/>
        <v>2</v>
      </c>
      <c r="Q15" s="105">
        <f t="shared" si="9"/>
        <v>2</v>
      </c>
      <c r="R15" s="105">
        <f t="shared" si="9"/>
        <v>2</v>
      </c>
      <c r="S15" s="105">
        <f t="shared" si="9"/>
        <v>2</v>
      </c>
      <c r="T15" s="105">
        <f t="shared" si="9"/>
        <v>2</v>
      </c>
      <c r="U15" s="105">
        <f t="shared" si="9"/>
        <v>3</v>
      </c>
      <c r="V15" s="105">
        <f t="shared" si="9"/>
        <v>3</v>
      </c>
      <c r="W15" s="105">
        <f t="shared" si="9"/>
        <v>3</v>
      </c>
      <c r="X15" s="105">
        <f t="shared" si="9"/>
        <v>3</v>
      </c>
      <c r="Y15" s="105">
        <f t="shared" ref="Y15:AN15" si="10">SUMIFS($I$8:$R$8,$I$9:$R$9,"&lt;="&amp;Y$14,$I$10:$R$10,"&gt;="&amp;Y$14)</f>
        <v>3</v>
      </c>
      <c r="Z15" s="105">
        <f t="shared" si="10"/>
        <v>3</v>
      </c>
      <c r="AA15" s="105">
        <f t="shared" si="10"/>
        <v>4</v>
      </c>
      <c r="AB15" s="105">
        <f t="shared" si="10"/>
        <v>4</v>
      </c>
      <c r="AC15" s="105">
        <f t="shared" si="10"/>
        <v>4</v>
      </c>
      <c r="AD15" s="105">
        <f t="shared" si="10"/>
        <v>4</v>
      </c>
      <c r="AE15" s="105">
        <f t="shared" si="10"/>
        <v>4</v>
      </c>
      <c r="AF15" s="105">
        <f t="shared" si="10"/>
        <v>4</v>
      </c>
      <c r="AG15" s="105">
        <f t="shared" si="10"/>
        <v>5</v>
      </c>
      <c r="AH15" s="105">
        <f t="shared" si="10"/>
        <v>5</v>
      </c>
      <c r="AI15" s="105">
        <f t="shared" si="10"/>
        <v>5</v>
      </c>
      <c r="AJ15" s="105">
        <f t="shared" si="10"/>
        <v>5</v>
      </c>
      <c r="AK15" s="105">
        <f t="shared" si="10"/>
        <v>5</v>
      </c>
      <c r="AL15" s="105">
        <f t="shared" si="10"/>
        <v>5</v>
      </c>
      <c r="AM15" s="105">
        <f t="shared" si="10"/>
        <v>6</v>
      </c>
      <c r="AN15" s="105">
        <f t="shared" si="10"/>
        <v>6</v>
      </c>
      <c r="AO15" s="105">
        <f t="shared" ref="AO15:BD15" si="11">SUMIFS($I$8:$R$8,$I$9:$R$9,"&lt;="&amp;AO$14,$I$10:$R$10,"&gt;="&amp;AO$14)</f>
        <v>6</v>
      </c>
      <c r="AP15" s="105">
        <f t="shared" si="11"/>
        <v>6</v>
      </c>
      <c r="AQ15" s="105">
        <f t="shared" si="11"/>
        <v>6</v>
      </c>
      <c r="AR15" s="105">
        <f t="shared" si="11"/>
        <v>6</v>
      </c>
      <c r="AS15" s="105">
        <f t="shared" si="11"/>
        <v>7</v>
      </c>
      <c r="AT15" s="105">
        <f t="shared" si="11"/>
        <v>7</v>
      </c>
      <c r="AU15" s="105">
        <f t="shared" si="11"/>
        <v>7</v>
      </c>
      <c r="AV15" s="105">
        <f t="shared" si="11"/>
        <v>7</v>
      </c>
      <c r="AW15" s="105">
        <f t="shared" si="11"/>
        <v>7</v>
      </c>
      <c r="AX15" s="105">
        <f t="shared" si="11"/>
        <v>7</v>
      </c>
      <c r="AY15" s="105">
        <f t="shared" si="11"/>
        <v>8</v>
      </c>
      <c r="AZ15" s="105">
        <f t="shared" si="11"/>
        <v>8</v>
      </c>
      <c r="BA15" s="105">
        <f t="shared" si="11"/>
        <v>8</v>
      </c>
      <c r="BB15" s="105">
        <f t="shared" si="11"/>
        <v>8</v>
      </c>
      <c r="BC15" s="105">
        <f t="shared" si="11"/>
        <v>8</v>
      </c>
      <c r="BD15" s="105">
        <f t="shared" si="11"/>
        <v>8</v>
      </c>
      <c r="BE15" s="105">
        <f t="shared" ref="BE15:BT15" si="12">SUMIFS($I$8:$R$8,$I$9:$R$9,"&lt;="&amp;BE$14,$I$10:$R$10,"&gt;="&amp;BE$14)</f>
        <v>9</v>
      </c>
      <c r="BF15" s="105">
        <f t="shared" si="12"/>
        <v>9</v>
      </c>
      <c r="BG15" s="105">
        <f t="shared" si="12"/>
        <v>9</v>
      </c>
      <c r="BH15" s="105">
        <f t="shared" si="12"/>
        <v>9</v>
      </c>
      <c r="BI15" s="105">
        <f t="shared" si="12"/>
        <v>9</v>
      </c>
      <c r="BJ15" s="105">
        <f t="shared" si="12"/>
        <v>9</v>
      </c>
      <c r="BK15" s="105">
        <f t="shared" si="12"/>
        <v>10</v>
      </c>
      <c r="BL15" s="105">
        <f t="shared" si="12"/>
        <v>10</v>
      </c>
      <c r="BM15" s="105">
        <f t="shared" si="12"/>
        <v>10</v>
      </c>
      <c r="BN15" s="105">
        <f t="shared" si="12"/>
        <v>10</v>
      </c>
      <c r="BO15" s="105">
        <f t="shared" si="12"/>
        <v>10</v>
      </c>
      <c r="BP15" s="105">
        <f t="shared" si="12"/>
        <v>10</v>
      </c>
      <c r="BQ15" s="105">
        <f t="shared" si="12"/>
        <v>0</v>
      </c>
      <c r="BR15" s="105">
        <f t="shared" si="12"/>
        <v>0</v>
      </c>
      <c r="BS15" s="105">
        <f t="shared" si="12"/>
        <v>0</v>
      </c>
      <c r="BT15" s="105">
        <f t="shared" si="12"/>
        <v>0</v>
      </c>
      <c r="BU15" s="105">
        <f t="shared" ref="BU15:BY15" si="13">SUMIFS($I$8:$R$8,$I$9:$R$9,"&lt;="&amp;BU$14,$I$10:$R$10,"&gt;="&amp;BU$14)</f>
        <v>0</v>
      </c>
      <c r="BV15" s="105">
        <f t="shared" si="13"/>
        <v>0</v>
      </c>
      <c r="BW15" s="105">
        <f t="shared" si="13"/>
        <v>0</v>
      </c>
      <c r="BX15" s="105">
        <f t="shared" si="13"/>
        <v>0</v>
      </c>
      <c r="BY15" s="105">
        <f t="shared" si="13"/>
        <v>0</v>
      </c>
    </row>
    <row r="16" spans="1:78" ht="13.5" customHeight="1">
      <c r="B16" s="106"/>
      <c r="C16" s="106"/>
      <c r="D16" s="106"/>
      <c r="E16" s="106"/>
      <c r="F16" s="106" t="s">
        <v>151</v>
      </c>
      <c r="G16" s="106"/>
      <c r="H16" s="107">
        <f>SUM($H$13:H13)*H11</f>
        <v>0</v>
      </c>
      <c r="I16" s="107">
        <f>SUM($H$13:I13)*I11</f>
        <v>1</v>
      </c>
      <c r="J16" s="107">
        <f>SUM($H$13:J13)*J11</f>
        <v>1</v>
      </c>
      <c r="K16" s="107">
        <f>SUM($H$13:K13)*K11</f>
        <v>1</v>
      </c>
      <c r="L16" s="107">
        <f>SUM($H$13:L13)*L11</f>
        <v>1</v>
      </c>
      <c r="M16" s="107">
        <f>SUM($H$13:M13)*M11</f>
        <v>1</v>
      </c>
      <c r="N16" s="107">
        <f>SUM($H$13:N13)*N11</f>
        <v>1</v>
      </c>
      <c r="O16" s="107">
        <f>SUM($H$13:O13)*O11</f>
        <v>1</v>
      </c>
      <c r="P16" s="107">
        <f>SUM($H$13:P13)*P11</f>
        <v>1</v>
      </c>
      <c r="Q16" s="107">
        <f>SUM($H$13:Q13)*Q11</f>
        <v>1</v>
      </c>
      <c r="R16" s="107">
        <f>SUM($H$13:R13)*R11</f>
        <v>1</v>
      </c>
      <c r="S16" s="107">
        <f>SUM($H$13:S13)*S11</f>
        <v>1</v>
      </c>
      <c r="T16" s="107">
        <f>SUM($H$13:T13)*T11</f>
        <v>1</v>
      </c>
      <c r="U16" s="107">
        <f>SUM($H$13:U13)*U11</f>
        <v>2</v>
      </c>
      <c r="V16" s="107">
        <f>SUM($H$13:V13)*V11</f>
        <v>2</v>
      </c>
      <c r="W16" s="107">
        <f>SUM($H$13:W13)*W11</f>
        <v>2</v>
      </c>
      <c r="X16" s="107">
        <f>SUM($H$13:X13)*X11</f>
        <v>2</v>
      </c>
      <c r="Y16" s="107">
        <f>SUM($H$13:Y13)*Y11</f>
        <v>2</v>
      </c>
      <c r="Z16" s="107">
        <f>SUM($H$13:Z13)*Z11</f>
        <v>2</v>
      </c>
      <c r="AA16" s="107">
        <f>SUM($H$13:AA13)*AA11</f>
        <v>2</v>
      </c>
      <c r="AB16" s="107">
        <f>SUM($H$13:AB13)*AB11</f>
        <v>2</v>
      </c>
      <c r="AC16" s="107">
        <f>SUM($H$13:AC13)*AC11</f>
        <v>2</v>
      </c>
      <c r="AD16" s="107">
        <f>SUM($H$13:AD13)*AD11</f>
        <v>2</v>
      </c>
      <c r="AE16" s="107">
        <f>SUM($H$13:AE13)*AE11</f>
        <v>2</v>
      </c>
      <c r="AF16" s="107">
        <f>SUM($H$13:AF13)*AF11</f>
        <v>2</v>
      </c>
      <c r="AG16" s="107">
        <f>SUM($H$13:AG13)*AG11</f>
        <v>3</v>
      </c>
      <c r="AH16" s="107">
        <f>SUM($H$13:AH13)*AH11</f>
        <v>3</v>
      </c>
      <c r="AI16" s="107">
        <f>SUM($H$13:AI13)*AI11</f>
        <v>3</v>
      </c>
      <c r="AJ16" s="107">
        <f>SUM($H$13:AJ13)*AJ11</f>
        <v>3</v>
      </c>
      <c r="AK16" s="107">
        <f>SUM($H$13:AK13)*AK11</f>
        <v>3</v>
      </c>
      <c r="AL16" s="107">
        <f>SUM($H$13:AL13)*AL11</f>
        <v>3</v>
      </c>
      <c r="AM16" s="107">
        <f>SUM($H$13:AM13)*AM11</f>
        <v>3</v>
      </c>
      <c r="AN16" s="107">
        <f>SUM($H$13:AN13)*AN11</f>
        <v>3</v>
      </c>
      <c r="AO16" s="107">
        <f>SUM($H$13:AO13)*AO11</f>
        <v>3</v>
      </c>
      <c r="AP16" s="107">
        <f>SUM($H$13:AP13)*AP11</f>
        <v>3</v>
      </c>
      <c r="AQ16" s="107">
        <f>SUM($H$13:AQ13)*AQ11</f>
        <v>3</v>
      </c>
      <c r="AR16" s="107">
        <f>SUM($H$13:AR13)*AR11</f>
        <v>3</v>
      </c>
      <c r="AS16" s="107">
        <f>SUM($H$13:AS13)*AS11</f>
        <v>4</v>
      </c>
      <c r="AT16" s="107">
        <f>SUM($H$13:AT13)*AT11</f>
        <v>4</v>
      </c>
      <c r="AU16" s="107">
        <f>SUM($H$13:AU13)*AU11</f>
        <v>4</v>
      </c>
      <c r="AV16" s="107">
        <f>SUM($H$13:AV13)*AV11</f>
        <v>4</v>
      </c>
      <c r="AW16" s="107">
        <f>SUM($H$13:AW13)*AW11</f>
        <v>4</v>
      </c>
      <c r="AX16" s="107">
        <f>SUM($H$13:AX13)*AX11</f>
        <v>4</v>
      </c>
      <c r="AY16" s="107">
        <f>SUM($H$13:AY13)*AY11</f>
        <v>4</v>
      </c>
      <c r="AZ16" s="107">
        <f>SUM($H$13:AZ13)*AZ11</f>
        <v>4</v>
      </c>
      <c r="BA16" s="107">
        <f>SUM($H$13:BA13)*BA11</f>
        <v>4</v>
      </c>
      <c r="BB16" s="107">
        <f>SUM($H$13:BB13)*BB11</f>
        <v>4</v>
      </c>
      <c r="BC16" s="107">
        <f>SUM($H$13:BC13)*BC11</f>
        <v>4</v>
      </c>
      <c r="BD16" s="107">
        <f>SUM($H$13:BD13)*BD11</f>
        <v>4</v>
      </c>
      <c r="BE16" s="107">
        <f>SUM($H$13:BE13)*BE11</f>
        <v>5</v>
      </c>
      <c r="BF16" s="107">
        <f>SUM($H$13:BF13)*BF11</f>
        <v>5</v>
      </c>
      <c r="BG16" s="107">
        <f>SUM($H$13:BG13)*BG11</f>
        <v>5</v>
      </c>
      <c r="BH16" s="107">
        <f>SUM($H$13:BH13)*BH11</f>
        <v>5</v>
      </c>
      <c r="BI16" s="107">
        <f>SUM($H$13:BI13)*BI11</f>
        <v>5</v>
      </c>
      <c r="BJ16" s="107">
        <f>SUM($H$13:BJ13)*BJ11</f>
        <v>5</v>
      </c>
      <c r="BK16" s="107">
        <f>SUM($H$13:BK13)*BK11</f>
        <v>5</v>
      </c>
      <c r="BL16" s="107">
        <f>SUM($H$13:BL13)*BL11</f>
        <v>5</v>
      </c>
      <c r="BM16" s="107">
        <f>SUM($H$13:BM13)*BM11</f>
        <v>5</v>
      </c>
      <c r="BN16" s="107">
        <f>SUM($H$13:BN13)*BN11</f>
        <v>5</v>
      </c>
      <c r="BO16" s="107">
        <f>SUM($H$13:BO13)*BO11</f>
        <v>5</v>
      </c>
      <c r="BP16" s="107">
        <f>SUM($H$13:BP13)*BP11</f>
        <v>5</v>
      </c>
      <c r="BQ16" s="107">
        <f>SUM($H$13:BQ13)*BQ11</f>
        <v>0</v>
      </c>
      <c r="BR16" s="107">
        <f>SUM($H$13:BR13)*BR11</f>
        <v>0</v>
      </c>
      <c r="BS16" s="107">
        <f>SUM($H$13:BS13)*BS11</f>
        <v>0</v>
      </c>
      <c r="BT16" s="107">
        <f>SUM($H$13:BT13)*BT11</f>
        <v>0</v>
      </c>
      <c r="BU16" s="107">
        <f>SUM($H$13:BU13)*BU11</f>
        <v>0</v>
      </c>
      <c r="BV16" s="107">
        <f>SUM($H$13:BV13)*BV11</f>
        <v>0</v>
      </c>
      <c r="BW16" s="107">
        <f>SUM($H$13:BW13)*BW11</f>
        <v>0</v>
      </c>
      <c r="BX16" s="107">
        <f>SUM($H$13:BX13)*BX11</f>
        <v>0</v>
      </c>
      <c r="BY16" s="107">
        <f>SUM($H$13:BY13)*BY11</f>
        <v>0</v>
      </c>
    </row>
    <row r="17" spans="2:77" ht="13.5" customHeight="1">
      <c r="B17" s="4" t="str">
        <f>'A&amp;R'!C36</f>
        <v>지상3층</v>
      </c>
    </row>
    <row r="18" spans="2:77" ht="13.5" customHeight="1">
      <c r="C18" s="2" t="s">
        <v>155</v>
      </c>
    </row>
    <row r="19" spans="2:77" s="102" customFormat="1" ht="13.5" customHeight="1">
      <c r="F19" s="102" t="s">
        <v>156</v>
      </c>
      <c r="H19" s="102">
        <f>(H$14&lt;=$F20)*1</f>
        <v>1</v>
      </c>
      <c r="I19" s="102">
        <f t="shared" ref="I19:BT19" si="14">(I$14&lt;=$F20)*1</f>
        <v>1</v>
      </c>
      <c r="J19" s="102">
        <f t="shared" si="14"/>
        <v>1</v>
      </c>
      <c r="K19" s="102">
        <f t="shared" si="14"/>
        <v>1</v>
      </c>
      <c r="L19" s="102">
        <f t="shared" si="14"/>
        <v>1</v>
      </c>
      <c r="M19" s="102">
        <f t="shared" si="14"/>
        <v>1</v>
      </c>
      <c r="N19" s="102">
        <f t="shared" si="14"/>
        <v>1</v>
      </c>
      <c r="O19" s="102">
        <f t="shared" si="14"/>
        <v>1</v>
      </c>
      <c r="P19" s="102">
        <f t="shared" si="14"/>
        <v>1</v>
      </c>
      <c r="Q19" s="102">
        <f t="shared" si="14"/>
        <v>1</v>
      </c>
      <c r="R19" s="102">
        <f t="shared" si="14"/>
        <v>1</v>
      </c>
      <c r="S19" s="102">
        <f t="shared" si="14"/>
        <v>1</v>
      </c>
      <c r="T19" s="102">
        <f t="shared" si="14"/>
        <v>1</v>
      </c>
      <c r="U19" s="102">
        <f t="shared" si="14"/>
        <v>1</v>
      </c>
      <c r="V19" s="102">
        <f t="shared" si="14"/>
        <v>1</v>
      </c>
      <c r="W19" s="102">
        <f t="shared" si="14"/>
        <v>1</v>
      </c>
      <c r="X19" s="102">
        <f t="shared" si="14"/>
        <v>1</v>
      </c>
      <c r="Y19" s="102">
        <f t="shared" si="14"/>
        <v>1</v>
      </c>
      <c r="Z19" s="102">
        <f t="shared" si="14"/>
        <v>1</v>
      </c>
      <c r="AA19" s="102">
        <f t="shared" si="14"/>
        <v>1</v>
      </c>
      <c r="AB19" s="102">
        <f t="shared" si="14"/>
        <v>1</v>
      </c>
      <c r="AC19" s="102">
        <f t="shared" si="14"/>
        <v>1</v>
      </c>
      <c r="AD19" s="102">
        <f t="shared" si="14"/>
        <v>1</v>
      </c>
      <c r="AE19" s="102">
        <f t="shared" si="14"/>
        <v>1</v>
      </c>
      <c r="AF19" s="102">
        <f t="shared" si="14"/>
        <v>1</v>
      </c>
      <c r="AG19" s="102">
        <f t="shared" si="14"/>
        <v>1</v>
      </c>
      <c r="AH19" s="102">
        <f t="shared" si="14"/>
        <v>1</v>
      </c>
      <c r="AI19" s="102">
        <f t="shared" si="14"/>
        <v>1</v>
      </c>
      <c r="AJ19" s="102">
        <f t="shared" si="14"/>
        <v>1</v>
      </c>
      <c r="AK19" s="102">
        <f t="shared" si="14"/>
        <v>1</v>
      </c>
      <c r="AL19" s="102">
        <f t="shared" si="14"/>
        <v>0</v>
      </c>
      <c r="AM19" s="102">
        <f t="shared" si="14"/>
        <v>0</v>
      </c>
      <c r="AN19" s="102">
        <f t="shared" si="14"/>
        <v>0</v>
      </c>
      <c r="AO19" s="102">
        <f t="shared" si="14"/>
        <v>0</v>
      </c>
      <c r="AP19" s="102">
        <f t="shared" si="14"/>
        <v>0</v>
      </c>
      <c r="AQ19" s="102">
        <f t="shared" si="14"/>
        <v>0</v>
      </c>
      <c r="AR19" s="102">
        <f t="shared" si="14"/>
        <v>0</v>
      </c>
      <c r="AS19" s="102">
        <f t="shared" si="14"/>
        <v>0</v>
      </c>
      <c r="AT19" s="102">
        <f t="shared" si="14"/>
        <v>0</v>
      </c>
      <c r="AU19" s="102">
        <f t="shared" si="14"/>
        <v>0</v>
      </c>
      <c r="AV19" s="102">
        <f t="shared" si="14"/>
        <v>0</v>
      </c>
      <c r="AW19" s="102">
        <f t="shared" si="14"/>
        <v>0</v>
      </c>
      <c r="AX19" s="102">
        <f t="shared" si="14"/>
        <v>0</v>
      </c>
      <c r="AY19" s="102">
        <f t="shared" si="14"/>
        <v>0</v>
      </c>
      <c r="AZ19" s="102">
        <f t="shared" si="14"/>
        <v>0</v>
      </c>
      <c r="BA19" s="102">
        <f t="shared" si="14"/>
        <v>0</v>
      </c>
      <c r="BB19" s="102">
        <f t="shared" si="14"/>
        <v>0</v>
      </c>
      <c r="BC19" s="102">
        <f t="shared" si="14"/>
        <v>0</v>
      </c>
      <c r="BD19" s="102">
        <f t="shared" si="14"/>
        <v>0</v>
      </c>
      <c r="BE19" s="102">
        <f t="shared" si="14"/>
        <v>0</v>
      </c>
      <c r="BF19" s="102">
        <f t="shared" si="14"/>
        <v>0</v>
      </c>
      <c r="BG19" s="102">
        <f t="shared" si="14"/>
        <v>0</v>
      </c>
      <c r="BH19" s="102">
        <f t="shared" si="14"/>
        <v>0</v>
      </c>
      <c r="BI19" s="102">
        <f t="shared" si="14"/>
        <v>0</v>
      </c>
      <c r="BJ19" s="102">
        <f t="shared" si="14"/>
        <v>0</v>
      </c>
      <c r="BK19" s="102">
        <f t="shared" si="14"/>
        <v>0</v>
      </c>
      <c r="BL19" s="102">
        <f t="shared" si="14"/>
        <v>0</v>
      </c>
      <c r="BM19" s="102">
        <f t="shared" si="14"/>
        <v>0</v>
      </c>
      <c r="BN19" s="102">
        <f t="shared" si="14"/>
        <v>0</v>
      </c>
      <c r="BO19" s="102">
        <f t="shared" si="14"/>
        <v>0</v>
      </c>
      <c r="BP19" s="102">
        <f t="shared" si="14"/>
        <v>0</v>
      </c>
      <c r="BQ19" s="102">
        <f t="shared" si="14"/>
        <v>0</v>
      </c>
      <c r="BR19" s="102">
        <f t="shared" si="14"/>
        <v>0</v>
      </c>
      <c r="BS19" s="102">
        <f t="shared" si="14"/>
        <v>0</v>
      </c>
      <c r="BT19" s="102">
        <f t="shared" si="14"/>
        <v>0</v>
      </c>
      <c r="BU19" s="102">
        <f t="shared" ref="BU19:BY19" si="15">(BU$14&lt;=$F20)*1</f>
        <v>0</v>
      </c>
      <c r="BV19" s="102">
        <f t="shared" si="15"/>
        <v>0</v>
      </c>
      <c r="BW19" s="102">
        <f t="shared" si="15"/>
        <v>0</v>
      </c>
      <c r="BX19" s="102">
        <f t="shared" si="15"/>
        <v>0</v>
      </c>
      <c r="BY19" s="102">
        <f t="shared" si="15"/>
        <v>0</v>
      </c>
    </row>
    <row r="20" spans="2:77" ht="13.5" customHeight="1">
      <c r="E20" s="108" t="s">
        <v>157</v>
      </c>
      <c r="F20" s="109">
        <f>VLOOKUP($B$17,'A&amp;R'!$C$36:$N$41,6,0)</f>
        <v>46265</v>
      </c>
    </row>
    <row r="21" spans="2:77" ht="13.5" customHeight="1">
      <c r="E21" s="110" t="s">
        <v>158</v>
      </c>
      <c r="F21" s="111">
        <f>VLOOKUP($B$17,'A&amp;R'!$C$36:$N$41,8,0)</f>
        <v>24000</v>
      </c>
    </row>
    <row r="22" spans="2:77" ht="13.5" customHeight="1">
      <c r="E22" s="110" t="s">
        <v>159</v>
      </c>
      <c r="F22" s="112">
        <f>VLOOKUP($B$17,'A&amp;R'!$C$36:$N$41,12,0)</f>
        <v>1</v>
      </c>
    </row>
    <row r="23" spans="2:77" ht="13.5" customHeight="1">
      <c r="E23" s="110" t="s">
        <v>160</v>
      </c>
      <c r="F23" s="113">
        <f>VLOOKUP($B$17,'A&amp;R'!$C$36:$N$41,4,0)</f>
        <v>1687</v>
      </c>
    </row>
    <row r="24" spans="2:77" ht="13.5" customHeight="1">
      <c r="E24" s="110" t="s">
        <v>161</v>
      </c>
      <c r="F24" s="111">
        <f>VLOOKUP($B$17,'A&amp;R'!$C$36:$N$41,10,0)</f>
        <v>2000</v>
      </c>
    </row>
    <row r="25" spans="2:77" ht="13.5" customHeight="1">
      <c r="E25" s="114" t="s">
        <v>76</v>
      </c>
      <c r="F25" s="115">
        <f>VLOOKUP($B$17,'A&amp;R'!$C$36:$N$41,7,0)</f>
        <v>242.928</v>
      </c>
    </row>
    <row r="26" spans="2:77" ht="13.5" customHeight="1">
      <c r="D26" s="2" t="s">
        <v>162</v>
      </c>
    </row>
    <row r="27" spans="2:77" ht="13.5" customHeight="1">
      <c r="E27" s="47" t="s">
        <v>163</v>
      </c>
      <c r="F27" s="48"/>
      <c r="G27" s="48"/>
      <c r="H27" s="48">
        <f>$F21*H19</f>
        <v>24000</v>
      </c>
      <c r="I27" s="48">
        <f t="shared" ref="I27:BT27" si="16">$F21*I19</f>
        <v>24000</v>
      </c>
      <c r="J27" s="48">
        <f t="shared" si="16"/>
        <v>24000</v>
      </c>
      <c r="K27" s="48">
        <f t="shared" si="16"/>
        <v>24000</v>
      </c>
      <c r="L27" s="48">
        <f t="shared" si="16"/>
        <v>24000</v>
      </c>
      <c r="M27" s="48">
        <f t="shared" si="16"/>
        <v>24000</v>
      </c>
      <c r="N27" s="48">
        <f t="shared" si="16"/>
        <v>24000</v>
      </c>
      <c r="O27" s="48">
        <f t="shared" si="16"/>
        <v>24000</v>
      </c>
      <c r="P27" s="48">
        <f t="shared" si="16"/>
        <v>24000</v>
      </c>
      <c r="Q27" s="48">
        <f t="shared" si="16"/>
        <v>24000</v>
      </c>
      <c r="R27" s="48">
        <f t="shared" si="16"/>
        <v>24000</v>
      </c>
      <c r="S27" s="48">
        <f t="shared" si="16"/>
        <v>24000</v>
      </c>
      <c r="T27" s="48">
        <f t="shared" si="16"/>
        <v>24000</v>
      </c>
      <c r="U27" s="48">
        <f t="shared" si="16"/>
        <v>24000</v>
      </c>
      <c r="V27" s="48">
        <f t="shared" si="16"/>
        <v>24000</v>
      </c>
      <c r="W27" s="48">
        <f t="shared" si="16"/>
        <v>24000</v>
      </c>
      <c r="X27" s="48">
        <f t="shared" si="16"/>
        <v>24000</v>
      </c>
      <c r="Y27" s="48">
        <f t="shared" si="16"/>
        <v>24000</v>
      </c>
      <c r="Z27" s="48">
        <f t="shared" si="16"/>
        <v>24000</v>
      </c>
      <c r="AA27" s="48">
        <f t="shared" si="16"/>
        <v>24000</v>
      </c>
      <c r="AB27" s="48">
        <f t="shared" si="16"/>
        <v>24000</v>
      </c>
      <c r="AC27" s="48">
        <f t="shared" si="16"/>
        <v>24000</v>
      </c>
      <c r="AD27" s="48">
        <f t="shared" si="16"/>
        <v>24000</v>
      </c>
      <c r="AE27" s="48">
        <f t="shared" si="16"/>
        <v>24000</v>
      </c>
      <c r="AF27" s="48">
        <f t="shared" si="16"/>
        <v>24000</v>
      </c>
      <c r="AG27" s="48">
        <f t="shared" si="16"/>
        <v>24000</v>
      </c>
      <c r="AH27" s="48">
        <f t="shared" si="16"/>
        <v>24000</v>
      </c>
      <c r="AI27" s="48">
        <f t="shared" si="16"/>
        <v>24000</v>
      </c>
      <c r="AJ27" s="48">
        <f t="shared" si="16"/>
        <v>24000</v>
      </c>
      <c r="AK27" s="48">
        <f t="shared" si="16"/>
        <v>24000</v>
      </c>
      <c r="AL27" s="48">
        <f t="shared" si="16"/>
        <v>0</v>
      </c>
      <c r="AM27" s="48">
        <f t="shared" si="16"/>
        <v>0</v>
      </c>
      <c r="AN27" s="48">
        <f t="shared" si="16"/>
        <v>0</v>
      </c>
      <c r="AO27" s="48">
        <f t="shared" si="16"/>
        <v>0</v>
      </c>
      <c r="AP27" s="48">
        <f t="shared" si="16"/>
        <v>0</v>
      </c>
      <c r="AQ27" s="48">
        <f t="shared" si="16"/>
        <v>0</v>
      </c>
      <c r="AR27" s="48">
        <f t="shared" si="16"/>
        <v>0</v>
      </c>
      <c r="AS27" s="48">
        <f t="shared" si="16"/>
        <v>0</v>
      </c>
      <c r="AT27" s="48">
        <f t="shared" si="16"/>
        <v>0</v>
      </c>
      <c r="AU27" s="48">
        <f t="shared" si="16"/>
        <v>0</v>
      </c>
      <c r="AV27" s="48">
        <f t="shared" si="16"/>
        <v>0</v>
      </c>
      <c r="AW27" s="48">
        <f t="shared" si="16"/>
        <v>0</v>
      </c>
      <c r="AX27" s="48">
        <f t="shared" si="16"/>
        <v>0</v>
      </c>
      <c r="AY27" s="48">
        <f t="shared" si="16"/>
        <v>0</v>
      </c>
      <c r="AZ27" s="48">
        <f t="shared" si="16"/>
        <v>0</v>
      </c>
      <c r="BA27" s="48">
        <f t="shared" si="16"/>
        <v>0</v>
      </c>
      <c r="BB27" s="48">
        <f t="shared" si="16"/>
        <v>0</v>
      </c>
      <c r="BC27" s="48">
        <f t="shared" si="16"/>
        <v>0</v>
      </c>
      <c r="BD27" s="48">
        <f t="shared" si="16"/>
        <v>0</v>
      </c>
      <c r="BE27" s="48">
        <f t="shared" si="16"/>
        <v>0</v>
      </c>
      <c r="BF27" s="48">
        <f t="shared" si="16"/>
        <v>0</v>
      </c>
      <c r="BG27" s="48">
        <f t="shared" si="16"/>
        <v>0</v>
      </c>
      <c r="BH27" s="48">
        <f t="shared" si="16"/>
        <v>0</v>
      </c>
      <c r="BI27" s="48">
        <f t="shared" si="16"/>
        <v>0</v>
      </c>
      <c r="BJ27" s="48">
        <f t="shared" si="16"/>
        <v>0</v>
      </c>
      <c r="BK27" s="48">
        <f t="shared" si="16"/>
        <v>0</v>
      </c>
      <c r="BL27" s="48">
        <f t="shared" si="16"/>
        <v>0</v>
      </c>
      <c r="BM27" s="48">
        <f t="shared" si="16"/>
        <v>0</v>
      </c>
      <c r="BN27" s="48">
        <f t="shared" si="16"/>
        <v>0</v>
      </c>
      <c r="BO27" s="48">
        <f t="shared" si="16"/>
        <v>0</v>
      </c>
      <c r="BP27" s="48">
        <f t="shared" si="16"/>
        <v>0</v>
      </c>
      <c r="BQ27" s="48">
        <f t="shared" si="16"/>
        <v>0</v>
      </c>
      <c r="BR27" s="48">
        <f t="shared" si="16"/>
        <v>0</v>
      </c>
      <c r="BS27" s="48">
        <f t="shared" si="16"/>
        <v>0</v>
      </c>
      <c r="BT27" s="48">
        <f t="shared" si="16"/>
        <v>0</v>
      </c>
      <c r="BU27" s="48">
        <f t="shared" ref="BU27:BY27" si="17">$F21*BU19</f>
        <v>0</v>
      </c>
      <c r="BV27" s="48">
        <f t="shared" si="17"/>
        <v>0</v>
      </c>
      <c r="BW27" s="48">
        <f t="shared" si="17"/>
        <v>0</v>
      </c>
      <c r="BX27" s="48">
        <f t="shared" si="17"/>
        <v>0</v>
      </c>
      <c r="BY27" s="67">
        <f t="shared" si="17"/>
        <v>0</v>
      </c>
    </row>
    <row r="28" spans="2:77" ht="13.5" customHeight="1">
      <c r="E28" s="45" t="s">
        <v>164</v>
      </c>
      <c r="F28" s="46"/>
      <c r="G28" s="46"/>
      <c r="H28" s="46">
        <f>H27*((12-$F22)/12)</f>
        <v>22000</v>
      </c>
      <c r="I28" s="46">
        <f t="shared" ref="I28:BT28" si="18">I27*((12-$F22)/12)</f>
        <v>22000</v>
      </c>
      <c r="J28" s="46">
        <f t="shared" si="18"/>
        <v>22000</v>
      </c>
      <c r="K28" s="46">
        <f t="shared" si="18"/>
        <v>22000</v>
      </c>
      <c r="L28" s="46">
        <f t="shared" si="18"/>
        <v>22000</v>
      </c>
      <c r="M28" s="46">
        <f t="shared" si="18"/>
        <v>22000</v>
      </c>
      <c r="N28" s="46">
        <f t="shared" si="18"/>
        <v>22000</v>
      </c>
      <c r="O28" s="46">
        <f t="shared" si="18"/>
        <v>22000</v>
      </c>
      <c r="P28" s="46">
        <f t="shared" si="18"/>
        <v>22000</v>
      </c>
      <c r="Q28" s="46">
        <f t="shared" si="18"/>
        <v>22000</v>
      </c>
      <c r="R28" s="46">
        <f t="shared" si="18"/>
        <v>22000</v>
      </c>
      <c r="S28" s="46">
        <f t="shared" si="18"/>
        <v>22000</v>
      </c>
      <c r="T28" s="46">
        <f t="shared" si="18"/>
        <v>22000</v>
      </c>
      <c r="U28" s="46">
        <f t="shared" si="18"/>
        <v>22000</v>
      </c>
      <c r="V28" s="46">
        <f t="shared" si="18"/>
        <v>22000</v>
      </c>
      <c r="W28" s="46">
        <f t="shared" si="18"/>
        <v>22000</v>
      </c>
      <c r="X28" s="46">
        <f t="shared" si="18"/>
        <v>22000</v>
      </c>
      <c r="Y28" s="46">
        <f t="shared" si="18"/>
        <v>22000</v>
      </c>
      <c r="Z28" s="46">
        <f t="shared" si="18"/>
        <v>22000</v>
      </c>
      <c r="AA28" s="46">
        <f t="shared" si="18"/>
        <v>22000</v>
      </c>
      <c r="AB28" s="46">
        <f t="shared" si="18"/>
        <v>22000</v>
      </c>
      <c r="AC28" s="46">
        <f t="shared" si="18"/>
        <v>22000</v>
      </c>
      <c r="AD28" s="46">
        <f t="shared" si="18"/>
        <v>22000</v>
      </c>
      <c r="AE28" s="46">
        <f t="shared" si="18"/>
        <v>22000</v>
      </c>
      <c r="AF28" s="46">
        <f t="shared" si="18"/>
        <v>22000</v>
      </c>
      <c r="AG28" s="46">
        <f t="shared" si="18"/>
        <v>22000</v>
      </c>
      <c r="AH28" s="46">
        <f t="shared" si="18"/>
        <v>22000</v>
      </c>
      <c r="AI28" s="46">
        <f t="shared" si="18"/>
        <v>22000</v>
      </c>
      <c r="AJ28" s="46">
        <f t="shared" si="18"/>
        <v>22000</v>
      </c>
      <c r="AK28" s="46">
        <f t="shared" si="18"/>
        <v>22000</v>
      </c>
      <c r="AL28" s="46">
        <f t="shared" si="18"/>
        <v>0</v>
      </c>
      <c r="AM28" s="46">
        <f t="shared" si="18"/>
        <v>0</v>
      </c>
      <c r="AN28" s="46">
        <f t="shared" si="18"/>
        <v>0</v>
      </c>
      <c r="AO28" s="46">
        <f t="shared" si="18"/>
        <v>0</v>
      </c>
      <c r="AP28" s="46">
        <f t="shared" si="18"/>
        <v>0</v>
      </c>
      <c r="AQ28" s="46">
        <f t="shared" si="18"/>
        <v>0</v>
      </c>
      <c r="AR28" s="46">
        <f t="shared" si="18"/>
        <v>0</v>
      </c>
      <c r="AS28" s="46">
        <f t="shared" si="18"/>
        <v>0</v>
      </c>
      <c r="AT28" s="46">
        <f t="shared" si="18"/>
        <v>0</v>
      </c>
      <c r="AU28" s="46">
        <f t="shared" si="18"/>
        <v>0</v>
      </c>
      <c r="AV28" s="46">
        <f t="shared" si="18"/>
        <v>0</v>
      </c>
      <c r="AW28" s="46">
        <f t="shared" si="18"/>
        <v>0</v>
      </c>
      <c r="AX28" s="46">
        <f t="shared" si="18"/>
        <v>0</v>
      </c>
      <c r="AY28" s="46">
        <f t="shared" si="18"/>
        <v>0</v>
      </c>
      <c r="AZ28" s="46">
        <f t="shared" si="18"/>
        <v>0</v>
      </c>
      <c r="BA28" s="46">
        <f t="shared" si="18"/>
        <v>0</v>
      </c>
      <c r="BB28" s="46">
        <f t="shared" si="18"/>
        <v>0</v>
      </c>
      <c r="BC28" s="46">
        <f t="shared" si="18"/>
        <v>0</v>
      </c>
      <c r="BD28" s="46">
        <f t="shared" si="18"/>
        <v>0</v>
      </c>
      <c r="BE28" s="46">
        <f t="shared" si="18"/>
        <v>0</v>
      </c>
      <c r="BF28" s="46">
        <f t="shared" si="18"/>
        <v>0</v>
      </c>
      <c r="BG28" s="46">
        <f t="shared" si="18"/>
        <v>0</v>
      </c>
      <c r="BH28" s="46">
        <f t="shared" si="18"/>
        <v>0</v>
      </c>
      <c r="BI28" s="46">
        <f t="shared" si="18"/>
        <v>0</v>
      </c>
      <c r="BJ28" s="46">
        <f t="shared" si="18"/>
        <v>0</v>
      </c>
      <c r="BK28" s="46">
        <f t="shared" si="18"/>
        <v>0</v>
      </c>
      <c r="BL28" s="46">
        <f t="shared" si="18"/>
        <v>0</v>
      </c>
      <c r="BM28" s="46">
        <f t="shared" si="18"/>
        <v>0</v>
      </c>
      <c r="BN28" s="46">
        <f t="shared" si="18"/>
        <v>0</v>
      </c>
      <c r="BO28" s="46">
        <f t="shared" si="18"/>
        <v>0</v>
      </c>
      <c r="BP28" s="46">
        <f t="shared" si="18"/>
        <v>0</v>
      </c>
      <c r="BQ28" s="46">
        <f t="shared" si="18"/>
        <v>0</v>
      </c>
      <c r="BR28" s="46">
        <f t="shared" si="18"/>
        <v>0</v>
      </c>
      <c r="BS28" s="46">
        <f t="shared" si="18"/>
        <v>0</v>
      </c>
      <c r="BT28" s="46">
        <f t="shared" si="18"/>
        <v>0</v>
      </c>
      <c r="BU28" s="46">
        <f t="shared" ref="BU28:BY28" si="19">BU27*((12-$F22)/12)</f>
        <v>0</v>
      </c>
      <c r="BV28" s="46">
        <f t="shared" si="19"/>
        <v>0</v>
      </c>
      <c r="BW28" s="46">
        <f t="shared" si="19"/>
        <v>0</v>
      </c>
      <c r="BX28" s="46">
        <f t="shared" si="19"/>
        <v>0</v>
      </c>
      <c r="BY28" s="49">
        <f t="shared" si="19"/>
        <v>0</v>
      </c>
    </row>
    <row r="29" spans="2:77" ht="13.5" customHeight="1">
      <c r="D29" s="116" t="s">
        <v>165</v>
      </c>
      <c r="E29" s="116"/>
      <c r="F29" s="116"/>
      <c r="G29" s="116"/>
      <c r="H29" s="116">
        <f t="shared" ref="H29:AM29" si="20">H28*$F23/unit</f>
        <v>37.113999999999997</v>
      </c>
      <c r="I29" s="116">
        <f t="shared" si="20"/>
        <v>37.113999999999997</v>
      </c>
      <c r="J29" s="116">
        <f t="shared" si="20"/>
        <v>37.113999999999997</v>
      </c>
      <c r="K29" s="116">
        <f t="shared" si="20"/>
        <v>37.113999999999997</v>
      </c>
      <c r="L29" s="116">
        <f t="shared" si="20"/>
        <v>37.113999999999997</v>
      </c>
      <c r="M29" s="116">
        <f t="shared" si="20"/>
        <v>37.113999999999997</v>
      </c>
      <c r="N29" s="116">
        <f t="shared" si="20"/>
        <v>37.113999999999997</v>
      </c>
      <c r="O29" s="116">
        <f t="shared" si="20"/>
        <v>37.113999999999997</v>
      </c>
      <c r="P29" s="116">
        <f t="shared" si="20"/>
        <v>37.113999999999997</v>
      </c>
      <c r="Q29" s="116">
        <f t="shared" si="20"/>
        <v>37.113999999999997</v>
      </c>
      <c r="R29" s="116">
        <f t="shared" si="20"/>
        <v>37.113999999999997</v>
      </c>
      <c r="S29" s="116">
        <f t="shared" si="20"/>
        <v>37.113999999999997</v>
      </c>
      <c r="T29" s="116">
        <f t="shared" si="20"/>
        <v>37.113999999999997</v>
      </c>
      <c r="U29" s="116">
        <f t="shared" si="20"/>
        <v>37.113999999999997</v>
      </c>
      <c r="V29" s="116">
        <f t="shared" si="20"/>
        <v>37.113999999999997</v>
      </c>
      <c r="W29" s="116">
        <f t="shared" si="20"/>
        <v>37.113999999999997</v>
      </c>
      <c r="X29" s="116">
        <f t="shared" si="20"/>
        <v>37.113999999999997</v>
      </c>
      <c r="Y29" s="116">
        <f t="shared" si="20"/>
        <v>37.113999999999997</v>
      </c>
      <c r="Z29" s="116">
        <f t="shared" si="20"/>
        <v>37.113999999999997</v>
      </c>
      <c r="AA29" s="116">
        <f t="shared" si="20"/>
        <v>37.113999999999997</v>
      </c>
      <c r="AB29" s="116">
        <f t="shared" si="20"/>
        <v>37.113999999999997</v>
      </c>
      <c r="AC29" s="116">
        <f t="shared" si="20"/>
        <v>37.113999999999997</v>
      </c>
      <c r="AD29" s="116">
        <f t="shared" si="20"/>
        <v>37.113999999999997</v>
      </c>
      <c r="AE29" s="116">
        <f t="shared" si="20"/>
        <v>37.113999999999997</v>
      </c>
      <c r="AF29" s="116">
        <f t="shared" si="20"/>
        <v>37.113999999999997</v>
      </c>
      <c r="AG29" s="116">
        <f t="shared" si="20"/>
        <v>37.113999999999997</v>
      </c>
      <c r="AH29" s="116">
        <f t="shared" si="20"/>
        <v>37.113999999999997</v>
      </c>
      <c r="AI29" s="116">
        <f t="shared" si="20"/>
        <v>37.113999999999997</v>
      </c>
      <c r="AJ29" s="116">
        <f t="shared" si="20"/>
        <v>37.113999999999997</v>
      </c>
      <c r="AK29" s="116">
        <f t="shared" si="20"/>
        <v>37.113999999999997</v>
      </c>
      <c r="AL29" s="116">
        <f t="shared" si="20"/>
        <v>0</v>
      </c>
      <c r="AM29" s="116">
        <f t="shared" si="20"/>
        <v>0</v>
      </c>
      <c r="AN29" s="116">
        <f t="shared" ref="AN29:BS29" si="21">AN28*$F23/unit</f>
        <v>0</v>
      </c>
      <c r="AO29" s="116">
        <f t="shared" si="21"/>
        <v>0</v>
      </c>
      <c r="AP29" s="116">
        <f t="shared" si="21"/>
        <v>0</v>
      </c>
      <c r="AQ29" s="116">
        <f t="shared" si="21"/>
        <v>0</v>
      </c>
      <c r="AR29" s="116">
        <f t="shared" si="21"/>
        <v>0</v>
      </c>
      <c r="AS29" s="116">
        <f t="shared" si="21"/>
        <v>0</v>
      </c>
      <c r="AT29" s="116">
        <f t="shared" si="21"/>
        <v>0</v>
      </c>
      <c r="AU29" s="116">
        <f t="shared" si="21"/>
        <v>0</v>
      </c>
      <c r="AV29" s="116">
        <f t="shared" si="21"/>
        <v>0</v>
      </c>
      <c r="AW29" s="116">
        <f t="shared" si="21"/>
        <v>0</v>
      </c>
      <c r="AX29" s="116">
        <f t="shared" si="21"/>
        <v>0</v>
      </c>
      <c r="AY29" s="116">
        <f t="shared" si="21"/>
        <v>0</v>
      </c>
      <c r="AZ29" s="116">
        <f t="shared" si="21"/>
        <v>0</v>
      </c>
      <c r="BA29" s="116">
        <f t="shared" si="21"/>
        <v>0</v>
      </c>
      <c r="BB29" s="116">
        <f t="shared" si="21"/>
        <v>0</v>
      </c>
      <c r="BC29" s="116">
        <f t="shared" si="21"/>
        <v>0</v>
      </c>
      <c r="BD29" s="116">
        <f t="shared" si="21"/>
        <v>0</v>
      </c>
      <c r="BE29" s="116">
        <f t="shared" si="21"/>
        <v>0</v>
      </c>
      <c r="BF29" s="116">
        <f t="shared" si="21"/>
        <v>0</v>
      </c>
      <c r="BG29" s="116">
        <f t="shared" si="21"/>
        <v>0</v>
      </c>
      <c r="BH29" s="116">
        <f t="shared" si="21"/>
        <v>0</v>
      </c>
      <c r="BI29" s="116">
        <f t="shared" si="21"/>
        <v>0</v>
      </c>
      <c r="BJ29" s="116">
        <f t="shared" si="21"/>
        <v>0</v>
      </c>
      <c r="BK29" s="116">
        <f t="shared" si="21"/>
        <v>0</v>
      </c>
      <c r="BL29" s="116">
        <f t="shared" si="21"/>
        <v>0</v>
      </c>
      <c r="BM29" s="116">
        <f t="shared" si="21"/>
        <v>0</v>
      </c>
      <c r="BN29" s="116">
        <f t="shared" si="21"/>
        <v>0</v>
      </c>
      <c r="BO29" s="116">
        <f t="shared" si="21"/>
        <v>0</v>
      </c>
      <c r="BP29" s="116">
        <f t="shared" si="21"/>
        <v>0</v>
      </c>
      <c r="BQ29" s="116">
        <f t="shared" si="21"/>
        <v>0</v>
      </c>
      <c r="BR29" s="116">
        <f t="shared" si="21"/>
        <v>0</v>
      </c>
      <c r="BS29" s="116">
        <f t="shared" si="21"/>
        <v>0</v>
      </c>
      <c r="BT29" s="116">
        <f t="shared" ref="BT29:CY29" si="22">BT28*$F23/unit</f>
        <v>0</v>
      </c>
      <c r="BU29" s="116">
        <f t="shared" si="22"/>
        <v>0</v>
      </c>
      <c r="BV29" s="116">
        <f t="shared" si="22"/>
        <v>0</v>
      </c>
      <c r="BW29" s="116">
        <f t="shared" si="22"/>
        <v>0</v>
      </c>
      <c r="BX29" s="116">
        <f t="shared" si="22"/>
        <v>0</v>
      </c>
      <c r="BY29" s="116">
        <f t="shared" si="22"/>
        <v>0</v>
      </c>
    </row>
    <row r="31" spans="2:77" ht="13.5" customHeight="1">
      <c r="D31" s="2" t="s">
        <v>166</v>
      </c>
    </row>
    <row r="32" spans="2:77" ht="13.5" customHeight="1">
      <c r="E32" s="117" t="s">
        <v>167</v>
      </c>
      <c r="F32" s="50"/>
      <c r="G32" s="50"/>
      <c r="H32" s="50">
        <f>$F24*H19</f>
        <v>2000</v>
      </c>
      <c r="I32" s="50">
        <f t="shared" ref="I32:BT32" si="23">$F24*I19</f>
        <v>2000</v>
      </c>
      <c r="J32" s="50">
        <f t="shared" si="23"/>
        <v>2000</v>
      </c>
      <c r="K32" s="50">
        <f t="shared" si="23"/>
        <v>2000</v>
      </c>
      <c r="L32" s="50">
        <f t="shared" si="23"/>
        <v>2000</v>
      </c>
      <c r="M32" s="50">
        <f t="shared" si="23"/>
        <v>2000</v>
      </c>
      <c r="N32" s="50">
        <f t="shared" si="23"/>
        <v>2000</v>
      </c>
      <c r="O32" s="50">
        <f t="shared" si="23"/>
        <v>2000</v>
      </c>
      <c r="P32" s="50">
        <f t="shared" si="23"/>
        <v>2000</v>
      </c>
      <c r="Q32" s="50">
        <f t="shared" si="23"/>
        <v>2000</v>
      </c>
      <c r="R32" s="50">
        <f t="shared" si="23"/>
        <v>2000</v>
      </c>
      <c r="S32" s="50">
        <f t="shared" si="23"/>
        <v>2000</v>
      </c>
      <c r="T32" s="50">
        <f t="shared" si="23"/>
        <v>2000</v>
      </c>
      <c r="U32" s="50">
        <f t="shared" si="23"/>
        <v>2000</v>
      </c>
      <c r="V32" s="50">
        <f t="shared" si="23"/>
        <v>2000</v>
      </c>
      <c r="W32" s="50">
        <f t="shared" si="23"/>
        <v>2000</v>
      </c>
      <c r="X32" s="50">
        <f t="shared" si="23"/>
        <v>2000</v>
      </c>
      <c r="Y32" s="50">
        <f t="shared" si="23"/>
        <v>2000</v>
      </c>
      <c r="Z32" s="50">
        <f t="shared" si="23"/>
        <v>2000</v>
      </c>
      <c r="AA32" s="50">
        <f t="shared" si="23"/>
        <v>2000</v>
      </c>
      <c r="AB32" s="50">
        <f t="shared" si="23"/>
        <v>2000</v>
      </c>
      <c r="AC32" s="50">
        <f t="shared" si="23"/>
        <v>2000</v>
      </c>
      <c r="AD32" s="50">
        <f t="shared" si="23"/>
        <v>2000</v>
      </c>
      <c r="AE32" s="50">
        <f t="shared" si="23"/>
        <v>2000</v>
      </c>
      <c r="AF32" s="50">
        <f t="shared" si="23"/>
        <v>2000</v>
      </c>
      <c r="AG32" s="50">
        <f t="shared" si="23"/>
        <v>2000</v>
      </c>
      <c r="AH32" s="50">
        <f t="shared" si="23"/>
        <v>2000</v>
      </c>
      <c r="AI32" s="50">
        <f t="shared" si="23"/>
        <v>2000</v>
      </c>
      <c r="AJ32" s="50">
        <f t="shared" si="23"/>
        <v>2000</v>
      </c>
      <c r="AK32" s="50">
        <f t="shared" si="23"/>
        <v>2000</v>
      </c>
      <c r="AL32" s="50">
        <f t="shared" si="23"/>
        <v>0</v>
      </c>
      <c r="AM32" s="50">
        <f t="shared" si="23"/>
        <v>0</v>
      </c>
      <c r="AN32" s="50">
        <f t="shared" si="23"/>
        <v>0</v>
      </c>
      <c r="AO32" s="50">
        <f t="shared" si="23"/>
        <v>0</v>
      </c>
      <c r="AP32" s="50">
        <f t="shared" si="23"/>
        <v>0</v>
      </c>
      <c r="AQ32" s="50">
        <f t="shared" si="23"/>
        <v>0</v>
      </c>
      <c r="AR32" s="50">
        <f t="shared" si="23"/>
        <v>0</v>
      </c>
      <c r="AS32" s="50">
        <f t="shared" si="23"/>
        <v>0</v>
      </c>
      <c r="AT32" s="50">
        <f t="shared" si="23"/>
        <v>0</v>
      </c>
      <c r="AU32" s="50">
        <f t="shared" si="23"/>
        <v>0</v>
      </c>
      <c r="AV32" s="50">
        <f t="shared" si="23"/>
        <v>0</v>
      </c>
      <c r="AW32" s="50">
        <f t="shared" si="23"/>
        <v>0</v>
      </c>
      <c r="AX32" s="50">
        <f t="shared" si="23"/>
        <v>0</v>
      </c>
      <c r="AY32" s="50">
        <f t="shared" si="23"/>
        <v>0</v>
      </c>
      <c r="AZ32" s="50">
        <f t="shared" si="23"/>
        <v>0</v>
      </c>
      <c r="BA32" s="50">
        <f t="shared" si="23"/>
        <v>0</v>
      </c>
      <c r="BB32" s="50">
        <f t="shared" si="23"/>
        <v>0</v>
      </c>
      <c r="BC32" s="50">
        <f t="shared" si="23"/>
        <v>0</v>
      </c>
      <c r="BD32" s="50">
        <f t="shared" si="23"/>
        <v>0</v>
      </c>
      <c r="BE32" s="50">
        <f t="shared" si="23"/>
        <v>0</v>
      </c>
      <c r="BF32" s="50">
        <f t="shared" si="23"/>
        <v>0</v>
      </c>
      <c r="BG32" s="50">
        <f t="shared" si="23"/>
        <v>0</v>
      </c>
      <c r="BH32" s="50">
        <f t="shared" si="23"/>
        <v>0</v>
      </c>
      <c r="BI32" s="50">
        <f t="shared" si="23"/>
        <v>0</v>
      </c>
      <c r="BJ32" s="50">
        <f t="shared" si="23"/>
        <v>0</v>
      </c>
      <c r="BK32" s="50">
        <f t="shared" si="23"/>
        <v>0</v>
      </c>
      <c r="BL32" s="50">
        <f t="shared" si="23"/>
        <v>0</v>
      </c>
      <c r="BM32" s="50">
        <f t="shared" si="23"/>
        <v>0</v>
      </c>
      <c r="BN32" s="50">
        <f t="shared" si="23"/>
        <v>0</v>
      </c>
      <c r="BO32" s="50">
        <f t="shared" si="23"/>
        <v>0</v>
      </c>
      <c r="BP32" s="50">
        <f t="shared" si="23"/>
        <v>0</v>
      </c>
      <c r="BQ32" s="50">
        <f t="shared" si="23"/>
        <v>0</v>
      </c>
      <c r="BR32" s="50">
        <f t="shared" si="23"/>
        <v>0</v>
      </c>
      <c r="BS32" s="50">
        <f t="shared" si="23"/>
        <v>0</v>
      </c>
      <c r="BT32" s="50">
        <f t="shared" si="23"/>
        <v>0</v>
      </c>
      <c r="BU32" s="50">
        <f t="shared" ref="BU32:BY32" si="24">$F24*BU19</f>
        <v>0</v>
      </c>
      <c r="BV32" s="50">
        <f t="shared" si="24"/>
        <v>0</v>
      </c>
      <c r="BW32" s="50">
        <f t="shared" si="24"/>
        <v>0</v>
      </c>
      <c r="BX32" s="50">
        <f t="shared" si="24"/>
        <v>0</v>
      </c>
      <c r="BY32" s="118">
        <f t="shared" si="24"/>
        <v>0</v>
      </c>
    </row>
    <row r="33" spans="4:77" ht="13.5" customHeight="1">
      <c r="D33" s="116" t="s">
        <v>168</v>
      </c>
      <c r="E33" s="116"/>
      <c r="F33" s="116"/>
      <c r="G33" s="116"/>
      <c r="H33" s="116">
        <f t="shared" ref="H33:AM33" si="25">H32*$F23/unit</f>
        <v>3.3740000000000001</v>
      </c>
      <c r="I33" s="116">
        <f t="shared" si="25"/>
        <v>3.3740000000000001</v>
      </c>
      <c r="J33" s="116">
        <f t="shared" si="25"/>
        <v>3.3740000000000001</v>
      </c>
      <c r="K33" s="116">
        <f t="shared" si="25"/>
        <v>3.3740000000000001</v>
      </c>
      <c r="L33" s="116">
        <f t="shared" si="25"/>
        <v>3.3740000000000001</v>
      </c>
      <c r="M33" s="116">
        <f t="shared" si="25"/>
        <v>3.3740000000000001</v>
      </c>
      <c r="N33" s="116">
        <f t="shared" si="25"/>
        <v>3.3740000000000001</v>
      </c>
      <c r="O33" s="116">
        <f t="shared" si="25"/>
        <v>3.3740000000000001</v>
      </c>
      <c r="P33" s="116">
        <f t="shared" si="25"/>
        <v>3.3740000000000001</v>
      </c>
      <c r="Q33" s="116">
        <f t="shared" si="25"/>
        <v>3.3740000000000001</v>
      </c>
      <c r="R33" s="116">
        <f t="shared" si="25"/>
        <v>3.3740000000000001</v>
      </c>
      <c r="S33" s="116">
        <f t="shared" si="25"/>
        <v>3.3740000000000001</v>
      </c>
      <c r="T33" s="116">
        <f t="shared" si="25"/>
        <v>3.3740000000000001</v>
      </c>
      <c r="U33" s="116">
        <f t="shared" si="25"/>
        <v>3.3740000000000001</v>
      </c>
      <c r="V33" s="116">
        <f t="shared" si="25"/>
        <v>3.3740000000000001</v>
      </c>
      <c r="W33" s="116">
        <f t="shared" si="25"/>
        <v>3.3740000000000001</v>
      </c>
      <c r="X33" s="116">
        <f t="shared" si="25"/>
        <v>3.3740000000000001</v>
      </c>
      <c r="Y33" s="116">
        <f t="shared" si="25"/>
        <v>3.3740000000000001</v>
      </c>
      <c r="Z33" s="116">
        <f t="shared" si="25"/>
        <v>3.3740000000000001</v>
      </c>
      <c r="AA33" s="116">
        <f t="shared" si="25"/>
        <v>3.3740000000000001</v>
      </c>
      <c r="AB33" s="116">
        <f t="shared" si="25"/>
        <v>3.3740000000000001</v>
      </c>
      <c r="AC33" s="116">
        <f t="shared" si="25"/>
        <v>3.3740000000000001</v>
      </c>
      <c r="AD33" s="116">
        <f t="shared" si="25"/>
        <v>3.3740000000000001</v>
      </c>
      <c r="AE33" s="116">
        <f t="shared" si="25"/>
        <v>3.3740000000000001</v>
      </c>
      <c r="AF33" s="116">
        <f t="shared" si="25"/>
        <v>3.3740000000000001</v>
      </c>
      <c r="AG33" s="116">
        <f t="shared" si="25"/>
        <v>3.3740000000000001</v>
      </c>
      <c r="AH33" s="116">
        <f t="shared" si="25"/>
        <v>3.3740000000000001</v>
      </c>
      <c r="AI33" s="116">
        <f t="shared" si="25"/>
        <v>3.3740000000000001</v>
      </c>
      <c r="AJ33" s="116">
        <f t="shared" si="25"/>
        <v>3.3740000000000001</v>
      </c>
      <c r="AK33" s="116">
        <f t="shared" si="25"/>
        <v>3.3740000000000001</v>
      </c>
      <c r="AL33" s="116">
        <f t="shared" si="25"/>
        <v>0</v>
      </c>
      <c r="AM33" s="116">
        <f t="shared" si="25"/>
        <v>0</v>
      </c>
      <c r="AN33" s="116">
        <f t="shared" ref="AN33:BS33" si="26">AN32*$F23/unit</f>
        <v>0</v>
      </c>
      <c r="AO33" s="116">
        <f t="shared" si="26"/>
        <v>0</v>
      </c>
      <c r="AP33" s="116">
        <f t="shared" si="26"/>
        <v>0</v>
      </c>
      <c r="AQ33" s="116">
        <f t="shared" si="26"/>
        <v>0</v>
      </c>
      <c r="AR33" s="116">
        <f t="shared" si="26"/>
        <v>0</v>
      </c>
      <c r="AS33" s="116">
        <f t="shared" si="26"/>
        <v>0</v>
      </c>
      <c r="AT33" s="116">
        <f t="shared" si="26"/>
        <v>0</v>
      </c>
      <c r="AU33" s="116">
        <f t="shared" si="26"/>
        <v>0</v>
      </c>
      <c r="AV33" s="116">
        <f t="shared" si="26"/>
        <v>0</v>
      </c>
      <c r="AW33" s="116">
        <f t="shared" si="26"/>
        <v>0</v>
      </c>
      <c r="AX33" s="116">
        <f t="shared" si="26"/>
        <v>0</v>
      </c>
      <c r="AY33" s="116">
        <f t="shared" si="26"/>
        <v>0</v>
      </c>
      <c r="AZ33" s="116">
        <f t="shared" si="26"/>
        <v>0</v>
      </c>
      <c r="BA33" s="116">
        <f t="shared" si="26"/>
        <v>0</v>
      </c>
      <c r="BB33" s="116">
        <f t="shared" si="26"/>
        <v>0</v>
      </c>
      <c r="BC33" s="116">
        <f t="shared" si="26"/>
        <v>0</v>
      </c>
      <c r="BD33" s="116">
        <f t="shared" si="26"/>
        <v>0</v>
      </c>
      <c r="BE33" s="116">
        <f t="shared" si="26"/>
        <v>0</v>
      </c>
      <c r="BF33" s="116">
        <f t="shared" si="26"/>
        <v>0</v>
      </c>
      <c r="BG33" s="116">
        <f t="shared" si="26"/>
        <v>0</v>
      </c>
      <c r="BH33" s="116">
        <f t="shared" si="26"/>
        <v>0</v>
      </c>
      <c r="BI33" s="116">
        <f t="shared" si="26"/>
        <v>0</v>
      </c>
      <c r="BJ33" s="116">
        <f t="shared" si="26"/>
        <v>0</v>
      </c>
      <c r="BK33" s="116">
        <f t="shared" si="26"/>
        <v>0</v>
      </c>
      <c r="BL33" s="116">
        <f t="shared" si="26"/>
        <v>0</v>
      </c>
      <c r="BM33" s="116">
        <f t="shared" si="26"/>
        <v>0</v>
      </c>
      <c r="BN33" s="116">
        <f t="shared" si="26"/>
        <v>0</v>
      </c>
      <c r="BO33" s="116">
        <f t="shared" si="26"/>
        <v>0</v>
      </c>
      <c r="BP33" s="116">
        <f t="shared" si="26"/>
        <v>0</v>
      </c>
      <c r="BQ33" s="116">
        <f t="shared" si="26"/>
        <v>0</v>
      </c>
      <c r="BR33" s="116">
        <f t="shared" si="26"/>
        <v>0</v>
      </c>
      <c r="BS33" s="116">
        <f t="shared" si="26"/>
        <v>0</v>
      </c>
      <c r="BT33" s="116">
        <f t="shared" ref="BT33:CY33" si="27">BT32*$F23/unit</f>
        <v>0</v>
      </c>
      <c r="BU33" s="116">
        <f t="shared" si="27"/>
        <v>0</v>
      </c>
      <c r="BV33" s="116">
        <f t="shared" si="27"/>
        <v>0</v>
      </c>
      <c r="BW33" s="116">
        <f t="shared" si="27"/>
        <v>0</v>
      </c>
      <c r="BX33" s="116">
        <f t="shared" si="27"/>
        <v>0</v>
      </c>
      <c r="BY33" s="116">
        <f t="shared" si="27"/>
        <v>0</v>
      </c>
    </row>
    <row r="35" spans="4:77" ht="13.5" customHeight="1">
      <c r="D35" s="2" t="s">
        <v>169</v>
      </c>
    </row>
    <row r="36" spans="4:77" ht="13.5" customHeight="1">
      <c r="E36" s="2" t="s">
        <v>170</v>
      </c>
      <c r="H36" s="2">
        <f>F25</f>
        <v>242.928</v>
      </c>
      <c r="I36" s="2">
        <f>H39</f>
        <v>242.928</v>
      </c>
      <c r="J36" s="2">
        <f t="shared" ref="J36:BU36" si="28">I39</f>
        <v>242.928</v>
      </c>
      <c r="K36" s="2">
        <f t="shared" si="28"/>
        <v>242.928</v>
      </c>
      <c r="L36" s="2">
        <f t="shared" si="28"/>
        <v>242.928</v>
      </c>
      <c r="M36" s="2">
        <f t="shared" si="28"/>
        <v>242.928</v>
      </c>
      <c r="N36" s="2">
        <f t="shared" si="28"/>
        <v>242.928</v>
      </c>
      <c r="O36" s="2">
        <f t="shared" si="28"/>
        <v>242.928</v>
      </c>
      <c r="P36" s="2">
        <f t="shared" si="28"/>
        <v>242.928</v>
      </c>
      <c r="Q36" s="2">
        <f t="shared" si="28"/>
        <v>242.928</v>
      </c>
      <c r="R36" s="2">
        <f t="shared" si="28"/>
        <v>242.928</v>
      </c>
      <c r="S36" s="2">
        <f t="shared" si="28"/>
        <v>242.928</v>
      </c>
      <c r="T36" s="2">
        <f t="shared" si="28"/>
        <v>242.928</v>
      </c>
      <c r="U36" s="2">
        <f t="shared" si="28"/>
        <v>242.928</v>
      </c>
      <c r="V36" s="2">
        <f t="shared" si="28"/>
        <v>242.928</v>
      </c>
      <c r="W36" s="2">
        <f t="shared" si="28"/>
        <v>242.928</v>
      </c>
      <c r="X36" s="2">
        <f t="shared" si="28"/>
        <v>242.928</v>
      </c>
      <c r="Y36" s="2">
        <f t="shared" si="28"/>
        <v>242.928</v>
      </c>
      <c r="Z36" s="2">
        <f t="shared" si="28"/>
        <v>242.928</v>
      </c>
      <c r="AA36" s="2">
        <f t="shared" si="28"/>
        <v>242.928</v>
      </c>
      <c r="AB36" s="2">
        <f t="shared" si="28"/>
        <v>242.928</v>
      </c>
      <c r="AC36" s="2">
        <f t="shared" si="28"/>
        <v>242.928</v>
      </c>
      <c r="AD36" s="2">
        <f t="shared" si="28"/>
        <v>242.928</v>
      </c>
      <c r="AE36" s="2">
        <f t="shared" si="28"/>
        <v>242.928</v>
      </c>
      <c r="AF36" s="2">
        <f t="shared" si="28"/>
        <v>242.928</v>
      </c>
      <c r="AG36" s="2">
        <f t="shared" si="28"/>
        <v>242.928</v>
      </c>
      <c r="AH36" s="2">
        <f t="shared" si="28"/>
        <v>242.928</v>
      </c>
      <c r="AI36" s="2">
        <f t="shared" si="28"/>
        <v>242.928</v>
      </c>
      <c r="AJ36" s="2">
        <f t="shared" si="28"/>
        <v>242.928</v>
      </c>
      <c r="AK36" s="2">
        <f t="shared" si="28"/>
        <v>242.928</v>
      </c>
      <c r="AL36" s="2">
        <f t="shared" si="28"/>
        <v>0</v>
      </c>
      <c r="AM36" s="2">
        <f t="shared" si="28"/>
        <v>0</v>
      </c>
      <c r="AN36" s="2">
        <f t="shared" si="28"/>
        <v>0</v>
      </c>
      <c r="AO36" s="2">
        <f t="shared" si="28"/>
        <v>0</v>
      </c>
      <c r="AP36" s="2">
        <f t="shared" si="28"/>
        <v>0</v>
      </c>
      <c r="AQ36" s="2">
        <f t="shared" si="28"/>
        <v>0</v>
      </c>
      <c r="AR36" s="2">
        <f t="shared" si="28"/>
        <v>0</v>
      </c>
      <c r="AS36" s="2">
        <f t="shared" si="28"/>
        <v>0</v>
      </c>
      <c r="AT36" s="2">
        <f t="shared" si="28"/>
        <v>0</v>
      </c>
      <c r="AU36" s="2">
        <f t="shared" si="28"/>
        <v>0</v>
      </c>
      <c r="AV36" s="2">
        <f t="shared" si="28"/>
        <v>0</v>
      </c>
      <c r="AW36" s="2">
        <f t="shared" si="28"/>
        <v>0</v>
      </c>
      <c r="AX36" s="2">
        <f t="shared" si="28"/>
        <v>0</v>
      </c>
      <c r="AY36" s="2">
        <f t="shared" si="28"/>
        <v>0</v>
      </c>
      <c r="AZ36" s="2">
        <f t="shared" si="28"/>
        <v>0</v>
      </c>
      <c r="BA36" s="2">
        <f t="shared" si="28"/>
        <v>0</v>
      </c>
      <c r="BB36" s="2">
        <f t="shared" si="28"/>
        <v>0</v>
      </c>
      <c r="BC36" s="2">
        <f t="shared" si="28"/>
        <v>0</v>
      </c>
      <c r="BD36" s="2">
        <f t="shared" si="28"/>
        <v>0</v>
      </c>
      <c r="BE36" s="2">
        <f t="shared" si="28"/>
        <v>0</v>
      </c>
      <c r="BF36" s="2">
        <f t="shared" si="28"/>
        <v>0</v>
      </c>
      <c r="BG36" s="2">
        <f t="shared" si="28"/>
        <v>0</v>
      </c>
      <c r="BH36" s="2">
        <f t="shared" si="28"/>
        <v>0</v>
      </c>
      <c r="BI36" s="2">
        <f t="shared" si="28"/>
        <v>0</v>
      </c>
      <c r="BJ36" s="2">
        <f t="shared" si="28"/>
        <v>0</v>
      </c>
      <c r="BK36" s="2">
        <f t="shared" si="28"/>
        <v>0</v>
      </c>
      <c r="BL36" s="2">
        <f t="shared" si="28"/>
        <v>0</v>
      </c>
      <c r="BM36" s="2">
        <f t="shared" si="28"/>
        <v>0</v>
      </c>
      <c r="BN36" s="2">
        <f t="shared" si="28"/>
        <v>0</v>
      </c>
      <c r="BO36" s="2">
        <f t="shared" si="28"/>
        <v>0</v>
      </c>
      <c r="BP36" s="2">
        <f t="shared" si="28"/>
        <v>0</v>
      </c>
      <c r="BQ36" s="2">
        <f t="shared" si="28"/>
        <v>0</v>
      </c>
      <c r="BR36" s="2">
        <f t="shared" si="28"/>
        <v>0</v>
      </c>
      <c r="BS36" s="2">
        <f t="shared" si="28"/>
        <v>0</v>
      </c>
      <c r="BT36" s="2">
        <f t="shared" si="28"/>
        <v>0</v>
      </c>
      <c r="BU36" s="2">
        <f t="shared" si="28"/>
        <v>0</v>
      </c>
      <c r="BV36" s="2">
        <f t="shared" ref="BV36:BY36" si="29">BU39</f>
        <v>0</v>
      </c>
      <c r="BW36" s="2">
        <f t="shared" si="29"/>
        <v>0</v>
      </c>
      <c r="BX36" s="2">
        <f t="shared" si="29"/>
        <v>0</v>
      </c>
      <c r="BY36" s="2">
        <f t="shared" si="29"/>
        <v>0</v>
      </c>
    </row>
    <row r="37" spans="4:77" ht="13.5" customHeight="1">
      <c r="E37" s="2" t="s">
        <v>171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</row>
    <row r="38" spans="4:77" ht="13.5" customHeight="1">
      <c r="E38" s="46" t="s">
        <v>172</v>
      </c>
      <c r="F38" s="46"/>
      <c r="G38" s="46"/>
      <c r="H38" s="46">
        <f>(H$14=$F20)*$F$25*-1</f>
        <v>0</v>
      </c>
      <c r="I38" s="46">
        <f t="shared" ref="I38:BT38" si="30">(I$14=$F20)*$F$25*-1</f>
        <v>0</v>
      </c>
      <c r="J38" s="46">
        <f t="shared" si="30"/>
        <v>0</v>
      </c>
      <c r="K38" s="46">
        <f t="shared" si="30"/>
        <v>0</v>
      </c>
      <c r="L38" s="46">
        <f t="shared" si="30"/>
        <v>0</v>
      </c>
      <c r="M38" s="46">
        <f t="shared" si="30"/>
        <v>0</v>
      </c>
      <c r="N38" s="46">
        <f t="shared" si="30"/>
        <v>0</v>
      </c>
      <c r="O38" s="46">
        <f t="shared" si="30"/>
        <v>0</v>
      </c>
      <c r="P38" s="46">
        <f t="shared" si="30"/>
        <v>0</v>
      </c>
      <c r="Q38" s="46">
        <f t="shared" si="30"/>
        <v>0</v>
      </c>
      <c r="R38" s="46">
        <f t="shared" si="30"/>
        <v>0</v>
      </c>
      <c r="S38" s="46">
        <f t="shared" si="30"/>
        <v>0</v>
      </c>
      <c r="T38" s="46">
        <f t="shared" si="30"/>
        <v>0</v>
      </c>
      <c r="U38" s="46">
        <f t="shared" si="30"/>
        <v>0</v>
      </c>
      <c r="V38" s="46">
        <f t="shared" si="30"/>
        <v>0</v>
      </c>
      <c r="W38" s="46">
        <f t="shared" si="30"/>
        <v>0</v>
      </c>
      <c r="X38" s="46">
        <f t="shared" si="30"/>
        <v>0</v>
      </c>
      <c r="Y38" s="46">
        <f t="shared" si="30"/>
        <v>0</v>
      </c>
      <c r="Z38" s="46">
        <f t="shared" si="30"/>
        <v>0</v>
      </c>
      <c r="AA38" s="46">
        <f t="shared" si="30"/>
        <v>0</v>
      </c>
      <c r="AB38" s="46">
        <f t="shared" si="30"/>
        <v>0</v>
      </c>
      <c r="AC38" s="46">
        <f t="shared" si="30"/>
        <v>0</v>
      </c>
      <c r="AD38" s="46">
        <f t="shared" si="30"/>
        <v>0</v>
      </c>
      <c r="AE38" s="46">
        <f t="shared" si="30"/>
        <v>0</v>
      </c>
      <c r="AF38" s="46">
        <f t="shared" si="30"/>
        <v>0</v>
      </c>
      <c r="AG38" s="46">
        <f t="shared" si="30"/>
        <v>0</v>
      </c>
      <c r="AH38" s="46">
        <f t="shared" si="30"/>
        <v>0</v>
      </c>
      <c r="AI38" s="46">
        <f t="shared" si="30"/>
        <v>0</v>
      </c>
      <c r="AJ38" s="46">
        <f t="shared" si="30"/>
        <v>0</v>
      </c>
      <c r="AK38" s="46">
        <f>(AK$14=$F20)*$F$25*-1</f>
        <v>-242.928</v>
      </c>
      <c r="AL38" s="46">
        <f t="shared" si="30"/>
        <v>0</v>
      </c>
      <c r="AM38" s="46">
        <f t="shared" si="30"/>
        <v>0</v>
      </c>
      <c r="AN38" s="46">
        <f t="shared" si="30"/>
        <v>0</v>
      </c>
      <c r="AO38" s="46">
        <f t="shared" si="30"/>
        <v>0</v>
      </c>
      <c r="AP38" s="46">
        <f t="shared" si="30"/>
        <v>0</v>
      </c>
      <c r="AQ38" s="46">
        <f t="shared" si="30"/>
        <v>0</v>
      </c>
      <c r="AR38" s="46">
        <f t="shared" si="30"/>
        <v>0</v>
      </c>
      <c r="AS38" s="46">
        <f t="shared" si="30"/>
        <v>0</v>
      </c>
      <c r="AT38" s="46">
        <f t="shared" si="30"/>
        <v>0</v>
      </c>
      <c r="AU38" s="46">
        <f t="shared" si="30"/>
        <v>0</v>
      </c>
      <c r="AV38" s="46">
        <f t="shared" si="30"/>
        <v>0</v>
      </c>
      <c r="AW38" s="46">
        <f t="shared" si="30"/>
        <v>0</v>
      </c>
      <c r="AX38" s="46">
        <f t="shared" si="30"/>
        <v>0</v>
      </c>
      <c r="AY38" s="46">
        <f t="shared" si="30"/>
        <v>0</v>
      </c>
      <c r="AZ38" s="46">
        <f t="shared" si="30"/>
        <v>0</v>
      </c>
      <c r="BA38" s="46">
        <f t="shared" si="30"/>
        <v>0</v>
      </c>
      <c r="BB38" s="46">
        <f t="shared" si="30"/>
        <v>0</v>
      </c>
      <c r="BC38" s="46">
        <f t="shared" si="30"/>
        <v>0</v>
      </c>
      <c r="BD38" s="46">
        <f t="shared" si="30"/>
        <v>0</v>
      </c>
      <c r="BE38" s="46">
        <f t="shared" si="30"/>
        <v>0</v>
      </c>
      <c r="BF38" s="46">
        <f t="shared" si="30"/>
        <v>0</v>
      </c>
      <c r="BG38" s="46">
        <f t="shared" si="30"/>
        <v>0</v>
      </c>
      <c r="BH38" s="46">
        <f t="shared" si="30"/>
        <v>0</v>
      </c>
      <c r="BI38" s="46">
        <f t="shared" si="30"/>
        <v>0</v>
      </c>
      <c r="BJ38" s="46">
        <f t="shared" si="30"/>
        <v>0</v>
      </c>
      <c r="BK38" s="46">
        <f t="shared" si="30"/>
        <v>0</v>
      </c>
      <c r="BL38" s="46">
        <f t="shared" si="30"/>
        <v>0</v>
      </c>
      <c r="BM38" s="46">
        <f t="shared" si="30"/>
        <v>0</v>
      </c>
      <c r="BN38" s="46">
        <f t="shared" si="30"/>
        <v>0</v>
      </c>
      <c r="BO38" s="46">
        <f t="shared" si="30"/>
        <v>0</v>
      </c>
      <c r="BP38" s="46">
        <f t="shared" si="30"/>
        <v>0</v>
      </c>
      <c r="BQ38" s="46">
        <f t="shared" si="30"/>
        <v>0</v>
      </c>
      <c r="BR38" s="46">
        <f t="shared" si="30"/>
        <v>0</v>
      </c>
      <c r="BS38" s="46">
        <f t="shared" si="30"/>
        <v>0</v>
      </c>
      <c r="BT38" s="46">
        <f t="shared" si="30"/>
        <v>0</v>
      </c>
      <c r="BU38" s="46">
        <f t="shared" ref="BU38:BY38" si="31">(BU$14=$F20)*$F$25*-1</f>
        <v>0</v>
      </c>
      <c r="BV38" s="46">
        <f t="shared" si="31"/>
        <v>0</v>
      </c>
      <c r="BW38" s="46">
        <f t="shared" si="31"/>
        <v>0</v>
      </c>
      <c r="BX38" s="46">
        <f t="shared" si="31"/>
        <v>0</v>
      </c>
      <c r="BY38" s="46">
        <f t="shared" si="31"/>
        <v>0</v>
      </c>
    </row>
    <row r="39" spans="4:77" ht="13.5" customHeight="1">
      <c r="E39" s="2" t="s">
        <v>173</v>
      </c>
      <c r="H39" s="2">
        <f>SUM(H36:H38)</f>
        <v>242.928</v>
      </c>
      <c r="I39" s="2">
        <f t="shared" ref="I39:BT39" si="32">SUM(I36:I38)</f>
        <v>242.928</v>
      </c>
      <c r="J39" s="2">
        <f t="shared" si="32"/>
        <v>242.928</v>
      </c>
      <c r="K39" s="2">
        <f t="shared" si="32"/>
        <v>242.928</v>
      </c>
      <c r="L39" s="2">
        <f t="shared" si="32"/>
        <v>242.928</v>
      </c>
      <c r="M39" s="2">
        <f t="shared" si="32"/>
        <v>242.928</v>
      </c>
      <c r="N39" s="2">
        <f t="shared" si="32"/>
        <v>242.928</v>
      </c>
      <c r="O39" s="2">
        <f t="shared" si="32"/>
        <v>242.928</v>
      </c>
      <c r="P39" s="2">
        <f t="shared" si="32"/>
        <v>242.928</v>
      </c>
      <c r="Q39" s="2">
        <f t="shared" si="32"/>
        <v>242.928</v>
      </c>
      <c r="R39" s="2">
        <f t="shared" si="32"/>
        <v>242.928</v>
      </c>
      <c r="S39" s="2">
        <f t="shared" si="32"/>
        <v>242.928</v>
      </c>
      <c r="T39" s="2">
        <f t="shared" si="32"/>
        <v>242.928</v>
      </c>
      <c r="U39" s="2">
        <f t="shared" si="32"/>
        <v>242.928</v>
      </c>
      <c r="V39" s="2">
        <f t="shared" si="32"/>
        <v>242.928</v>
      </c>
      <c r="W39" s="2">
        <f t="shared" si="32"/>
        <v>242.928</v>
      </c>
      <c r="X39" s="2">
        <f t="shared" si="32"/>
        <v>242.928</v>
      </c>
      <c r="Y39" s="2">
        <f t="shared" si="32"/>
        <v>242.928</v>
      </c>
      <c r="Z39" s="2">
        <f t="shared" si="32"/>
        <v>242.928</v>
      </c>
      <c r="AA39" s="2">
        <f t="shared" si="32"/>
        <v>242.928</v>
      </c>
      <c r="AB39" s="2">
        <f t="shared" si="32"/>
        <v>242.928</v>
      </c>
      <c r="AC39" s="2">
        <f t="shared" si="32"/>
        <v>242.928</v>
      </c>
      <c r="AD39" s="2">
        <f t="shared" si="32"/>
        <v>242.928</v>
      </c>
      <c r="AE39" s="2">
        <f t="shared" si="32"/>
        <v>242.928</v>
      </c>
      <c r="AF39" s="2">
        <f t="shared" si="32"/>
        <v>242.928</v>
      </c>
      <c r="AG39" s="2">
        <f t="shared" si="32"/>
        <v>242.928</v>
      </c>
      <c r="AH39" s="2">
        <f t="shared" si="32"/>
        <v>242.928</v>
      </c>
      <c r="AI39" s="2">
        <f t="shared" si="32"/>
        <v>242.928</v>
      </c>
      <c r="AJ39" s="2">
        <f t="shared" si="32"/>
        <v>242.928</v>
      </c>
      <c r="AK39" s="2">
        <f t="shared" si="32"/>
        <v>0</v>
      </c>
      <c r="AL39" s="2">
        <f t="shared" si="32"/>
        <v>0</v>
      </c>
      <c r="AM39" s="2">
        <f t="shared" si="32"/>
        <v>0</v>
      </c>
      <c r="AN39" s="2">
        <f t="shared" si="32"/>
        <v>0</v>
      </c>
      <c r="AO39" s="2">
        <f t="shared" si="32"/>
        <v>0</v>
      </c>
      <c r="AP39" s="2">
        <f t="shared" si="32"/>
        <v>0</v>
      </c>
      <c r="AQ39" s="2">
        <f t="shared" si="32"/>
        <v>0</v>
      </c>
      <c r="AR39" s="2">
        <f t="shared" si="32"/>
        <v>0</v>
      </c>
      <c r="AS39" s="2">
        <f t="shared" si="32"/>
        <v>0</v>
      </c>
      <c r="AT39" s="2">
        <f t="shared" si="32"/>
        <v>0</v>
      </c>
      <c r="AU39" s="2">
        <f t="shared" si="32"/>
        <v>0</v>
      </c>
      <c r="AV39" s="2">
        <f t="shared" si="32"/>
        <v>0</v>
      </c>
      <c r="AW39" s="2">
        <f t="shared" si="32"/>
        <v>0</v>
      </c>
      <c r="AX39" s="2">
        <f t="shared" si="32"/>
        <v>0</v>
      </c>
      <c r="AY39" s="2">
        <f t="shared" si="32"/>
        <v>0</v>
      </c>
      <c r="AZ39" s="2">
        <f t="shared" si="32"/>
        <v>0</v>
      </c>
      <c r="BA39" s="2">
        <f t="shared" si="32"/>
        <v>0</v>
      </c>
      <c r="BB39" s="2">
        <f t="shared" si="32"/>
        <v>0</v>
      </c>
      <c r="BC39" s="2">
        <f t="shared" si="32"/>
        <v>0</v>
      </c>
      <c r="BD39" s="2">
        <f t="shared" si="32"/>
        <v>0</v>
      </c>
      <c r="BE39" s="2">
        <f t="shared" si="32"/>
        <v>0</v>
      </c>
      <c r="BF39" s="2">
        <f t="shared" si="32"/>
        <v>0</v>
      </c>
      <c r="BG39" s="2">
        <f t="shared" si="32"/>
        <v>0</v>
      </c>
      <c r="BH39" s="2">
        <f t="shared" si="32"/>
        <v>0</v>
      </c>
      <c r="BI39" s="2">
        <f t="shared" si="32"/>
        <v>0</v>
      </c>
      <c r="BJ39" s="2">
        <f t="shared" si="32"/>
        <v>0</v>
      </c>
      <c r="BK39" s="2">
        <f t="shared" si="32"/>
        <v>0</v>
      </c>
      <c r="BL39" s="2">
        <f t="shared" si="32"/>
        <v>0</v>
      </c>
      <c r="BM39" s="2">
        <f t="shared" si="32"/>
        <v>0</v>
      </c>
      <c r="BN39" s="2">
        <f t="shared" si="32"/>
        <v>0</v>
      </c>
      <c r="BO39" s="2">
        <f t="shared" si="32"/>
        <v>0</v>
      </c>
      <c r="BP39" s="2">
        <f t="shared" si="32"/>
        <v>0</v>
      </c>
      <c r="BQ39" s="2">
        <f t="shared" si="32"/>
        <v>0</v>
      </c>
      <c r="BR39" s="2">
        <f t="shared" si="32"/>
        <v>0</v>
      </c>
      <c r="BS39" s="2">
        <f t="shared" si="32"/>
        <v>0</v>
      </c>
      <c r="BT39" s="2">
        <f t="shared" si="32"/>
        <v>0</v>
      </c>
      <c r="BU39" s="2">
        <f t="shared" ref="BU39:BY39" si="33">SUM(BU36:BU38)</f>
        <v>0</v>
      </c>
      <c r="BV39" s="2">
        <f t="shared" si="33"/>
        <v>0</v>
      </c>
      <c r="BW39" s="2">
        <f t="shared" si="33"/>
        <v>0</v>
      </c>
      <c r="BX39" s="2">
        <f t="shared" si="33"/>
        <v>0</v>
      </c>
      <c r="BY39" s="2">
        <f t="shared" si="33"/>
        <v>0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"/>
  <sheetViews>
    <sheetView showGridLines="0" zoomScale="115" zoomScaleNormal="115" workbookViewId="0">
      <selection activeCell="A8" sqref="A8"/>
    </sheetView>
  </sheetViews>
  <sheetFormatPr defaultColWidth="9.1640625" defaultRowHeight="13.5" customHeight="1"/>
  <cols>
    <col min="1" max="1" width="2.5" style="2" customWidth="1"/>
    <col min="2" max="16384" width="9.1640625" style="2"/>
  </cols>
  <sheetData>
    <row r="2" spans="1:31" s="1" customFormat="1" ht="13.5" customHeight="1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>
      <c r="AB3" s="6" t="s">
        <v>3</v>
      </c>
      <c r="AC3" s="9" t="s">
        <v>6</v>
      </c>
      <c r="AD3" s="12" t="s">
        <v>9</v>
      </c>
    </row>
    <row r="4" spans="1:31" ht="13.5" customHeight="1">
      <c r="AB4" s="7" t="s">
        <v>4</v>
      </c>
      <c r="AC4" s="10" t="s">
        <v>7</v>
      </c>
      <c r="AD4" s="13" t="s">
        <v>10</v>
      </c>
    </row>
    <row r="5" spans="1:31" ht="13.5" customHeight="1" thickBo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>
      <c r="A6" s="2" t="s">
        <v>1</v>
      </c>
      <c r="AD6" s="14">
        <v>45545</v>
      </c>
    </row>
    <row r="7" spans="1:31" ht="13.5" customHeight="1">
      <c r="A7" s="4" t="s">
        <v>14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"/>
  <sheetViews>
    <sheetView showGridLines="0" zoomScale="115" zoomScaleNormal="115" workbookViewId="0">
      <selection activeCell="A7" sqref="A7"/>
    </sheetView>
  </sheetViews>
  <sheetFormatPr defaultColWidth="9.1640625" defaultRowHeight="13.5" customHeight="1"/>
  <cols>
    <col min="1" max="1" width="2.5" style="2" customWidth="1"/>
    <col min="2" max="16384" width="9.1640625" style="2"/>
  </cols>
  <sheetData>
    <row r="2" spans="1:31" s="1" customFormat="1" ht="13.5" customHeight="1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>
      <c r="AB3" s="6" t="s">
        <v>3</v>
      </c>
      <c r="AC3" s="9" t="s">
        <v>6</v>
      </c>
      <c r="AD3" s="12" t="s">
        <v>9</v>
      </c>
    </row>
    <row r="4" spans="1:31" ht="13.5" customHeight="1">
      <c r="AB4" s="7" t="s">
        <v>4</v>
      </c>
      <c r="AC4" s="10" t="s">
        <v>7</v>
      </c>
      <c r="AD4" s="13" t="s">
        <v>10</v>
      </c>
    </row>
    <row r="5" spans="1:31" ht="13.5" customHeight="1" thickBo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>
      <c r="A6" s="2" t="s">
        <v>1</v>
      </c>
      <c r="AD6" s="14">
        <v>45545</v>
      </c>
    </row>
    <row r="7" spans="1:31" ht="13.5" customHeight="1">
      <c r="A7" s="4" t="s">
        <v>15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"/>
  <sheetViews>
    <sheetView showGridLines="0" zoomScale="115" zoomScaleNormal="115" workbookViewId="0">
      <selection activeCell="A8" sqref="A8"/>
    </sheetView>
  </sheetViews>
  <sheetFormatPr defaultColWidth="9.1640625" defaultRowHeight="13.5" customHeight="1"/>
  <cols>
    <col min="1" max="1" width="2.5" style="2" customWidth="1"/>
    <col min="2" max="16384" width="9.1640625" style="2"/>
  </cols>
  <sheetData>
    <row r="2" spans="1:31" s="1" customFormat="1" ht="13.5" customHeight="1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>
      <c r="AB3" s="6" t="s">
        <v>3</v>
      </c>
      <c r="AC3" s="9" t="s">
        <v>6</v>
      </c>
      <c r="AD3" s="12" t="s">
        <v>9</v>
      </c>
    </row>
    <row r="4" spans="1:31" ht="13.5" customHeight="1">
      <c r="AB4" s="7" t="s">
        <v>4</v>
      </c>
      <c r="AC4" s="10" t="s">
        <v>7</v>
      </c>
      <c r="AD4" s="13" t="s">
        <v>10</v>
      </c>
    </row>
    <row r="5" spans="1:31" ht="13.5" customHeight="1" thickBo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>
      <c r="A6" s="2" t="s">
        <v>1</v>
      </c>
      <c r="AD6" s="14">
        <v>45545</v>
      </c>
    </row>
    <row r="7" spans="1:31" ht="13.5" customHeight="1">
      <c r="A7" s="4" t="s">
        <v>20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"/>
  <sheetViews>
    <sheetView showGridLines="0" zoomScale="115" zoomScaleNormal="115" workbookViewId="0">
      <selection activeCell="A8" sqref="A8"/>
    </sheetView>
  </sheetViews>
  <sheetFormatPr defaultColWidth="9.1640625" defaultRowHeight="13.5" customHeight="1"/>
  <cols>
    <col min="1" max="1" width="2.5" style="2" customWidth="1"/>
    <col min="2" max="16384" width="9.1640625" style="2"/>
  </cols>
  <sheetData>
    <row r="2" spans="1:31" s="1" customFormat="1" ht="13.5" customHeight="1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>
      <c r="AB3" s="6" t="s">
        <v>3</v>
      </c>
      <c r="AC3" s="9" t="s">
        <v>6</v>
      </c>
      <c r="AD3" s="12" t="s">
        <v>9</v>
      </c>
    </row>
    <row r="4" spans="1:31" ht="13.5" customHeight="1">
      <c r="AB4" s="7" t="s">
        <v>4</v>
      </c>
      <c r="AC4" s="10" t="s">
        <v>7</v>
      </c>
      <c r="AD4" s="13" t="s">
        <v>10</v>
      </c>
    </row>
    <row r="5" spans="1:31" ht="13.5" customHeight="1" thickBo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>
      <c r="A6" s="2" t="s">
        <v>1</v>
      </c>
      <c r="AD6" s="14">
        <v>45545</v>
      </c>
    </row>
    <row r="7" spans="1:31" ht="13.5" customHeight="1">
      <c r="A7" s="4" t="s">
        <v>19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"/>
  <sheetViews>
    <sheetView showGridLines="0" zoomScale="115" zoomScaleNormal="115" workbookViewId="0">
      <selection activeCell="A8" sqref="A8"/>
    </sheetView>
  </sheetViews>
  <sheetFormatPr defaultColWidth="9.1640625" defaultRowHeight="13.5" customHeight="1"/>
  <cols>
    <col min="1" max="1" width="2.5" style="2" customWidth="1"/>
    <col min="2" max="16384" width="9.1640625" style="2"/>
  </cols>
  <sheetData>
    <row r="2" spans="1:31" s="1" customFormat="1" ht="13.5" customHeight="1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>
      <c r="AB3" s="6" t="s">
        <v>3</v>
      </c>
      <c r="AC3" s="9" t="s">
        <v>6</v>
      </c>
      <c r="AD3" s="12" t="s">
        <v>9</v>
      </c>
    </row>
    <row r="4" spans="1:31" ht="13.5" customHeight="1">
      <c r="AB4" s="7" t="s">
        <v>4</v>
      </c>
      <c r="AC4" s="10" t="s">
        <v>7</v>
      </c>
      <c r="AD4" s="13" t="s">
        <v>10</v>
      </c>
    </row>
    <row r="5" spans="1:31" ht="13.5" customHeight="1" thickBo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>
      <c r="A6" s="2" t="s">
        <v>1</v>
      </c>
      <c r="AD6" s="14">
        <v>45545</v>
      </c>
    </row>
    <row r="7" spans="1:31" ht="13.5" customHeight="1">
      <c r="A7" s="4" t="s">
        <v>18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"/>
  <sheetViews>
    <sheetView showGridLines="0" zoomScale="115" zoomScaleNormal="115" workbookViewId="0">
      <selection activeCell="A8" sqref="A8"/>
    </sheetView>
  </sheetViews>
  <sheetFormatPr defaultColWidth="9.1640625" defaultRowHeight="13.5" customHeight="1"/>
  <cols>
    <col min="1" max="1" width="2.5" style="2" customWidth="1"/>
    <col min="2" max="16384" width="9.1640625" style="2"/>
  </cols>
  <sheetData>
    <row r="2" spans="1:31" s="1" customFormat="1" ht="13.5" customHeight="1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>
      <c r="AB3" s="6" t="s">
        <v>3</v>
      </c>
      <c r="AC3" s="9" t="s">
        <v>6</v>
      </c>
      <c r="AD3" s="12" t="s">
        <v>9</v>
      </c>
    </row>
    <row r="4" spans="1:31" ht="13.5" customHeight="1">
      <c r="AB4" s="7" t="s">
        <v>4</v>
      </c>
      <c r="AC4" s="10" t="s">
        <v>7</v>
      </c>
      <c r="AD4" s="13" t="s">
        <v>10</v>
      </c>
    </row>
    <row r="5" spans="1:31" ht="13.5" customHeight="1" thickBo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>
      <c r="A6" s="2" t="s">
        <v>1</v>
      </c>
      <c r="AD6" s="14">
        <v>45545</v>
      </c>
    </row>
    <row r="7" spans="1:31" ht="13.5" customHeight="1">
      <c r="A7" s="4" t="s">
        <v>16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6</vt:i4>
      </vt:variant>
    </vt:vector>
  </HeadingPairs>
  <TitlesOfParts>
    <vt:vector size="16" baseType="lpstr">
      <vt:lpstr>A&amp;R</vt:lpstr>
      <vt:lpstr>투자비 및 재원조달</vt:lpstr>
      <vt:lpstr>운영수입</vt:lpstr>
      <vt:lpstr>운영비용</vt:lpstr>
      <vt:lpstr>보유세</vt:lpstr>
      <vt:lpstr>펀드비용</vt:lpstr>
      <vt:lpstr>현금흐름</vt:lpstr>
      <vt:lpstr>매각가치</vt:lpstr>
      <vt:lpstr>배당</vt:lpstr>
      <vt:lpstr>민감도 분석</vt:lpstr>
      <vt:lpstr>acq</vt:lpstr>
      <vt:lpstr>exit</vt:lpstr>
      <vt:lpstr>period</vt:lpstr>
      <vt:lpstr>py</vt:lpstr>
      <vt:lpstr>start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동우 채</dc:creator>
  <cp:lastModifiedBy>다.채동우</cp:lastModifiedBy>
  <cp:lastPrinted>2024-09-10T11:12:45Z</cp:lastPrinted>
  <dcterms:created xsi:type="dcterms:W3CDTF">2024-09-10T10:18:07Z</dcterms:created>
  <dcterms:modified xsi:type="dcterms:W3CDTF">2024-09-12T00:32:20Z</dcterms:modified>
</cp:coreProperties>
</file>