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orgft4648827-my.sharepoint.com/personal/minhee_jung_elevationequity_com/Documents/Elevation/Deal-Project/1. Portfolio Management/2. London/Financials/펀드 평가 요청자료/비시장성지분증권 공정가치 평가관련 자료요청_202404 기준/"/>
    </mc:Choice>
  </mc:AlternateContent>
  <xr:revisionPtr revIDLastSave="427" documentId="8_{8C5B2D34-6C31-4366-A6C3-B7184C5591CC}" xr6:coauthVersionLast="47" xr6:coauthVersionMax="47" xr10:uidLastSave="{6CC72EAE-420D-451A-B9D1-3290DDB0DEA5}"/>
  <bookViews>
    <workbookView xWindow="-110" yWindow="-110" windowWidth="19420" windowHeight="10300" xr2:uid="{0CE7B7B6-2C64-4EAB-AA89-A0E528BC85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C65" i="1"/>
  <c r="C51" i="1"/>
  <c r="D50" i="1" s="1"/>
  <c r="D49" i="1" l="1"/>
  <c r="D51" i="1" s="1"/>
  <c r="C56" i="1" l="1"/>
  <c r="D55" i="1" s="1"/>
  <c r="D54" i="1" l="1"/>
  <c r="D56" i="1" s="1"/>
  <c r="C40" i="1" l="1"/>
  <c r="H40" i="1" l="1"/>
  <c r="D33" i="1" s="1"/>
  <c r="D27" i="1" l="1"/>
  <c r="D21" i="1"/>
  <c r="D43" i="1" s="1"/>
  <c r="H31" i="1"/>
  <c r="G40" i="1"/>
  <c r="C33" i="1" s="1"/>
  <c r="G31" i="1"/>
  <c r="G33" i="1" s="1"/>
  <c r="C25" i="1" s="1"/>
  <c r="C36" i="1" s="1"/>
  <c r="H33" i="1" l="1"/>
  <c r="D25" i="1" l="1"/>
  <c r="D36" i="1" s="1"/>
  <c r="C26" i="1" l="1"/>
  <c r="C28" i="1" s="1"/>
  <c r="C22" i="1"/>
  <c r="D22" i="1" s="1"/>
  <c r="D34" i="1" s="1"/>
  <c r="D28" i="1" l="1"/>
  <c r="D23" i="1"/>
  <c r="C35" i="1"/>
  <c r="C37" i="1" s="1"/>
  <c r="D24" i="1"/>
  <c r="E65" i="1" l="1"/>
  <c r="D35" i="1"/>
  <c r="D37" i="1" s="1"/>
  <c r="C38" i="1"/>
  <c r="C42" i="1" s="1"/>
  <c r="C41" i="1" s="1"/>
  <c r="C43" i="1"/>
  <c r="E55" i="1" l="1"/>
  <c r="E54" i="1"/>
  <c r="E56" i="1" s="1"/>
  <c r="E67" i="1"/>
  <c r="F67" i="1" s="1"/>
  <c r="C66" i="1" l="1"/>
  <c r="D59" i="1"/>
  <c r="D41" i="1" s="1"/>
  <c r="D42" i="1" s="1"/>
  <c r="E68" i="1"/>
  <c r="C44" i="1"/>
  <c r="C45" i="1"/>
  <c r="C68" i="1" l="1"/>
  <c r="F65" i="1"/>
  <c r="D44" i="1"/>
  <c r="D65" i="1" l="1"/>
  <c r="D67" i="1"/>
  <c r="D38" i="1"/>
  <c r="D45" i="1" s="1"/>
  <c r="D68" i="1" l="1"/>
</calcChain>
</file>

<file path=xl/sharedStrings.xml><?xml version="1.0" encoding="utf-8"?>
<sst xmlns="http://schemas.openxmlformats.org/spreadsheetml/2006/main" count="70" uniqueCount="57">
  <si>
    <t>주당 매매대금</t>
  </si>
  <si>
    <t>22년 실제 EBITDA</t>
  </si>
  <si>
    <t>지분가치</t>
    <phoneticPr fontId="3" type="noConversion"/>
  </si>
  <si>
    <t>영업이익</t>
    <phoneticPr fontId="3" type="noConversion"/>
  </si>
  <si>
    <t>순부채</t>
    <phoneticPr fontId="3" type="noConversion"/>
  </si>
  <si>
    <t>기준기업가치</t>
    <phoneticPr fontId="3" type="noConversion"/>
  </si>
  <si>
    <t>목표경영실적</t>
    <phoneticPr fontId="3" type="noConversion"/>
  </si>
  <si>
    <t>2022년 실제 기업가치</t>
    <phoneticPr fontId="3" type="noConversion"/>
  </si>
  <si>
    <t>조정전 기준지분가치</t>
    <phoneticPr fontId="3" type="noConversion"/>
  </si>
  <si>
    <t>조정후 행사가격</t>
    <phoneticPr fontId="3" type="noConversion"/>
  </si>
  <si>
    <t>조정전 행사가정 시 가득주식</t>
    <phoneticPr fontId="3" type="noConversion"/>
  </si>
  <si>
    <t>조정후 행사 가정 시 가득주식</t>
    <phoneticPr fontId="3" type="noConversion"/>
  </si>
  <si>
    <t>가존 전환비율</t>
    <phoneticPr fontId="3" type="noConversion"/>
  </si>
  <si>
    <t>조정 후 전환비율</t>
    <phoneticPr fontId="3" type="noConversion"/>
  </si>
  <si>
    <t>단기차입금</t>
    <phoneticPr fontId="3" type="noConversion"/>
  </si>
  <si>
    <t>유동성장기부채</t>
    <phoneticPr fontId="3" type="noConversion"/>
  </si>
  <si>
    <t>장기사채(계)</t>
    <phoneticPr fontId="3" type="noConversion"/>
  </si>
  <si>
    <t>장기차입금(계)</t>
    <phoneticPr fontId="3" type="noConversion"/>
  </si>
  <si>
    <t>금융리스부채</t>
    <phoneticPr fontId="3" type="noConversion"/>
  </si>
  <si>
    <t>기타재무부채</t>
    <phoneticPr fontId="3" type="noConversion"/>
  </si>
  <si>
    <t>현금및현금등가물</t>
    <phoneticPr fontId="3" type="noConversion"/>
  </si>
  <si>
    <t>단기금융상품</t>
    <phoneticPr fontId="3" type="noConversion"/>
  </si>
  <si>
    <t>단기매매증권</t>
    <phoneticPr fontId="3" type="noConversion"/>
  </si>
  <si>
    <t>감가상각비</t>
    <phoneticPr fontId="3" type="noConversion"/>
  </si>
  <si>
    <t>무형자산상각비</t>
    <phoneticPr fontId="3" type="noConversion"/>
  </si>
  <si>
    <t>KAP</t>
    <phoneticPr fontId="3" type="noConversion"/>
  </si>
  <si>
    <t>Elevation</t>
    <phoneticPr fontId="3" type="noConversion"/>
  </si>
  <si>
    <t>2022년 배당액</t>
    <phoneticPr fontId="3" type="noConversion"/>
  </si>
  <si>
    <t>발행주식총수(중 우리 주식수)</t>
    <phoneticPr fontId="3" type="noConversion"/>
  </si>
  <si>
    <t>발행주식총수</t>
    <phoneticPr fontId="3" type="noConversion"/>
  </si>
  <si>
    <t>EBITDA</t>
    <phoneticPr fontId="3" type="noConversion"/>
  </si>
  <si>
    <t>총 지분가치</t>
    <phoneticPr fontId="3" type="noConversion"/>
  </si>
  <si>
    <t>= 총 지분가치+순부채</t>
    <phoneticPr fontId="3" type="noConversion"/>
  </si>
  <si>
    <t>22년 기준 EV/EBITDA 배수</t>
    <phoneticPr fontId="3" type="noConversion"/>
  </si>
  <si>
    <t>2022년 기준 기업가치</t>
    <phoneticPr fontId="3" type="noConversion"/>
  </si>
  <si>
    <t>조정 전 전환가액 x 22,000주 - 순부채</t>
    <phoneticPr fontId="3" type="noConversion"/>
  </si>
  <si>
    <t>154억원(FY2022) 이면 전환가액 조정 대상</t>
    <phoneticPr fontId="3" type="noConversion"/>
  </si>
  <si>
    <t>EBITDA x (EV/EBITDA 배수) - 순부채</t>
    <phoneticPr fontId="3" type="noConversion"/>
  </si>
  <si>
    <t>지분의 가치가 612억원 이상이 될 수 있는 전환가액으로 조정됨</t>
    <phoneticPr fontId="3" type="noConversion"/>
  </si>
  <si>
    <t>지분율(주식수 기준)</t>
    <phoneticPr fontId="3" type="noConversion"/>
  </si>
  <si>
    <t>그외</t>
    <phoneticPr fontId="3" type="noConversion"/>
  </si>
  <si>
    <t>(전환전)</t>
    <phoneticPr fontId="3" type="noConversion"/>
  </si>
  <si>
    <t>지분율(주식가치 기준)</t>
    <phoneticPr fontId="3" type="noConversion"/>
  </si>
  <si>
    <t xml:space="preserve">조정 시 추가 발행 주식수 </t>
    <phoneticPr fontId="3" type="noConversion"/>
  </si>
  <si>
    <t>(전환후)</t>
    <phoneticPr fontId="3" type="noConversion"/>
  </si>
  <si>
    <t>(전환 직전)</t>
    <phoneticPr fontId="3" type="noConversion"/>
  </si>
  <si>
    <t>&gt;&gt; 612억이 되어야 함</t>
    <phoneticPr fontId="3" type="noConversion"/>
  </si>
  <si>
    <t>&gt;&gt; 전체 지분가치에서 Elevation분 612억을 제외한 잔액이 되어야 함</t>
    <phoneticPr fontId="3" type="noConversion"/>
  </si>
  <si>
    <t>그러기 위해서, 그외 주주의 주식수는 유지하되, Elevation의 주식수를 증가시킴</t>
    <phoneticPr fontId="3" type="noConversion"/>
  </si>
  <si>
    <t>Elevation 의 지분 가치를 612억원으로 고정하기 위하여 추가로 발행해야 할 주식수를 X라고 하면,</t>
    <phoneticPr fontId="3" type="noConversion"/>
  </si>
  <si>
    <t>= Elevation 지분율(to be)=61,200,000,000/2022년 조정전 기준지분가치=(11,220+X)/(22,000+X)</t>
    <phoneticPr fontId="3" type="noConversion"/>
  </si>
  <si>
    <t xml:space="preserve"> =61,200,000,000./76,736,966,478=(11,220+X)/(22,000+X)</t>
    <phoneticPr fontId="3" type="noConversion"/>
  </si>
  <si>
    <t>X=(22,000*61,200,000,000/76,736,966,478-11,220)/(1-61,200,000,000/76,736,966,478)</t>
    <phoneticPr fontId="3" type="noConversion"/>
  </si>
  <si>
    <t>추가발행하여 Elevation 에게 부여될 주식 수(X)</t>
    <phoneticPr fontId="3" type="noConversion"/>
  </si>
  <si>
    <t>주당 단가</t>
    <phoneticPr fontId="3" type="noConversion"/>
  </si>
  <si>
    <t>KAP 제시 자료</t>
    <phoneticPr fontId="3" type="noConversion"/>
  </si>
  <si>
    <t>KAP 제시 자료와 Elevation 계산 비교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</si>
</sst>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₩&quot;* #,##0.00_-;\-&quot;₩&quot;* #,##0.00_-;_-&quot;₩&quot;* &quot;-&quot;??_-;_-@_-"/>
    <numFmt numFmtId="176" formatCode="_(* #,##0.00_);_(* \(#,##0.00\);_(* &quot;-&quot;??_);_(@_)"/>
    <numFmt numFmtId="177" formatCode="_(* #,##0_);_(* \(#,##0\);_(* &quot;-&quot;??_);_(@_)"/>
    <numFmt numFmtId="178" formatCode="0.0%"/>
    <numFmt numFmtId="179" formatCode="0.000\x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</cellStyleXfs>
  <cellXfs count="46">
    <xf numFmtId="0" fontId="0" fillId="0" borderId="0" xfId="0"/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/>
    </xf>
    <xf numFmtId="178" fontId="2" fillId="0" borderId="0" xfId="2" applyNumberFormat="1" applyFont="1" applyAlignment="1">
      <alignment vertical="center"/>
    </xf>
    <xf numFmtId="41" fontId="2" fillId="0" borderId="0" xfId="3" applyFont="1" applyAlignment="1">
      <alignment vertical="center"/>
    </xf>
    <xf numFmtId="177" fontId="4" fillId="0" borderId="0" xfId="0" applyNumberFormat="1" applyFont="1" applyAlignment="1">
      <alignment vertical="center"/>
    </xf>
    <xf numFmtId="41" fontId="4" fillId="0" borderId="0" xfId="3" applyFont="1" applyAlignment="1">
      <alignment vertical="center"/>
    </xf>
    <xf numFmtId="179" fontId="2" fillId="0" borderId="0" xfId="0" applyNumberFormat="1" applyFont="1" applyAlignment="1">
      <alignment vertical="center"/>
    </xf>
    <xf numFmtId="14" fontId="2" fillId="0" borderId="1" xfId="0" applyNumberFormat="1" applyFont="1" applyBorder="1" applyAlignment="1">
      <alignment vertical="center"/>
    </xf>
    <xf numFmtId="41" fontId="2" fillId="0" borderId="2" xfId="3" applyFont="1" applyBorder="1" applyAlignment="1">
      <alignment vertical="center"/>
    </xf>
    <xf numFmtId="41" fontId="2" fillId="0" borderId="0" xfId="3" applyFont="1" applyBorder="1" applyAlignment="1">
      <alignment vertical="center"/>
    </xf>
    <xf numFmtId="41" fontId="2" fillId="0" borderId="1" xfId="3" applyFont="1" applyBorder="1" applyAlignment="1">
      <alignment vertical="center"/>
    </xf>
    <xf numFmtId="41" fontId="2" fillId="0" borderId="0" xfId="0" applyNumberFormat="1" applyFont="1" applyAlignment="1">
      <alignment vertical="center"/>
    </xf>
    <xf numFmtId="41" fontId="5" fillId="0" borderId="0" xfId="3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177" fontId="2" fillId="0" borderId="1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41" fontId="2" fillId="0" borderId="0" xfId="3" quotePrefix="1" applyFont="1" applyBorder="1" applyAlignment="1">
      <alignment vertical="center" wrapText="1"/>
    </xf>
    <xf numFmtId="14" fontId="2" fillId="0" borderId="0" xfId="0" applyNumberFormat="1" applyFont="1" applyAlignment="1">
      <alignment vertical="center"/>
    </xf>
    <xf numFmtId="41" fontId="2" fillId="0" borderId="0" xfId="3" applyFont="1" applyAlignment="1">
      <alignment horizontal="center" vertical="center"/>
    </xf>
    <xf numFmtId="177" fontId="2" fillId="0" borderId="1" xfId="0" applyNumberFormat="1" applyFont="1" applyBorder="1" applyAlignment="1">
      <alignment vertical="center"/>
    </xf>
    <xf numFmtId="41" fontId="6" fillId="0" borderId="0" xfId="3" applyFont="1" applyBorder="1" applyAlignment="1">
      <alignment vertical="center"/>
    </xf>
    <xf numFmtId="44" fontId="2" fillId="0" borderId="0" xfId="0" applyNumberFormat="1" applyFont="1" applyAlignment="1">
      <alignment vertical="center"/>
    </xf>
    <xf numFmtId="9" fontId="2" fillId="0" borderId="0" xfId="2" applyFont="1" applyAlignment="1">
      <alignment vertical="center"/>
    </xf>
    <xf numFmtId="9" fontId="2" fillId="0" borderId="1" xfId="2" applyFont="1" applyBorder="1" applyAlignment="1">
      <alignment vertical="center"/>
    </xf>
    <xf numFmtId="41" fontId="4" fillId="0" borderId="1" xfId="3" applyFont="1" applyBorder="1" applyAlignment="1">
      <alignment vertical="center"/>
    </xf>
    <xf numFmtId="41" fontId="2" fillId="0" borderId="1" xfId="0" applyNumberFormat="1" applyFont="1" applyBorder="1" applyAlignment="1">
      <alignment vertical="center"/>
    </xf>
    <xf numFmtId="9" fontId="2" fillId="0" borderId="1" xfId="2" applyFont="1" applyBorder="1" applyAlignment="1">
      <alignment horizontal="right" vertical="center"/>
    </xf>
    <xf numFmtId="178" fontId="2" fillId="0" borderId="0" xfId="2" applyNumberFormat="1" applyFont="1" applyAlignment="1">
      <alignment horizontal="right" vertical="center"/>
    </xf>
    <xf numFmtId="178" fontId="2" fillId="3" borderId="0" xfId="2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41" fontId="2" fillId="3" borderId="0" xfId="0" applyNumberFormat="1" applyFont="1" applyFill="1" applyAlignment="1">
      <alignment vertical="center"/>
    </xf>
    <xf numFmtId="41" fontId="4" fillId="3" borderId="0" xfId="0" applyNumberFormat="1" applyFont="1" applyFill="1" applyAlignment="1">
      <alignment vertical="center"/>
    </xf>
    <xf numFmtId="41" fontId="5" fillId="0" borderId="1" xfId="3" applyFont="1" applyBorder="1" applyAlignment="1">
      <alignment vertical="center"/>
    </xf>
    <xf numFmtId="0" fontId="2" fillId="3" borderId="0" xfId="0" quotePrefix="1" applyFont="1" applyFill="1" applyAlignment="1">
      <alignment vertical="center"/>
    </xf>
    <xf numFmtId="177" fontId="4" fillId="2" borderId="0" xfId="0" applyNumberFormat="1" applyFont="1" applyFill="1" applyAlignment="1">
      <alignment vertical="center"/>
    </xf>
    <xf numFmtId="41" fontId="4" fillId="2" borderId="0" xfId="3" applyFont="1" applyFill="1" applyAlignment="1">
      <alignment vertical="center"/>
    </xf>
    <xf numFmtId="41" fontId="2" fillId="2" borderId="0" xfId="0" applyNumberFormat="1" applyFont="1" applyFill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9" fontId="2" fillId="0" borderId="0" xfId="2" applyFont="1" applyAlignment="1">
      <alignment horizontal="right" vertical="center"/>
    </xf>
    <xf numFmtId="41" fontId="2" fillId="0" borderId="0" xfId="0" applyNumberFormat="1" applyFont="1" applyAlignment="1">
      <alignment horizontal="center" vertical="center"/>
    </xf>
    <xf numFmtId="41" fontId="2" fillId="0" borderId="0" xfId="3" applyFont="1" applyAlignment="1">
      <alignment horizontal="center" vertical="center"/>
    </xf>
  </cellXfs>
  <cellStyles count="4">
    <cellStyle name="백분율" xfId="2" builtinId="5"/>
    <cellStyle name="쉼표" xfId="1" builtinId="3"/>
    <cellStyle name="쉼표 [0]" xfId="3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0</xdr:rowOff>
    </xdr:from>
    <xdr:to>
      <xdr:col>5</xdr:col>
      <xdr:colOff>282575</xdr:colOff>
      <xdr:row>17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603A964-EDEE-D9F8-090C-A2B86DA33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0"/>
          <a:ext cx="7245350" cy="3248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4</xdr:col>
      <xdr:colOff>1095375</xdr:colOff>
      <xdr:row>102</xdr:row>
      <xdr:rowOff>8559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9D656A02-C815-C862-1126-075C5E8DF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9925050"/>
          <a:ext cx="5305425" cy="6295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1BBE-B855-428B-95FF-3F7BB3A57934}">
  <dimension ref="A1:I73"/>
  <sheetViews>
    <sheetView tabSelected="1" topLeftCell="A13" zoomScaleNormal="100" workbookViewId="0">
      <selection activeCell="E26" sqref="E26"/>
    </sheetView>
  </sheetViews>
  <sheetFormatPr defaultColWidth="8.83203125" defaultRowHeight="15" customHeight="1" x14ac:dyDescent="0.45"/>
  <cols>
    <col min="1" max="1" width="30.83203125" style="1" bestFit="1" customWidth="1"/>
    <col min="2" max="2" width="24.5" style="1" bestFit="1" customWidth="1"/>
    <col min="3" max="4" width="15.33203125" style="1" bestFit="1" customWidth="1"/>
    <col min="5" max="5" width="36.58203125" style="1" bestFit="1" customWidth="1"/>
    <col min="6" max="6" width="16.25" style="1" bestFit="1" customWidth="1"/>
    <col min="7" max="7" width="15.33203125" style="1" bestFit="1" customWidth="1"/>
    <col min="8" max="8" width="15.58203125" style="1" customWidth="1"/>
    <col min="9" max="9" width="11.25" style="1" bestFit="1" customWidth="1"/>
    <col min="10" max="16384" width="8.83203125" style="1"/>
  </cols>
  <sheetData>
    <row r="1" spans="1:1" ht="15" customHeight="1" x14ac:dyDescent="0.45">
      <c r="A1" s="20" t="s">
        <v>55</v>
      </c>
    </row>
    <row r="18" spans="1:9" ht="15" customHeight="1" x14ac:dyDescent="0.45">
      <c r="G18" s="18" t="s">
        <v>25</v>
      </c>
      <c r="H18" s="18" t="s">
        <v>26</v>
      </c>
    </row>
    <row r="19" spans="1:9" ht="15" customHeight="1" x14ac:dyDescent="0.45">
      <c r="A19" s="20" t="s">
        <v>56</v>
      </c>
      <c r="C19" s="18" t="s">
        <v>25</v>
      </c>
      <c r="D19" s="18" t="s">
        <v>26</v>
      </c>
      <c r="E19" s="18"/>
      <c r="G19" s="9">
        <v>44926</v>
      </c>
      <c r="H19" s="9">
        <v>44926</v>
      </c>
    </row>
    <row r="20" spans="1:9" ht="15" customHeight="1" x14ac:dyDescent="0.45">
      <c r="B20" s="16" t="s">
        <v>29</v>
      </c>
      <c r="C20" s="23">
        <v>22000</v>
      </c>
      <c r="D20" s="23">
        <v>22000</v>
      </c>
      <c r="E20" s="18"/>
      <c r="G20" s="22"/>
      <c r="H20" s="22"/>
    </row>
    <row r="21" spans="1:9" ht="15" customHeight="1" x14ac:dyDescent="0.45">
      <c r="B21" s="16" t="s">
        <v>28</v>
      </c>
      <c r="C21" s="14">
        <v>11220</v>
      </c>
      <c r="D21" s="11">
        <f>C21</f>
        <v>11220</v>
      </c>
      <c r="E21" s="11"/>
      <c r="F21" s="5" t="s">
        <v>14</v>
      </c>
      <c r="G21" s="5">
        <v>19066830876</v>
      </c>
      <c r="H21" s="5">
        <v>19066830876</v>
      </c>
      <c r="I21" s="2"/>
    </row>
    <row r="22" spans="1:9" ht="15" customHeight="1" x14ac:dyDescent="0.45">
      <c r="B22" s="16" t="s">
        <v>0</v>
      </c>
      <c r="C22" s="14">
        <f>+C24/C21</f>
        <v>5454545.4545454541</v>
      </c>
      <c r="D22" s="11">
        <f>C22</f>
        <v>5454545.4545454541</v>
      </c>
      <c r="E22" s="11"/>
      <c r="F22" s="5" t="s">
        <v>15</v>
      </c>
      <c r="G22" s="5"/>
      <c r="H22" s="2">
        <v>427760000</v>
      </c>
    </row>
    <row r="23" spans="1:9" ht="15" customHeight="1" x14ac:dyDescent="0.45">
      <c r="B23" s="16" t="s">
        <v>31</v>
      </c>
      <c r="C23" s="14"/>
      <c r="D23" s="11">
        <f>D20*D22</f>
        <v>119999999999.99998</v>
      </c>
      <c r="E23" s="11"/>
      <c r="F23" s="5"/>
      <c r="G23" s="5"/>
      <c r="H23" s="2"/>
    </row>
    <row r="24" spans="1:9" ht="15" customHeight="1" x14ac:dyDescent="0.45">
      <c r="B24" s="16" t="s">
        <v>2</v>
      </c>
      <c r="C24" s="14">
        <v>61200000000</v>
      </c>
      <c r="D24" s="11">
        <f>D21*D22</f>
        <v>61199999999.999992</v>
      </c>
      <c r="E24" s="11"/>
      <c r="F24" s="5" t="s">
        <v>16</v>
      </c>
      <c r="G24" s="5"/>
    </row>
    <row r="25" spans="1:9" ht="16" customHeight="1" x14ac:dyDescent="0.45">
      <c r="B25" s="16" t="s">
        <v>4</v>
      </c>
      <c r="C25" s="25">
        <f>G33</f>
        <v>11468245940</v>
      </c>
      <c r="D25" s="2">
        <f>H33</f>
        <v>-2103995900</v>
      </c>
      <c r="E25" s="11"/>
      <c r="F25" s="5" t="s">
        <v>17</v>
      </c>
      <c r="G25" s="5"/>
    </row>
    <row r="26" spans="1:9" ht="16" x14ac:dyDescent="0.45">
      <c r="B26" s="16" t="s">
        <v>5</v>
      </c>
      <c r="C26" s="11">
        <f>C24+C25</f>
        <v>72668245940</v>
      </c>
      <c r="D26" s="11">
        <f>D22*D20+D25</f>
        <v>117896004099.99998</v>
      </c>
      <c r="E26" s="21" t="s">
        <v>32</v>
      </c>
      <c r="F26" s="5" t="s">
        <v>18</v>
      </c>
      <c r="G26" s="5"/>
    </row>
    <row r="27" spans="1:9" ht="15" customHeight="1" x14ac:dyDescent="0.45">
      <c r="B27" s="17" t="s">
        <v>6</v>
      </c>
      <c r="C27" s="12">
        <v>15400000000</v>
      </c>
      <c r="D27" s="12">
        <f>C27</f>
        <v>15400000000</v>
      </c>
      <c r="E27" s="11"/>
      <c r="F27" s="5" t="s">
        <v>19</v>
      </c>
      <c r="G27" s="5"/>
    </row>
    <row r="28" spans="1:9" ht="15" customHeight="1" x14ac:dyDescent="0.45">
      <c r="B28" s="16" t="s">
        <v>33</v>
      </c>
      <c r="C28" s="8">
        <f>C26/C27</f>
        <v>4.7187172688311687</v>
      </c>
      <c r="D28" s="8">
        <f>D26/D27</f>
        <v>7.6555846818181807</v>
      </c>
      <c r="E28" s="8"/>
      <c r="F28" s="5" t="s">
        <v>20</v>
      </c>
      <c r="G28" s="5">
        <v>7096060069</v>
      </c>
      <c r="H28" s="5">
        <v>7096060069</v>
      </c>
    </row>
    <row r="29" spans="1:9" ht="15" customHeight="1" x14ac:dyDescent="0.45">
      <c r="C29" s="5"/>
      <c r="F29" s="5" t="s">
        <v>21</v>
      </c>
      <c r="G29" s="5">
        <v>10161</v>
      </c>
      <c r="H29" s="5">
        <v>10161</v>
      </c>
    </row>
    <row r="30" spans="1:9" ht="15" customHeight="1" x14ac:dyDescent="0.45">
      <c r="F30" s="5" t="s">
        <v>22</v>
      </c>
      <c r="G30" s="12">
        <v>502514706</v>
      </c>
      <c r="H30" s="12">
        <v>502514706</v>
      </c>
    </row>
    <row r="31" spans="1:9" ht="15" customHeight="1" x14ac:dyDescent="0.45">
      <c r="F31" s="5"/>
      <c r="G31" s="7">
        <f>SUM(G21:G27)-SUM(G28:G30)</f>
        <v>11468245940</v>
      </c>
      <c r="H31" s="7">
        <f>SUM(H21:H27)-SUM(H28:H30)</f>
        <v>11896005940</v>
      </c>
    </row>
    <row r="32" spans="1:9" ht="15" customHeight="1" x14ac:dyDescent="0.45">
      <c r="G32" s="15"/>
      <c r="H32" s="19">
        <v>14000001840</v>
      </c>
      <c r="I32" s="1" t="s">
        <v>27</v>
      </c>
    </row>
    <row r="33" spans="2:8" ht="15" customHeight="1" x14ac:dyDescent="0.45">
      <c r="B33" s="1" t="s">
        <v>1</v>
      </c>
      <c r="C33" s="2">
        <f>G40</f>
        <v>8890460506</v>
      </c>
      <c r="D33" s="2">
        <f>H40</f>
        <v>9748826991</v>
      </c>
      <c r="E33" s="1" t="s">
        <v>36</v>
      </c>
      <c r="F33" s="20" t="s">
        <v>4</v>
      </c>
      <c r="G33" s="13">
        <f>G31-G32</f>
        <v>11468245940</v>
      </c>
      <c r="H33" s="13">
        <f>H31-H32</f>
        <v>-2103995900</v>
      </c>
    </row>
    <row r="34" spans="2:8" ht="15" customHeight="1" x14ac:dyDescent="0.45">
      <c r="B34" s="1" t="s">
        <v>34</v>
      </c>
      <c r="C34" s="2"/>
      <c r="D34" s="2">
        <f>D26</f>
        <v>117896004099.99998</v>
      </c>
      <c r="E34" s="1" t="s">
        <v>35</v>
      </c>
    </row>
    <row r="35" spans="2:8" ht="15" customHeight="1" x14ac:dyDescent="0.45">
      <c r="B35" s="1" t="s">
        <v>7</v>
      </c>
      <c r="C35" s="2">
        <f>C33*C28</f>
        <v>41951569517.523689</v>
      </c>
      <c r="D35" s="2">
        <f>D33*D28</f>
        <v>74632970577.995224</v>
      </c>
      <c r="E35" s="1" t="s">
        <v>37</v>
      </c>
      <c r="G35" s="18" t="s">
        <v>25</v>
      </c>
      <c r="H35" s="18" t="s">
        <v>26</v>
      </c>
    </row>
    <row r="36" spans="2:8" ht="15" customHeight="1" x14ac:dyDescent="0.45">
      <c r="B36" s="15" t="s">
        <v>4</v>
      </c>
      <c r="C36" s="24">
        <f>C25</f>
        <v>11468245940</v>
      </c>
      <c r="D36" s="24">
        <f>D25</f>
        <v>-2103995900</v>
      </c>
      <c r="G36" s="9">
        <v>44926</v>
      </c>
      <c r="H36" s="9">
        <v>44926</v>
      </c>
    </row>
    <row r="37" spans="2:8" ht="15" customHeight="1" x14ac:dyDescent="0.45">
      <c r="B37" s="1" t="s">
        <v>8</v>
      </c>
      <c r="C37" s="2">
        <f>C35-C36</f>
        <v>30483323577.523689</v>
      </c>
      <c r="D37" s="2">
        <f>D35-D36</f>
        <v>76736966477.995224</v>
      </c>
      <c r="F37" s="1" t="s">
        <v>3</v>
      </c>
      <c r="G37" s="10">
        <v>8729070637</v>
      </c>
      <c r="H37" s="10">
        <v>8729070637</v>
      </c>
    </row>
    <row r="38" spans="2:8" ht="15" customHeight="1" x14ac:dyDescent="0.45">
      <c r="B38" s="1" t="s">
        <v>9</v>
      </c>
      <c r="C38" s="39">
        <f>C37/C40</f>
        <v>2716873.7591375839</v>
      </c>
      <c r="D38" s="40">
        <f>C45/D42</f>
        <v>1441277.0387750678</v>
      </c>
      <c r="F38" s="1" t="s">
        <v>23</v>
      </c>
      <c r="G38" s="11">
        <v>161389869</v>
      </c>
      <c r="H38" s="11">
        <v>899365705</v>
      </c>
    </row>
    <row r="39" spans="2:8" ht="15" customHeight="1" x14ac:dyDescent="0.45">
      <c r="C39" s="6"/>
      <c r="F39" s="1" t="s">
        <v>24</v>
      </c>
      <c r="G39" s="12"/>
      <c r="H39" s="12">
        <v>120390649</v>
      </c>
    </row>
    <row r="40" spans="2:8" ht="15" customHeight="1" x14ac:dyDescent="0.45">
      <c r="B40" s="1" t="s">
        <v>10</v>
      </c>
      <c r="C40" s="2">
        <f>C21</f>
        <v>11220</v>
      </c>
      <c r="D40" s="2">
        <v>11220</v>
      </c>
      <c r="F40" s="1" t="s">
        <v>30</v>
      </c>
      <c r="G40" s="41">
        <f>SUM(G37:G39)</f>
        <v>8890460506</v>
      </c>
      <c r="H40" s="41">
        <f>SUM(H37:H39)</f>
        <v>9748826991</v>
      </c>
    </row>
    <row r="41" spans="2:8" ht="15" customHeight="1" x14ac:dyDescent="0.45">
      <c r="B41" s="1" t="s">
        <v>43</v>
      </c>
      <c r="C41" s="5">
        <f>C42-C40</f>
        <v>11305.890205302243</v>
      </c>
      <c r="D41" s="5">
        <f>D59</f>
        <v>31242.343014923405</v>
      </c>
    </row>
    <row r="42" spans="2:8" ht="15" customHeight="1" x14ac:dyDescent="0.45">
      <c r="B42" s="1" t="s">
        <v>11</v>
      </c>
      <c r="C42" s="2">
        <f>C22/C38*C40</f>
        <v>22525.890205302243</v>
      </c>
      <c r="D42" s="2">
        <f>D40+D41</f>
        <v>42462.343014923405</v>
      </c>
    </row>
    <row r="43" spans="2:8" ht="15" customHeight="1" x14ac:dyDescent="0.45">
      <c r="B43" s="1" t="s">
        <v>12</v>
      </c>
      <c r="C43" s="3">
        <f>C21/C40</f>
        <v>1</v>
      </c>
      <c r="D43" s="3">
        <f>D21/D40</f>
        <v>1</v>
      </c>
    </row>
    <row r="44" spans="2:8" ht="15" customHeight="1" x14ac:dyDescent="0.45">
      <c r="B44" s="1" t="s">
        <v>13</v>
      </c>
      <c r="C44" s="3">
        <f>C42/C21</f>
        <v>2.0076550985117865</v>
      </c>
      <c r="D44" s="3">
        <f>D42/D21</f>
        <v>3.7845225503496795</v>
      </c>
    </row>
    <row r="45" spans="2:8" ht="15" customHeight="1" x14ac:dyDescent="0.45">
      <c r="B45" s="1" t="s">
        <v>31</v>
      </c>
      <c r="C45" s="6">
        <f>C42*C38</f>
        <v>61199999999.999985</v>
      </c>
      <c r="D45" s="6">
        <f>D42*D38</f>
        <v>61199999999.999985</v>
      </c>
      <c r="E45" s="2" t="s">
        <v>38</v>
      </c>
    </row>
    <row r="46" spans="2:8" ht="15" customHeight="1" x14ac:dyDescent="0.45">
      <c r="C46" s="2"/>
    </row>
    <row r="47" spans="2:8" ht="15" customHeight="1" x14ac:dyDescent="0.45">
      <c r="C47" s="2"/>
    </row>
    <row r="48" spans="2:8" ht="15" customHeight="1" x14ac:dyDescent="0.45">
      <c r="B48" s="1" t="s">
        <v>39</v>
      </c>
      <c r="C48" s="1" t="s">
        <v>41</v>
      </c>
      <c r="D48" s="6"/>
      <c r="E48" s="26"/>
    </row>
    <row r="49" spans="2:8" ht="15" customHeight="1" x14ac:dyDescent="0.45">
      <c r="B49" s="3" t="s">
        <v>26</v>
      </c>
      <c r="C49" s="5">
        <v>11220</v>
      </c>
      <c r="D49" s="27">
        <f>C49/C51</f>
        <v>0.51</v>
      </c>
    </row>
    <row r="50" spans="2:8" ht="15" customHeight="1" x14ac:dyDescent="0.45">
      <c r="B50" s="1" t="s">
        <v>40</v>
      </c>
      <c r="C50" s="12">
        <v>10780</v>
      </c>
      <c r="D50" s="28">
        <f>C50/C51</f>
        <v>0.49</v>
      </c>
    </row>
    <row r="51" spans="2:8" ht="15" customHeight="1" x14ac:dyDescent="0.45">
      <c r="C51" s="2">
        <f>C49+C50</f>
        <v>22000</v>
      </c>
      <c r="D51" s="4">
        <f>SUM(D49:D50)</f>
        <v>1</v>
      </c>
    </row>
    <row r="53" spans="2:8" ht="15" customHeight="1" x14ac:dyDescent="0.45">
      <c r="B53" s="1" t="s">
        <v>42</v>
      </c>
      <c r="C53" s="1" t="s">
        <v>45</v>
      </c>
      <c r="D53" s="6"/>
    </row>
    <row r="54" spans="2:8" ht="15" customHeight="1" x14ac:dyDescent="0.45">
      <c r="B54" s="3" t="s">
        <v>26</v>
      </c>
      <c r="C54" s="5">
        <v>11220</v>
      </c>
      <c r="D54" s="27">
        <f>C54/C56</f>
        <v>0.51</v>
      </c>
      <c r="E54" s="13">
        <f>D37/C56*C54</f>
        <v>39135852903.777565</v>
      </c>
      <c r="F54" s="5" t="s">
        <v>46</v>
      </c>
    </row>
    <row r="55" spans="2:8" ht="15" customHeight="1" x14ac:dyDescent="0.45">
      <c r="B55" s="1" t="s">
        <v>40</v>
      </c>
      <c r="C55" s="29">
        <v>10780</v>
      </c>
      <c r="D55" s="28">
        <f>C55/C56</f>
        <v>0.49</v>
      </c>
      <c r="E55" s="30">
        <f>D37/C56*C55</f>
        <v>37601113574.217659</v>
      </c>
      <c r="F55" s="1" t="s">
        <v>47</v>
      </c>
    </row>
    <row r="56" spans="2:8" ht="15" customHeight="1" x14ac:dyDescent="0.45">
      <c r="C56" s="2">
        <f>SUM(C54:C55)</f>
        <v>22000</v>
      </c>
      <c r="D56" s="4">
        <f>SUM(D54:D55)</f>
        <v>1</v>
      </c>
      <c r="E56" s="13">
        <f>E54+E55</f>
        <v>76736966477.995224</v>
      </c>
    </row>
    <row r="57" spans="2:8" ht="15" customHeight="1" x14ac:dyDescent="0.45">
      <c r="B57" s="4"/>
      <c r="C57" s="4"/>
      <c r="D57" s="4"/>
    </row>
    <row r="58" spans="2:8" ht="15" customHeight="1" x14ac:dyDescent="0.45">
      <c r="B58" s="1" t="s">
        <v>48</v>
      </c>
      <c r="C58" s="4"/>
      <c r="D58" s="4"/>
      <c r="F58" s="13"/>
    </row>
    <row r="59" spans="2:8" ht="15" customHeight="1" x14ac:dyDescent="0.45">
      <c r="B59" s="33" t="s">
        <v>53</v>
      </c>
      <c r="C59" s="34"/>
      <c r="D59" s="36">
        <f>(D20*D24/E56-D21)/(1-D24/E56)</f>
        <v>31242.343014923405</v>
      </c>
      <c r="E59" s="34" t="s">
        <v>49</v>
      </c>
      <c r="F59" s="35"/>
      <c r="G59" s="34"/>
      <c r="H59" s="34"/>
    </row>
    <row r="60" spans="2:8" ht="15" customHeight="1" x14ac:dyDescent="0.45">
      <c r="B60" s="33"/>
      <c r="C60" s="33"/>
      <c r="D60" s="33"/>
      <c r="E60" s="38" t="s">
        <v>50</v>
      </c>
      <c r="F60" s="35"/>
      <c r="G60" s="34"/>
      <c r="H60" s="34"/>
    </row>
    <row r="61" spans="2:8" ht="15" customHeight="1" x14ac:dyDescent="0.45">
      <c r="B61" s="33"/>
      <c r="C61" s="33"/>
      <c r="D61" s="33"/>
      <c r="E61" s="38" t="s">
        <v>51</v>
      </c>
      <c r="F61" s="35"/>
      <c r="G61" s="34"/>
      <c r="H61" s="34"/>
    </row>
    <row r="62" spans="2:8" ht="15" customHeight="1" x14ac:dyDescent="0.45">
      <c r="B62" s="33"/>
      <c r="C62" s="33"/>
      <c r="D62" s="33"/>
      <c r="E62" s="34" t="s">
        <v>52</v>
      </c>
      <c r="F62" s="35"/>
      <c r="G62" s="34"/>
      <c r="H62" s="34"/>
    </row>
    <row r="63" spans="2:8" ht="15" customHeight="1" x14ac:dyDescent="0.45">
      <c r="B63" s="4"/>
      <c r="C63" s="4"/>
      <c r="D63" s="4"/>
      <c r="F63" s="13"/>
    </row>
    <row r="64" spans="2:8" ht="15" customHeight="1" x14ac:dyDescent="0.45">
      <c r="B64" s="1" t="s">
        <v>42</v>
      </c>
      <c r="C64" s="1" t="s">
        <v>44</v>
      </c>
      <c r="D64" s="6"/>
      <c r="F64" s="1" t="s">
        <v>54</v>
      </c>
    </row>
    <row r="65" spans="2:6" ht="15" customHeight="1" x14ac:dyDescent="0.45">
      <c r="B65" s="42" t="s">
        <v>26</v>
      </c>
      <c r="C65" s="13">
        <f>+C54</f>
        <v>11220</v>
      </c>
      <c r="D65" s="43">
        <f>(C66+C65)/C68</f>
        <v>0.79752957158593774</v>
      </c>
      <c r="E65" s="44">
        <f>D24</f>
        <v>61199999999.999992</v>
      </c>
      <c r="F65" s="45">
        <f>E65/(C65+C66)</f>
        <v>1441277.0387750678</v>
      </c>
    </row>
    <row r="66" spans="2:6" ht="15" customHeight="1" x14ac:dyDescent="0.45">
      <c r="B66" s="42"/>
      <c r="C66" s="5">
        <f>(D20*D24/E56-D21)/(1-D24/E56)</f>
        <v>31242.343014923405</v>
      </c>
      <c r="D66" s="43"/>
      <c r="E66" s="44"/>
      <c r="F66" s="45"/>
    </row>
    <row r="67" spans="2:6" ht="15" customHeight="1" x14ac:dyDescent="0.45">
      <c r="B67" s="1" t="s">
        <v>40</v>
      </c>
      <c r="C67" s="37">
        <v>10780</v>
      </c>
      <c r="D67" s="31">
        <f>C67/C68</f>
        <v>0.20247042841406232</v>
      </c>
      <c r="E67" s="24">
        <f>D37-E65</f>
        <v>15536966477.995232</v>
      </c>
      <c r="F67" s="5">
        <f>E67/C67</f>
        <v>1441277.0387750678</v>
      </c>
    </row>
    <row r="68" spans="2:6" ht="15" customHeight="1" x14ac:dyDescent="0.45">
      <c r="C68" s="2">
        <f>SUM(C65:C67)</f>
        <v>53242.343014923405</v>
      </c>
      <c r="D68" s="32">
        <f>SUM(D65:D67)</f>
        <v>1</v>
      </c>
      <c r="E68" s="13">
        <f>E65+E67</f>
        <v>76736966477.995224</v>
      </c>
    </row>
    <row r="69" spans="2:6" ht="15" customHeight="1" x14ac:dyDescent="0.45">
      <c r="B69" s="4"/>
      <c r="C69" s="4"/>
      <c r="D69" s="4"/>
    </row>
    <row r="70" spans="2:6" ht="15" customHeight="1" x14ac:dyDescent="0.45">
      <c r="B70" s="4"/>
      <c r="C70" s="4"/>
      <c r="D70" s="4"/>
    </row>
    <row r="71" spans="2:6" ht="15" customHeight="1" x14ac:dyDescent="0.45">
      <c r="B71" s="4"/>
      <c r="C71" s="4"/>
      <c r="D71" s="4"/>
    </row>
    <row r="72" spans="2:6" ht="15" customHeight="1" x14ac:dyDescent="0.45">
      <c r="B72" s="4"/>
      <c r="C72" s="4"/>
      <c r="D72" s="4"/>
    </row>
    <row r="73" spans="2:6" ht="15" customHeight="1" x14ac:dyDescent="0.45">
      <c r="B73" s="4"/>
      <c r="C73" s="4"/>
      <c r="D73" s="4"/>
    </row>
  </sheetData>
  <mergeCells count="4">
    <mergeCell ref="B65:B66"/>
    <mergeCell ref="D65:D66"/>
    <mergeCell ref="E65:E66"/>
    <mergeCell ref="F65:F66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49FD-1B7D-4F4B-8FA5-E251C7F903B3}">
  <dimension ref="A1"/>
  <sheetViews>
    <sheetView workbookViewId="0"/>
  </sheetViews>
  <sheetFormatPr defaultRowHeight="17" x14ac:dyDescent="0.4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Minhee Jung</cp:lastModifiedBy>
  <dcterms:created xsi:type="dcterms:W3CDTF">2024-05-21T00:26:42Z</dcterms:created>
  <dcterms:modified xsi:type="dcterms:W3CDTF">2024-05-23T01:39:04Z</dcterms:modified>
</cp:coreProperties>
</file>